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149" documentId="13_ncr:1_{77C0D671-E5F3-4B07-AFE4-3D96320905F2}" xr6:coauthVersionLast="47" xr6:coauthVersionMax="47" xr10:uidLastSave="{98A18E62-9826-4D94-83E3-9BA9AA5334CE}"/>
  <bookViews>
    <workbookView xWindow="33720" yWindow="-120" windowWidth="51840" windowHeight="21840" tabRatio="788" activeTab="3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최대(전월)" sheetId="147" r:id="rId6"/>
    <sheet name="각층분기별_유효전력량(전월)" sheetId="116" r:id="rId7"/>
    <sheet name="8층 사무실 분전반" sheetId="114" state="hidden" r:id="rId8"/>
    <sheet name="7층_부하량(월간_MIN)" sheetId="130" r:id="rId9"/>
    <sheet name="7층_부하량(월간_MAX)" sheetId="138" r:id="rId10"/>
    <sheet name="7층_부하량(월간_AVG)" sheetId="139" r:id="rId11"/>
    <sheet name="7F_current" sheetId="120" state="hidden" r:id="rId12"/>
    <sheet name="6층_부하량(월간_MIN)" sheetId="131" r:id="rId13"/>
    <sheet name="6F_current" sheetId="124" state="hidden" r:id="rId14"/>
    <sheet name="6층_부하량(월간_MAX)" sheetId="140" r:id="rId15"/>
    <sheet name="6층_부하량(월간_AVG)" sheetId="141" r:id="rId16"/>
    <sheet name="5층_부하량(월간_MIN)" sheetId="132" r:id="rId17"/>
    <sheet name="5F_current" sheetId="123" state="hidden" r:id="rId18"/>
    <sheet name="5층_부하량(월간_MAX)" sheetId="142" r:id="rId19"/>
    <sheet name="5층_부하량(월간_AVG)" sheetId="143" r:id="rId20"/>
    <sheet name="4층_부하량(월간_MIN)" sheetId="133" r:id="rId21"/>
    <sheet name="4층_부하량(월간_MAX)" sheetId="145" r:id="rId22"/>
    <sheet name="4층_부하량(월간_AVG)" sheetId="144" r:id="rId23"/>
    <sheet name="7층_부하량" sheetId="134" r:id="rId24"/>
    <sheet name="6층_부하량" sheetId="135" r:id="rId25"/>
    <sheet name="5층_부하량" sheetId="136" r:id="rId26"/>
    <sheet name="4층_부하량" sheetId="137" r:id="rId27"/>
    <sheet name="4F_current" sheetId="125" state="hidden" r:id="rId28"/>
    <sheet name="각_층_분전반_부하량" sheetId="95" state="hidden" r:id="rId29"/>
    <sheet name="세분화" sheetId="113" state="hidden" r:id="rId30"/>
    <sheet name="SJT설비_7층_IPD" sheetId="110" state="hidden" r:id="rId31"/>
  </sheets>
  <externalReferences>
    <externalReference r:id="rId32"/>
    <externalReference r:id="rId33"/>
  </externalReferences>
  <definedNames>
    <definedName name="_xlnm._FilterDatabase" localSheetId="1" hidden="1">'6층_랙별_계통 및_부하량'!$AG$3:$AM$4</definedName>
    <definedName name="_xlnm._FilterDatabase" localSheetId="0" hidden="1">'7층_랙별_계통_및_부하량'!$AQ$3:$AW$282</definedName>
    <definedName name="_xlnm._FilterDatabase" localSheetId="6" hidden="1">'각층분기별_유효전력량(전월)'!$A$2:$L$773</definedName>
    <definedName name="_xlnm._FilterDatabase" localSheetId="5" hidden="1">'각층분기별_유효전력최대(전월)'!$A$2:$L$773</definedName>
    <definedName name="_xlnm.Print_Area" localSheetId="22">'4층_부하량(월간_AVG)'!$A$1:$U$91</definedName>
    <definedName name="_xlnm.Print_Area" localSheetId="21">'4층_부하량(월간_MAX)'!$A$1:$U$91</definedName>
    <definedName name="_xlnm.Print_Area" localSheetId="20">'4층_부하량(월간_MIN)'!$A$1:$U$91</definedName>
    <definedName name="_xlnm.Print_Area" localSheetId="19">'5층_부하량(월간_AVG)'!$A$1:$T$554</definedName>
    <definedName name="_xlnm.Print_Area" localSheetId="18">'5층_부하량(월간_MAX)'!$A$1:$T$554</definedName>
    <definedName name="_xlnm.Print_Area" localSheetId="16">'5층_부하량(월간_MIN)'!$A$1:$T$554</definedName>
    <definedName name="_xlnm.Print_Area" localSheetId="1">'6층_랙별_계통 및_부하량'!#REF!</definedName>
    <definedName name="_xlnm.Print_Area" localSheetId="15">'6층_부하량(월간_AVG)'!$A$1:$R$445</definedName>
    <definedName name="_xlnm.Print_Area" localSheetId="14">'6층_부하량(월간_MAX)'!$A$1:$R$445</definedName>
    <definedName name="_xlnm.Print_Area" localSheetId="12">'6층_부하량(월간_MIN)'!$A$1:$R$445</definedName>
    <definedName name="_xlnm.Print_Area" localSheetId="10">'7층_부하량(월간_AVG)'!$A$1:$T$170</definedName>
    <definedName name="_xlnm.Print_Area" localSheetId="9">'7층_부하량(월간_MAX)'!$A$1:$T$170</definedName>
    <definedName name="_xlnm.Print_Area" localSheetId="8">'7층_부하량(월간_MIN)'!$A$1:$T$170</definedName>
    <definedName name="_xlnm.Print_Area" localSheetId="30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4" i="102" l="1" a="1"/>
  <c r="AC14" i="102" s="1"/>
  <c r="AC13" i="102" a="1"/>
  <c r="AC13" i="102" s="1"/>
  <c r="AC12" i="102" a="1"/>
  <c r="AC12" i="102" s="1"/>
  <c r="AC11" i="102" a="1"/>
  <c r="AC11" i="102" s="1"/>
  <c r="AC10" i="102" a="1"/>
  <c r="AC10" i="102" s="1"/>
  <c r="AC9" i="102" a="1"/>
  <c r="AC9" i="102" s="1"/>
  <c r="AC8" i="102" a="1"/>
  <c r="AC8" i="102" s="1"/>
  <c r="AC7" i="102" a="1"/>
  <c r="AC7" i="102" s="1"/>
  <c r="AC6" i="102" a="1"/>
  <c r="AC6" i="102" s="1"/>
  <c r="AC16" i="102" a="1"/>
  <c r="AC16" i="102" s="1"/>
  <c r="AC17" i="102" a="1"/>
  <c r="AC17" i="102"/>
  <c r="AC18" i="102" a="1"/>
  <c r="AC18" i="102" s="1"/>
  <c r="AC19" i="102" a="1"/>
  <c r="AC19" i="102" s="1"/>
  <c r="AC20" i="102" a="1"/>
  <c r="AC20" i="102" s="1"/>
  <c r="AC21" i="102" a="1"/>
  <c r="AC21" i="102" s="1"/>
  <c r="AC22" i="102" a="1"/>
  <c r="AC22" i="102" s="1"/>
  <c r="AC23" i="102" a="1"/>
  <c r="AC23" i="102" s="1"/>
  <c r="AC24" i="102" a="1"/>
  <c r="AC24" i="102" s="1"/>
  <c r="AC25" i="102" a="1"/>
  <c r="AC25" i="102" s="1"/>
  <c r="AC26" i="102" a="1"/>
  <c r="AC26" i="102" s="1"/>
  <c r="AC27" i="102" a="1"/>
  <c r="AC27" i="102" s="1"/>
  <c r="AC28" i="102" a="1"/>
  <c r="AC28" i="102" s="1"/>
  <c r="AC29" i="102" a="1"/>
  <c r="AC29" i="102" s="1"/>
  <c r="AC30" i="102" a="1"/>
  <c r="AC30" i="102" s="1"/>
  <c r="AC31" i="102" a="1"/>
  <c r="AC31" i="102" s="1"/>
  <c r="AC32" i="102" a="1"/>
  <c r="AC32" i="102" s="1"/>
  <c r="AC33" i="102" a="1"/>
  <c r="AC33" i="102" s="1"/>
  <c r="AC34" i="102" a="1"/>
  <c r="AC34" i="102" s="1"/>
  <c r="AC35" i="102" a="1"/>
  <c r="AC35" i="102" s="1"/>
  <c r="AC36" i="102" a="1"/>
  <c r="AC36" i="102" s="1"/>
  <c r="AC37" i="102" a="1"/>
  <c r="AC37" i="102" s="1"/>
  <c r="AC38" i="102" a="1"/>
  <c r="AC38" i="102" s="1"/>
  <c r="AC39" i="102" a="1"/>
  <c r="AC39" i="102" s="1"/>
  <c r="AC40" i="102" a="1"/>
  <c r="AC40" i="102" s="1"/>
  <c r="AC5" i="102" a="1"/>
  <c r="AC5" i="102" s="1"/>
  <c r="AC43" i="102" a="1"/>
  <c r="AC43" i="102" s="1"/>
  <c r="AC46" i="102" a="1"/>
  <c r="AC46" i="102" s="1"/>
  <c r="AC52" i="102" a="1"/>
  <c r="AC52" i="102" s="1"/>
  <c r="AC55" i="102" a="1"/>
  <c r="AC55" i="102" s="1"/>
  <c r="AC57" i="102" a="1"/>
  <c r="AC57" i="102" s="1"/>
  <c r="AC63" i="102" a="1"/>
  <c r="AC63" i="102" s="1"/>
  <c r="AC73" i="102" a="1"/>
  <c r="AC73" i="102" s="1"/>
  <c r="AC83" i="102" a="1"/>
  <c r="AC83" i="102" s="1"/>
  <c r="AC93" i="102" a="1"/>
  <c r="AC93" i="102" s="1"/>
  <c r="AC103" i="102" a="1"/>
  <c r="AC103" i="102" s="1"/>
  <c r="AC115" i="102" a="1"/>
  <c r="AC115" i="102" s="1"/>
  <c r="AC123" i="102" a="1"/>
  <c r="AC123" i="102" s="1"/>
  <c r="AC134" i="102" a="1"/>
  <c r="AC134" i="102" s="1"/>
  <c r="AC145" i="102" a="1"/>
  <c r="AC145" i="102" s="1"/>
  <c r="AC155" i="102" a="1"/>
  <c r="AC155" i="102" s="1"/>
  <c r="AC165" i="102" a="1"/>
  <c r="AC165" i="102" s="1"/>
  <c r="AC175" i="102" a="1"/>
  <c r="AC175" i="102" s="1"/>
  <c r="AC186" i="102" a="1"/>
  <c r="AC186" i="102" s="1"/>
  <c r="AC198" i="102" a="1"/>
  <c r="AC198" i="102" s="1"/>
  <c r="AC210" i="102" a="1"/>
  <c r="AC210" i="102" s="1"/>
  <c r="AC222" i="102" a="1"/>
  <c r="AC222" i="102" s="1"/>
  <c r="AT249" i="112"/>
  <c r="AU249" i="112" s="1"/>
  <c r="AT250" i="112"/>
  <c r="AU250" i="112" s="1"/>
  <c r="AT46" i="112"/>
  <c r="AU46" i="112" s="1"/>
  <c r="AT47" i="112"/>
  <c r="AU47" i="112" s="1"/>
  <c r="AJ103" i="103"/>
  <c r="AK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Z1" i="102"/>
  <c r="AX1" i="103"/>
  <c r="AX1" i="96"/>
  <c r="BH1" i="112"/>
  <c r="AZ5" i="112" l="1" a="1"/>
  <c r="AZ5" i="112" s="1"/>
  <c r="AP5" i="103" a="1"/>
  <c r="AP5" i="103" s="1"/>
  <c r="AP5" i="96" a="1"/>
  <c r="AP5" i="96" s="1"/>
  <c r="BI2" i="112" l="1"/>
  <c r="AY2" i="96"/>
  <c r="AY2" i="103"/>
  <c r="B5" i="146" l="1"/>
  <c r="B6" i="146"/>
  <c r="B7" i="146"/>
  <c r="D7" i="146"/>
  <c r="D5" i="146"/>
  <c r="D6" i="146"/>
  <c r="E5" i="146" l="1"/>
  <c r="E7" i="146"/>
  <c r="E6" i="146"/>
  <c r="D8" i="146" l="1"/>
  <c r="AG43" i="96" l="1"/>
  <c r="AH43" i="96" s="1"/>
  <c r="AI43" i="96" s="1"/>
  <c r="AJ43" i="96" s="1"/>
  <c r="AK43" i="96" s="1"/>
  <c r="AG45" i="96"/>
  <c r="AH45" i="96" s="1"/>
  <c r="AI45" i="96" s="1"/>
  <c r="AJ45" i="96" s="1"/>
  <c r="AK45" i="96" s="1"/>
  <c r="AG58" i="96"/>
  <c r="AH58" i="96" s="1"/>
  <c r="AI58" i="96" s="1"/>
  <c r="AJ58" i="96" s="1"/>
  <c r="AK58" i="96" s="1"/>
  <c r="AG60" i="96"/>
  <c r="AH60" i="96" s="1"/>
  <c r="AI60" i="96" s="1"/>
  <c r="AJ60" i="96" s="1"/>
  <c r="AK60" i="96" s="1"/>
  <c r="AG62" i="96"/>
  <c r="AH62" i="96" s="1"/>
  <c r="AI62" i="96" s="1"/>
  <c r="AJ62" i="96" s="1"/>
  <c r="AK62" i="96" s="1"/>
  <c r="AG76" i="96"/>
  <c r="AH76" i="96" s="1"/>
  <c r="AI76" i="96" s="1"/>
  <c r="AJ76" i="96" s="1"/>
  <c r="AK76" i="96" s="1"/>
  <c r="AG78" i="96"/>
  <c r="AH78" i="96" s="1"/>
  <c r="AI78" i="96" s="1"/>
  <c r="AJ78" i="96" s="1"/>
  <c r="AK78" i="96" s="1"/>
  <c r="AG86" i="96"/>
  <c r="AH86" i="96" s="1"/>
  <c r="AI86" i="96" s="1"/>
  <c r="AJ86" i="96" s="1"/>
  <c r="AK86" i="96" s="1"/>
  <c r="AG89" i="96"/>
  <c r="AH89" i="96" s="1"/>
  <c r="AI89" i="96" s="1"/>
  <c r="AJ89" i="96" s="1"/>
  <c r="AK89" i="96" s="1"/>
  <c r="AG105" i="96"/>
  <c r="AH105" i="96" s="1"/>
  <c r="AI105" i="96" s="1"/>
  <c r="AJ105" i="96" s="1"/>
  <c r="AK105" i="96" s="1"/>
  <c r="AG123" i="96"/>
  <c r="AH123" i="96" s="1"/>
  <c r="AI123" i="96" s="1"/>
  <c r="AJ123" i="96" s="1"/>
  <c r="AK123" i="96" s="1"/>
  <c r="AG124" i="96"/>
  <c r="AH124" i="96" s="1"/>
  <c r="AI124" i="96" s="1"/>
  <c r="AJ124" i="96" s="1"/>
  <c r="AK124" i="96" s="1"/>
  <c r="AG127" i="96"/>
  <c r="AH127" i="96" s="1"/>
  <c r="AI127" i="96" s="1"/>
  <c r="AJ127" i="96" s="1"/>
  <c r="AK127" i="96" s="1"/>
  <c r="AG128" i="96"/>
  <c r="AH128" i="96" s="1"/>
  <c r="AI128" i="96" s="1"/>
  <c r="AJ128" i="96" s="1"/>
  <c r="AK128" i="96" s="1"/>
  <c r="AG130" i="96"/>
  <c r="AH130" i="96" s="1"/>
  <c r="AI130" i="96" s="1"/>
  <c r="AJ130" i="96" s="1"/>
  <c r="AK130" i="96" s="1"/>
  <c r="AG132" i="96"/>
  <c r="AH132" i="96" s="1"/>
  <c r="AI132" i="96" s="1"/>
  <c r="AJ132" i="96" s="1"/>
  <c r="AK132" i="96" s="1"/>
  <c r="AG134" i="96"/>
  <c r="AH134" i="96" s="1"/>
  <c r="AI134" i="96" s="1"/>
  <c r="AJ134" i="96" s="1"/>
  <c r="AK134" i="96" s="1"/>
  <c r="AG195" i="96"/>
  <c r="AH195" i="96" s="1"/>
  <c r="AI195" i="96" s="1"/>
  <c r="AJ195" i="96" s="1"/>
  <c r="AK195" i="96" s="1"/>
  <c r="AG196" i="96"/>
  <c r="AH196" i="96" s="1"/>
  <c r="AI196" i="96" s="1"/>
  <c r="AJ196" i="96" s="1"/>
  <c r="AK196" i="96" s="1"/>
  <c r="AG233" i="96"/>
  <c r="AH233" i="96" s="1"/>
  <c r="AI233" i="96" s="1"/>
  <c r="AJ233" i="96" s="1"/>
  <c r="AK233" i="96" s="1"/>
  <c r="AG8" i="103"/>
  <c r="AH8" i="103" s="1"/>
  <c r="AI8" i="103" s="1"/>
  <c r="AJ8" i="103" s="1"/>
  <c r="AK8" i="103" s="1"/>
  <c r="AG10" i="103"/>
  <c r="AH10" i="103" s="1"/>
  <c r="AI10" i="103" s="1"/>
  <c r="AJ10" i="103" s="1"/>
  <c r="AK10" i="103" s="1"/>
  <c r="AG15" i="103"/>
  <c r="AH15" i="103" s="1"/>
  <c r="AI15" i="103" s="1"/>
  <c r="AJ15" i="103" s="1"/>
  <c r="AK15" i="103" s="1"/>
  <c r="AG21" i="103"/>
  <c r="AH21" i="103" s="1"/>
  <c r="AI21" i="103" s="1"/>
  <c r="AJ21" i="103" s="1"/>
  <c r="AK21" i="103" s="1"/>
  <c r="AG22" i="103"/>
  <c r="AH22" i="103" s="1"/>
  <c r="AI22" i="103" s="1"/>
  <c r="AJ22" i="103" s="1"/>
  <c r="AK22" i="103" s="1"/>
  <c r="AG26" i="103"/>
  <c r="AH26" i="103" s="1"/>
  <c r="AI26" i="103" s="1"/>
  <c r="AJ26" i="103" s="1"/>
  <c r="AK26" i="103" s="1"/>
  <c r="AG29" i="103"/>
  <c r="AH29" i="103" s="1"/>
  <c r="AI29" i="103" s="1"/>
  <c r="AJ29" i="103" s="1"/>
  <c r="AK29" i="103" s="1"/>
  <c r="AG30" i="103"/>
  <c r="AH30" i="103" s="1"/>
  <c r="AI30" i="103" s="1"/>
  <c r="AJ30" i="103" s="1"/>
  <c r="AK30" i="103" s="1"/>
  <c r="AG33" i="103"/>
  <c r="AH33" i="103" s="1"/>
  <c r="AI33" i="103" s="1"/>
  <c r="AJ33" i="103" s="1"/>
  <c r="AK33" i="103" s="1"/>
  <c r="AG46" i="103"/>
  <c r="AH46" i="103" s="1"/>
  <c r="AI46" i="103" s="1"/>
  <c r="AJ46" i="103" s="1"/>
  <c r="AK46" i="103" s="1"/>
  <c r="AG48" i="103"/>
  <c r="AH48" i="103" s="1"/>
  <c r="AI48" i="103" s="1"/>
  <c r="AJ48" i="103" s="1"/>
  <c r="AK48" i="103" s="1"/>
  <c r="AG51" i="103"/>
  <c r="AH51" i="103" s="1"/>
  <c r="AI51" i="103" s="1"/>
  <c r="AJ51" i="103" s="1"/>
  <c r="AK51" i="103" s="1"/>
  <c r="AG61" i="103"/>
  <c r="AH61" i="103" s="1"/>
  <c r="AI61" i="103" s="1"/>
  <c r="AJ61" i="103" s="1"/>
  <c r="AK61" i="103" s="1"/>
  <c r="AG66" i="103"/>
  <c r="AH66" i="103" s="1"/>
  <c r="AI66" i="103" s="1"/>
  <c r="AJ66" i="103" s="1"/>
  <c r="AK66" i="103" s="1"/>
  <c r="AG68" i="103"/>
  <c r="AH68" i="103" s="1"/>
  <c r="AI68" i="103" s="1"/>
  <c r="AJ68" i="103" s="1"/>
  <c r="AK68" i="103" s="1"/>
  <c r="AG83" i="103"/>
  <c r="AH83" i="103" s="1"/>
  <c r="AI83" i="103" s="1"/>
  <c r="AJ83" i="103" s="1"/>
  <c r="AK83" i="103" s="1"/>
  <c r="AG84" i="103"/>
  <c r="AH84" i="103" s="1"/>
  <c r="AI84" i="103" s="1"/>
  <c r="AJ84" i="103" s="1"/>
  <c r="AK84" i="103" s="1"/>
  <c r="AG86" i="103"/>
  <c r="AH86" i="103" s="1"/>
  <c r="AI86" i="103" s="1"/>
  <c r="AJ86" i="103" s="1"/>
  <c r="AK86" i="103" s="1"/>
  <c r="AG87" i="103"/>
  <c r="AH87" i="103" s="1"/>
  <c r="AI87" i="103" s="1"/>
  <c r="AJ87" i="103" s="1"/>
  <c r="AK87" i="103" s="1"/>
  <c r="AG89" i="103"/>
  <c r="AH89" i="103" s="1"/>
  <c r="AI89" i="103" s="1"/>
  <c r="AJ89" i="103" s="1"/>
  <c r="AK89" i="103" s="1"/>
  <c r="AG90" i="103"/>
  <c r="AH90" i="103" s="1"/>
  <c r="AI90" i="103" s="1"/>
  <c r="AJ90" i="103" s="1"/>
  <c r="AK90" i="103" s="1"/>
  <c r="AG92" i="103"/>
  <c r="AH92" i="103"/>
  <c r="AI92" i="103" s="1"/>
  <c r="AJ92" i="103" s="1"/>
  <c r="AK92" i="103" s="1"/>
  <c r="AG94" i="103"/>
  <c r="AH94" i="103" s="1"/>
  <c r="AI94" i="103" s="1"/>
  <c r="AJ94" i="103" s="1"/>
  <c r="AK94" i="103" s="1"/>
  <c r="AG111" i="103"/>
  <c r="AH111" i="103" s="1"/>
  <c r="AI111" i="103" s="1"/>
  <c r="AJ111" i="103" s="1"/>
  <c r="AK111" i="103" s="1"/>
  <c r="AG112" i="103"/>
  <c r="AH112" i="103" s="1"/>
  <c r="AI112" i="103" s="1"/>
  <c r="AJ112" i="103" s="1"/>
  <c r="AK112" i="103" s="1"/>
  <c r="AG113" i="103"/>
  <c r="AH113" i="103" s="1"/>
  <c r="AI113" i="103" s="1"/>
  <c r="AJ113" i="103" s="1"/>
  <c r="AK113" i="103" s="1"/>
  <c r="AG115" i="103"/>
  <c r="AH115" i="103" s="1"/>
  <c r="AI115" i="103" s="1"/>
  <c r="AJ115" i="103" s="1"/>
  <c r="AK115" i="103" s="1"/>
  <c r="AG116" i="103"/>
  <c r="AH116" i="103" s="1"/>
  <c r="AI116" i="103" s="1"/>
  <c r="AJ116" i="103" s="1"/>
  <c r="AK116" i="103" s="1"/>
  <c r="AG117" i="103"/>
  <c r="AH117" i="103" s="1"/>
  <c r="AI117" i="103" s="1"/>
  <c r="AJ117" i="103" s="1"/>
  <c r="AK117" i="103" s="1"/>
  <c r="AG118" i="103"/>
  <c r="AH118" i="103" s="1"/>
  <c r="AI118" i="103" s="1"/>
  <c r="AJ118" i="103" s="1"/>
  <c r="AK118" i="103" s="1"/>
  <c r="AG119" i="103"/>
  <c r="AH119" i="103" s="1"/>
  <c r="AI119" i="103" s="1"/>
  <c r="AJ119" i="103" s="1"/>
  <c r="AK119" i="103" s="1"/>
  <c r="AG120" i="103"/>
  <c r="AH120" i="103" s="1"/>
  <c r="AI120" i="103" s="1"/>
  <c r="AJ120" i="103" s="1"/>
  <c r="AK120" i="103" s="1"/>
  <c r="AG121" i="103"/>
  <c r="AH121" i="103" s="1"/>
  <c r="AI121" i="103" s="1"/>
  <c r="AJ121" i="103" s="1"/>
  <c r="AK121" i="103" s="1"/>
  <c r="AG122" i="103"/>
  <c r="AH122" i="103" s="1"/>
  <c r="AI122" i="103" s="1"/>
  <c r="AJ122" i="103" s="1"/>
  <c r="AK122" i="103" s="1"/>
  <c r="AG123" i="103"/>
  <c r="AH123" i="103" s="1"/>
  <c r="AI123" i="103" s="1"/>
  <c r="AJ123" i="103" s="1"/>
  <c r="AK123" i="103" s="1"/>
  <c r="AG124" i="103"/>
  <c r="AH124" i="103" s="1"/>
  <c r="AI124" i="103" s="1"/>
  <c r="AJ124" i="103" s="1"/>
  <c r="AK124" i="103" s="1"/>
  <c r="AG125" i="103"/>
  <c r="AH125" i="103"/>
  <c r="AI125" i="103" s="1"/>
  <c r="AJ125" i="103" s="1"/>
  <c r="AK125" i="103" s="1"/>
  <c r="AG126" i="103"/>
  <c r="AH126" i="103" s="1"/>
  <c r="AI126" i="103" s="1"/>
  <c r="AJ126" i="103" s="1"/>
  <c r="AK126" i="103" s="1"/>
  <c r="AG127" i="103"/>
  <c r="AH127" i="103" s="1"/>
  <c r="AI127" i="103" s="1"/>
  <c r="AJ127" i="103" s="1"/>
  <c r="AK127" i="103" s="1"/>
  <c r="AG128" i="103"/>
  <c r="AH128" i="103" s="1"/>
  <c r="AI128" i="103" s="1"/>
  <c r="AJ128" i="103" s="1"/>
  <c r="AK128" i="103" s="1"/>
  <c r="AG129" i="103"/>
  <c r="AH129" i="103" s="1"/>
  <c r="AI129" i="103" s="1"/>
  <c r="AJ129" i="103" s="1"/>
  <c r="AK129" i="103" s="1"/>
  <c r="AG130" i="103"/>
  <c r="AH130" i="103" s="1"/>
  <c r="AI130" i="103" s="1"/>
  <c r="AJ130" i="103" s="1"/>
  <c r="AK130" i="103" s="1"/>
  <c r="AG131" i="103"/>
  <c r="AH131" i="103" s="1"/>
  <c r="AI131" i="103" s="1"/>
  <c r="AJ131" i="103" s="1"/>
  <c r="AK131" i="103" s="1"/>
  <c r="AG132" i="103"/>
  <c r="AH132" i="103" s="1"/>
  <c r="AI132" i="103" s="1"/>
  <c r="AJ132" i="103" s="1"/>
  <c r="AK132" i="103" s="1"/>
  <c r="AG133" i="103"/>
  <c r="AH133" i="103" s="1"/>
  <c r="AI133" i="103" s="1"/>
  <c r="AJ133" i="103" s="1"/>
  <c r="AK133" i="103" s="1"/>
  <c r="AG142" i="103"/>
  <c r="AH142" i="103" s="1"/>
  <c r="AI142" i="103" s="1"/>
  <c r="AJ142" i="103" s="1"/>
  <c r="AK142" i="103" s="1"/>
  <c r="AG143" i="103"/>
  <c r="AH143" i="103"/>
  <c r="AI143" i="103" s="1"/>
  <c r="AJ143" i="103" s="1"/>
  <c r="AK143" i="103" s="1"/>
  <c r="AG152" i="103"/>
  <c r="AH152" i="103" s="1"/>
  <c r="AI152" i="103" s="1"/>
  <c r="AJ152" i="103" s="1"/>
  <c r="AK152" i="103" s="1"/>
  <c r="AG153" i="103"/>
  <c r="AH153" i="103" s="1"/>
  <c r="AI153" i="103" s="1"/>
  <c r="AJ153" i="103" s="1"/>
  <c r="AK153" i="103" s="1"/>
  <c r="AG162" i="103"/>
  <c r="AH162" i="103" s="1"/>
  <c r="AI162" i="103" s="1"/>
  <c r="AJ162" i="103" s="1"/>
  <c r="AK162" i="103" s="1"/>
  <c r="AG163" i="103"/>
  <c r="AH163" i="103" s="1"/>
  <c r="AI163" i="103" s="1"/>
  <c r="AJ163" i="103" s="1"/>
  <c r="AK163" i="103" s="1"/>
  <c r="AG165" i="103"/>
  <c r="AH165" i="103" s="1"/>
  <c r="AI165" i="103" s="1"/>
  <c r="AJ165" i="103" s="1"/>
  <c r="AK165" i="103" s="1"/>
  <c r="AG167" i="103"/>
  <c r="AH167" i="103" s="1"/>
  <c r="AI167" i="103" s="1"/>
  <c r="AJ167" i="103" s="1"/>
  <c r="AK167" i="103" s="1"/>
  <c r="AG169" i="103"/>
  <c r="AH169" i="103" s="1"/>
  <c r="AI169" i="103" s="1"/>
  <c r="AJ169" i="103" s="1"/>
  <c r="AK169" i="103" s="1"/>
  <c r="AG171" i="103"/>
  <c r="AH171" i="103" s="1"/>
  <c r="AI171" i="103" s="1"/>
  <c r="AJ171" i="103" s="1"/>
  <c r="AK171" i="103" s="1"/>
  <c r="AG173" i="103"/>
  <c r="AH173" i="103" s="1"/>
  <c r="AI173" i="103" s="1"/>
  <c r="AJ173" i="103" s="1"/>
  <c r="AK173" i="103" s="1"/>
  <c r="AG175" i="103"/>
  <c r="AH175" i="103" s="1"/>
  <c r="AI175" i="103" s="1"/>
  <c r="AJ175" i="103" s="1"/>
  <c r="AK175" i="103" s="1"/>
  <c r="AG177" i="103"/>
  <c r="AH177" i="103" s="1"/>
  <c r="AI177" i="103" s="1"/>
  <c r="AJ177" i="103" s="1"/>
  <c r="AK177" i="103" s="1"/>
  <c r="AG179" i="103"/>
  <c r="AH179" i="103" s="1"/>
  <c r="AI179" i="103" s="1"/>
  <c r="AJ179" i="103" s="1"/>
  <c r="AK179" i="103" s="1"/>
  <c r="AG181" i="103"/>
  <c r="AH181" i="103" s="1"/>
  <c r="AI181" i="103" s="1"/>
  <c r="AJ181" i="103" s="1"/>
  <c r="AK181" i="103" s="1"/>
  <c r="AG183" i="103"/>
  <c r="AH183" i="103" s="1"/>
  <c r="AI183" i="103" s="1"/>
  <c r="AJ183" i="103" s="1"/>
  <c r="AK183" i="103" s="1"/>
  <c r="AG185" i="103"/>
  <c r="AH185" i="103" s="1"/>
  <c r="AI185" i="103" s="1"/>
  <c r="AJ185" i="103" s="1"/>
  <c r="AK185" i="103" s="1"/>
  <c r="AG187" i="103"/>
  <c r="AH187" i="103" s="1"/>
  <c r="AI187" i="103" s="1"/>
  <c r="AJ187" i="103" s="1"/>
  <c r="AK187" i="103" s="1"/>
  <c r="AG189" i="103"/>
  <c r="AH189" i="103" s="1"/>
  <c r="AI189" i="103" s="1"/>
  <c r="AJ189" i="103" s="1"/>
  <c r="AK189" i="103" s="1"/>
  <c r="AG191" i="103"/>
  <c r="AH191" i="103"/>
  <c r="AI191" i="103" s="1"/>
  <c r="AJ191" i="103" s="1"/>
  <c r="AK191" i="103" s="1"/>
  <c r="AG193" i="103"/>
  <c r="AH193" i="103" s="1"/>
  <c r="AI193" i="103" s="1"/>
  <c r="AJ193" i="103" s="1"/>
  <c r="AK193" i="103" s="1"/>
  <c r="AG195" i="103"/>
  <c r="AH195" i="103" s="1"/>
  <c r="AI195" i="103" s="1"/>
  <c r="AJ195" i="103" s="1"/>
  <c r="AK195" i="103" s="1"/>
  <c r="AG197" i="103"/>
  <c r="AH197" i="103" s="1"/>
  <c r="AI197" i="103" s="1"/>
  <c r="AJ197" i="103" s="1"/>
  <c r="AK197" i="103" s="1"/>
  <c r="AG199" i="103"/>
  <c r="AH199" i="103" s="1"/>
  <c r="AI199" i="103" s="1"/>
  <c r="AJ199" i="103" s="1"/>
  <c r="AK199" i="103" s="1"/>
  <c r="AG201" i="103"/>
  <c r="AH201" i="103" s="1"/>
  <c r="AI201" i="103" s="1"/>
  <c r="AJ201" i="103" s="1"/>
  <c r="AK201" i="103" s="1"/>
  <c r="AG203" i="103"/>
  <c r="AH203" i="103" s="1"/>
  <c r="AI203" i="103" s="1"/>
  <c r="AJ203" i="103" s="1"/>
  <c r="AK203" i="103" s="1"/>
  <c r="AG205" i="103"/>
  <c r="AH205" i="103" s="1"/>
  <c r="AI205" i="103" s="1"/>
  <c r="AJ205" i="103" s="1"/>
  <c r="AK205" i="103" s="1"/>
  <c r="AG207" i="103"/>
  <c r="AH207" i="103" s="1"/>
  <c r="AI207" i="103" s="1"/>
  <c r="AJ207" i="103" s="1"/>
  <c r="AK207" i="103" s="1"/>
  <c r="AG209" i="103"/>
  <c r="AH209" i="103" s="1"/>
  <c r="AI209" i="103" s="1"/>
  <c r="AJ209" i="103" s="1"/>
  <c r="AK209" i="103" s="1"/>
  <c r="AG211" i="103"/>
  <c r="AH211" i="103" s="1"/>
  <c r="AI211" i="103" s="1"/>
  <c r="AJ211" i="103" s="1"/>
  <c r="AK211" i="103" s="1"/>
  <c r="AG220" i="103"/>
  <c r="AH220" i="103" s="1"/>
  <c r="AI220" i="103" s="1"/>
  <c r="AJ220" i="103" s="1"/>
  <c r="AK220" i="103" s="1"/>
  <c r="AG221" i="103"/>
  <c r="AH221" i="103" s="1"/>
  <c r="AI221" i="103" s="1"/>
  <c r="AJ221" i="103" s="1"/>
  <c r="AK221" i="103" s="1"/>
  <c r="AG230" i="103"/>
  <c r="AH230" i="103" s="1"/>
  <c r="AI230" i="103" s="1"/>
  <c r="AJ230" i="103" s="1"/>
  <c r="AK230" i="103" s="1"/>
  <c r="AG231" i="103"/>
  <c r="AH231" i="103" s="1"/>
  <c r="AI231" i="103" s="1"/>
  <c r="AJ231" i="103" s="1"/>
  <c r="AK231" i="103" s="1"/>
  <c r="AG294" i="103"/>
  <c r="AH294" i="103" s="1"/>
  <c r="AI294" i="103" s="1"/>
  <c r="AJ294" i="103" s="1"/>
  <c r="AK294" i="103" s="1"/>
  <c r="AG295" i="103"/>
  <c r="AH295" i="103" s="1"/>
  <c r="AI295" i="103" s="1"/>
  <c r="AJ295" i="103" s="1"/>
  <c r="AK295" i="103" s="1"/>
  <c r="AG308" i="103"/>
  <c r="AH308" i="103" s="1"/>
  <c r="AI308" i="103" s="1"/>
  <c r="AJ308" i="103" s="1"/>
  <c r="AK308" i="103" s="1"/>
  <c r="AG309" i="103"/>
  <c r="AH309" i="103"/>
  <c r="AI309" i="103" s="1"/>
  <c r="AJ309" i="103" s="1"/>
  <c r="AK309" i="103" s="1"/>
  <c r="AL282" i="112" a="1"/>
  <c r="AL282" i="112" s="1"/>
  <c r="AM282" i="112" s="1"/>
  <c r="AQ282" i="112" s="1"/>
  <c r="AR282" i="112" s="1"/>
  <c r="AS282" i="112" s="1"/>
  <c r="AT282" i="112" s="1"/>
  <c r="AU282" i="112" s="1"/>
  <c r="AL281" i="112" a="1"/>
  <c r="AL281" i="112" s="1"/>
  <c r="AM281" i="112" s="1"/>
  <c r="AQ281" i="112" s="1"/>
  <c r="AR281" i="112" s="1"/>
  <c r="AS281" i="112" s="1"/>
  <c r="AT281" i="112" s="1"/>
  <c r="AU281" i="112" s="1"/>
  <c r="AL280" i="112" a="1"/>
  <c r="AL280" i="112" s="1"/>
  <c r="AM280" i="112" s="1"/>
  <c r="AQ280" i="112" s="1"/>
  <c r="AR280" i="112" s="1"/>
  <c r="AS280" i="112" s="1"/>
  <c r="AT280" i="112" s="1"/>
  <c r="AU280" i="112" s="1"/>
  <c r="AL279" i="112" a="1"/>
  <c r="AL279" i="112" s="1"/>
  <c r="AM279" i="112" s="1"/>
  <c r="AQ279" i="112" s="1"/>
  <c r="AR279" i="112" s="1"/>
  <c r="AS279" i="112" s="1"/>
  <c r="AT279" i="112" s="1"/>
  <c r="AU279" i="112" s="1"/>
  <c r="AL278" i="112" a="1"/>
  <c r="AL278" i="112" s="1"/>
  <c r="AM278" i="112" s="1"/>
  <c r="AQ278" i="112" s="1"/>
  <c r="AR278" i="112" s="1"/>
  <c r="AS278" i="112" s="1"/>
  <c r="AT278" i="112" s="1"/>
  <c r="AU278" i="112" s="1"/>
  <c r="AL277" i="112" a="1"/>
  <c r="AL277" i="112" s="1"/>
  <c r="AM277" i="112" s="1"/>
  <c r="AQ277" i="112" s="1"/>
  <c r="AR277" i="112" s="1"/>
  <c r="AS277" i="112" s="1"/>
  <c r="AT277" i="112" s="1"/>
  <c r="AU277" i="112" s="1"/>
  <c r="AL276" i="112" a="1"/>
  <c r="AL276" i="112" s="1"/>
  <c r="AM276" i="112" s="1"/>
  <c r="AQ276" i="112" s="1"/>
  <c r="AR276" i="112" s="1"/>
  <c r="AS276" i="112" s="1"/>
  <c r="AT276" i="112" s="1"/>
  <c r="AU276" i="112" s="1"/>
  <c r="AL275" i="112" a="1"/>
  <c r="AL275" i="112" s="1"/>
  <c r="AM275" i="112" s="1"/>
  <c r="AQ275" i="112" s="1"/>
  <c r="AR275" i="112" s="1"/>
  <c r="AS275" i="112" s="1"/>
  <c r="AT275" i="112" s="1"/>
  <c r="AU275" i="112" s="1"/>
  <c r="AL274" i="112" a="1"/>
  <c r="AL274" i="112" s="1"/>
  <c r="AM274" i="112" s="1"/>
  <c r="AQ274" i="112" s="1"/>
  <c r="AR274" i="112" s="1"/>
  <c r="AS274" i="112" s="1"/>
  <c r="AT274" i="112" s="1"/>
  <c r="AU274" i="112" s="1"/>
  <c r="AL273" i="112" a="1"/>
  <c r="AL273" i="112" s="1"/>
  <c r="AM273" i="112" s="1"/>
  <c r="AQ273" i="112" s="1"/>
  <c r="AR273" i="112" s="1"/>
  <c r="AS273" i="112" s="1"/>
  <c r="AT273" i="112" s="1"/>
  <c r="AU273" i="112" s="1"/>
  <c r="AL272" i="112" a="1"/>
  <c r="AL272" i="112" s="1"/>
  <c r="AM272" i="112" s="1"/>
  <c r="AQ272" i="112" s="1"/>
  <c r="AR272" i="112" s="1"/>
  <c r="AS272" i="112" s="1"/>
  <c r="AT272" i="112" s="1"/>
  <c r="AU272" i="112" s="1"/>
  <c r="AL271" i="112" a="1"/>
  <c r="AL271" i="112" s="1"/>
  <c r="AM271" i="112" s="1"/>
  <c r="AQ271" i="112" s="1"/>
  <c r="AR271" i="112" s="1"/>
  <c r="AS271" i="112" s="1"/>
  <c r="AT271" i="112" s="1"/>
  <c r="AU271" i="112" s="1"/>
  <c r="AK270" i="112" a="1"/>
  <c r="AK270" i="112" s="1"/>
  <c r="AM270" i="112" s="1"/>
  <c r="AQ270" i="112" s="1"/>
  <c r="AR270" i="112" s="1"/>
  <c r="AS270" i="112" s="1"/>
  <c r="AT270" i="112" s="1"/>
  <c r="AU270" i="112" s="1"/>
  <c r="AL269" i="112" a="1"/>
  <c r="AL269" i="112" s="1"/>
  <c r="AM269" i="112" s="1"/>
  <c r="AQ269" i="112" s="1"/>
  <c r="AR269" i="112" s="1"/>
  <c r="AS269" i="112" s="1"/>
  <c r="AT269" i="112" s="1"/>
  <c r="AU269" i="112" s="1"/>
  <c r="AL268" i="112" a="1"/>
  <c r="AL268" i="112" s="1"/>
  <c r="AM268" i="112" s="1"/>
  <c r="AQ268" i="112" s="1"/>
  <c r="AR268" i="112" s="1"/>
  <c r="AS268" i="112" s="1"/>
  <c r="AT268" i="112" s="1"/>
  <c r="AU268" i="112" s="1"/>
  <c r="AL267" i="112" a="1"/>
  <c r="AL267" i="112" s="1"/>
  <c r="AM267" i="112" s="1"/>
  <c r="AQ267" i="112" s="1"/>
  <c r="AR267" i="112" s="1"/>
  <c r="AS267" i="112" s="1"/>
  <c r="AT267" i="112" s="1"/>
  <c r="AU267" i="112" s="1"/>
  <c r="AK266" i="112" a="1"/>
  <c r="AK266" i="112" s="1"/>
  <c r="AM266" i="112" s="1"/>
  <c r="AQ266" i="112" s="1"/>
  <c r="AR266" i="112" s="1"/>
  <c r="AS266" i="112" s="1"/>
  <c r="AT266" i="112" s="1"/>
  <c r="AU266" i="112" s="1"/>
  <c r="AK265" i="112" a="1"/>
  <c r="AK265" i="112" s="1"/>
  <c r="AM265" i="112" s="1"/>
  <c r="AQ265" i="112" s="1"/>
  <c r="AR265" i="112" s="1"/>
  <c r="AS265" i="112" s="1"/>
  <c r="AT265" i="112" s="1"/>
  <c r="AU265" i="112" s="1"/>
  <c r="AK264" i="112" a="1"/>
  <c r="AK264" i="112" s="1"/>
  <c r="AM264" i="112" s="1"/>
  <c r="AQ264" i="112" s="1"/>
  <c r="AR264" i="112" s="1"/>
  <c r="AS264" i="112" s="1"/>
  <c r="AT264" i="112" s="1"/>
  <c r="AU264" i="112" s="1"/>
  <c r="AK263" i="112" a="1"/>
  <c r="AK263" i="112" s="1"/>
  <c r="AM263" i="112" s="1"/>
  <c r="AQ263" i="112" s="1"/>
  <c r="AR263" i="112" s="1"/>
  <c r="AS263" i="112" s="1"/>
  <c r="AT263" i="112" s="1"/>
  <c r="AU263" i="112" s="1"/>
  <c r="AK262" i="112" a="1"/>
  <c r="AK262" i="112" s="1"/>
  <c r="AM262" i="112" s="1"/>
  <c r="AQ262" i="112" s="1"/>
  <c r="AR262" i="112" s="1"/>
  <c r="AS262" i="112" s="1"/>
  <c r="AT262" i="112" s="1"/>
  <c r="AU262" i="112" s="1"/>
  <c r="AK261" i="112" a="1"/>
  <c r="AK261" i="112" s="1"/>
  <c r="AM261" i="112" s="1"/>
  <c r="AQ261" i="112" s="1"/>
  <c r="AR261" i="112" s="1"/>
  <c r="AS261" i="112" s="1"/>
  <c r="AT261" i="112" s="1"/>
  <c r="AU261" i="112" s="1"/>
  <c r="AK260" i="112" a="1"/>
  <c r="AK260" i="112" s="1"/>
  <c r="AM260" i="112" s="1"/>
  <c r="AQ260" i="112" s="1"/>
  <c r="AR260" i="112" s="1"/>
  <c r="AS260" i="112" s="1"/>
  <c r="AT260" i="112" s="1"/>
  <c r="AU260" i="112" s="1"/>
  <c r="AK259" i="112" a="1"/>
  <c r="AK259" i="112" s="1"/>
  <c r="AM259" i="112" s="1"/>
  <c r="AQ259" i="112" s="1"/>
  <c r="AR259" i="112" s="1"/>
  <c r="AS259" i="112" s="1"/>
  <c r="AT259" i="112" s="1"/>
  <c r="AU259" i="112" s="1"/>
  <c r="AK258" i="112" a="1"/>
  <c r="AK258" i="112" s="1"/>
  <c r="AM258" i="112" s="1"/>
  <c r="AQ258" i="112" s="1"/>
  <c r="AR258" i="112" s="1"/>
  <c r="AS258" i="112" s="1"/>
  <c r="AT258" i="112" s="1"/>
  <c r="AU258" i="112" s="1"/>
  <c r="AK257" i="112" a="1"/>
  <c r="AK257" i="112" s="1"/>
  <c r="AM257" i="112" s="1"/>
  <c r="AQ257" i="112" s="1"/>
  <c r="AR257" i="112" s="1"/>
  <c r="AS257" i="112" s="1"/>
  <c r="AT257" i="112" s="1"/>
  <c r="AU257" i="112" s="1"/>
  <c r="AK256" i="112" a="1"/>
  <c r="AK256" i="112" s="1"/>
  <c r="AM256" i="112" s="1"/>
  <c r="AQ256" i="112" s="1"/>
  <c r="AR256" i="112" s="1"/>
  <c r="AS256" i="112" s="1"/>
  <c r="AT256" i="112" s="1"/>
  <c r="AU256" i="112" s="1"/>
  <c r="AK255" i="112" a="1"/>
  <c r="AK255" i="112" s="1"/>
  <c r="AM255" i="112" s="1"/>
  <c r="AQ255" i="112" s="1"/>
  <c r="AR255" i="112" s="1"/>
  <c r="AS255" i="112" s="1"/>
  <c r="AT255" i="112" s="1"/>
  <c r="AU255" i="112" s="1"/>
  <c r="AK254" i="112" a="1"/>
  <c r="AK254" i="112" s="1"/>
  <c r="AM254" i="112" s="1"/>
  <c r="AQ254" i="112" s="1"/>
  <c r="AR254" i="112" s="1"/>
  <c r="AS254" i="112" s="1"/>
  <c r="AT254" i="112" s="1"/>
  <c r="AU254" i="112" s="1"/>
  <c r="AL252" i="112" a="1"/>
  <c r="AL252" i="112" s="1"/>
  <c r="AM252" i="112" s="1"/>
  <c r="AQ252" i="112" s="1"/>
  <c r="AR252" i="112" s="1"/>
  <c r="AS252" i="112" s="1"/>
  <c r="AT252" i="112" s="1"/>
  <c r="AU252" i="112" s="1"/>
  <c r="AL251" i="112" a="1"/>
  <c r="AL251" i="112" s="1"/>
  <c r="AM251" i="112" s="1"/>
  <c r="AQ251" i="112" s="1"/>
  <c r="AR251" i="112" s="1"/>
  <c r="AS251" i="112" s="1"/>
  <c r="AT251" i="112" s="1"/>
  <c r="AU251" i="112" s="1"/>
  <c r="AL248" i="112" a="1"/>
  <c r="AL248" i="112" s="1"/>
  <c r="AK248" i="112" a="1"/>
  <c r="AK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L232" i="112" a="1"/>
  <c r="AL232" i="112" s="1"/>
  <c r="AK232" i="112" a="1"/>
  <c r="AK232" i="112" s="1"/>
  <c r="AL231" i="112" a="1"/>
  <c r="AL231" i="112" s="1"/>
  <c r="AK231" i="112" a="1"/>
  <c r="AK231" i="112" s="1"/>
  <c r="AL230" i="112" a="1"/>
  <c r="AL230" i="112" s="1"/>
  <c r="AK230" i="112" a="1"/>
  <c r="AK230" i="112" s="1"/>
  <c r="AL228" i="112" a="1"/>
  <c r="AL228" i="112" s="1"/>
  <c r="AK228" i="112" a="1"/>
  <c r="AK228" i="112" s="1"/>
  <c r="AL226" i="112" a="1"/>
  <c r="AL226" i="112" s="1"/>
  <c r="AK226" i="112" a="1"/>
  <c r="AK226" i="112" s="1"/>
  <c r="AL223" i="112" a="1"/>
  <c r="AL223" i="112" s="1"/>
  <c r="AK223" i="112" a="1"/>
  <c r="AK223" i="112" s="1"/>
  <c r="AL222" i="112" a="1"/>
  <c r="AL222" i="112" s="1"/>
  <c r="AK222" i="112" a="1"/>
  <c r="AK222" i="112" s="1"/>
  <c r="AL221" i="112" a="1"/>
  <c r="AL221" i="112" s="1"/>
  <c r="AK221" i="112" a="1"/>
  <c r="AK221" i="112" s="1"/>
  <c r="AL220" i="112" a="1"/>
  <c r="AL220" i="112" s="1"/>
  <c r="AK220" i="112" a="1"/>
  <c r="AK220" i="112" s="1"/>
  <c r="AL216" i="112" a="1"/>
  <c r="AL216" i="112" s="1"/>
  <c r="AK216" i="112" a="1"/>
  <c r="AK216" i="112" s="1"/>
  <c r="AL214" i="112" a="1"/>
  <c r="AL214" i="112" s="1"/>
  <c r="AM214" i="112" s="1"/>
  <c r="AQ214" i="112" s="1"/>
  <c r="AR214" i="112" s="1"/>
  <c r="AS214" i="112" s="1"/>
  <c r="AT214" i="112" s="1"/>
  <c r="AU214" i="112" s="1"/>
  <c r="AL213" i="112" a="1"/>
  <c r="AL213" i="112" s="1"/>
  <c r="AK213" i="112" a="1"/>
  <c r="AK213" i="112" s="1"/>
  <c r="AM213" i="112" s="1"/>
  <c r="AQ213" i="112" s="1"/>
  <c r="AR213" i="112" s="1"/>
  <c r="AS213" i="112" s="1"/>
  <c r="AT213" i="112" s="1"/>
  <c r="AU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K208" i="112" a="1"/>
  <c r="AK208" i="112" s="1"/>
  <c r="AM208" i="112" s="1"/>
  <c r="AQ208" i="112" s="1"/>
  <c r="AR208" i="112" s="1"/>
  <c r="AS208" i="112" s="1"/>
  <c r="AT208" i="112" s="1"/>
  <c r="AU208" i="112" s="1"/>
  <c r="AL205" i="112" a="1"/>
  <c r="AL205" i="112" s="1"/>
  <c r="AM205" i="112" s="1"/>
  <c r="AQ205" i="112" s="1"/>
  <c r="AR205" i="112" s="1"/>
  <c r="AS205" i="112" s="1"/>
  <c r="AT205" i="112" s="1"/>
  <c r="AU205" i="112" s="1"/>
  <c r="AK204" i="112" a="1"/>
  <c r="AK204" i="112" s="1"/>
  <c r="AM204" i="112" s="1"/>
  <c r="AQ204" i="112" s="1"/>
  <c r="AR204" i="112" s="1"/>
  <c r="AS204" i="112" s="1"/>
  <c r="AT204" i="112" s="1"/>
  <c r="AU204" i="112" s="1"/>
  <c r="AK203" i="112" a="1"/>
  <c r="AK203" i="112" s="1"/>
  <c r="AM203" i="112" s="1"/>
  <c r="AQ203" i="112" s="1"/>
  <c r="AR203" i="112" s="1"/>
  <c r="AS203" i="112" s="1"/>
  <c r="AT203" i="112" s="1"/>
  <c r="AU203" i="112" s="1"/>
  <c r="AL202" i="112" a="1"/>
  <c r="AL202" i="112" s="1"/>
  <c r="AM202" i="112" s="1"/>
  <c r="AQ202" i="112" s="1"/>
  <c r="AR202" i="112" s="1"/>
  <c r="AS202" i="112" s="1"/>
  <c r="AT202" i="112" s="1"/>
  <c r="AU202" i="112" s="1"/>
  <c r="AL201" i="112" a="1"/>
  <c r="AL201" i="112" s="1"/>
  <c r="AM201" i="112" s="1"/>
  <c r="AQ201" i="112" s="1"/>
  <c r="AR201" i="112" s="1"/>
  <c r="AS201" i="112" s="1"/>
  <c r="AT201" i="112" s="1"/>
  <c r="AU201" i="112" s="1"/>
  <c r="AL200" i="112" a="1"/>
  <c r="AL200" i="112" s="1"/>
  <c r="AM200" i="112" s="1"/>
  <c r="AQ200" i="112" s="1"/>
  <c r="AR200" i="112" s="1"/>
  <c r="AS200" i="112" s="1"/>
  <c r="AT200" i="112" s="1"/>
  <c r="AU200" i="112" s="1"/>
  <c r="AL199" i="112" a="1"/>
  <c r="AL199" i="112" s="1"/>
  <c r="AK199" i="112" a="1"/>
  <c r="AK199" i="112" s="1"/>
  <c r="AL198" i="112" a="1"/>
  <c r="AL198" i="112" s="1"/>
  <c r="AK198" i="112" a="1"/>
  <c r="AK198" i="112" s="1"/>
  <c r="AL193" i="112" a="1"/>
  <c r="AL193" i="112" s="1"/>
  <c r="AK193" i="112" a="1"/>
  <c r="AK193" i="112" s="1"/>
  <c r="AL192" i="112" a="1"/>
  <c r="AL192" i="112" s="1"/>
  <c r="AK192" i="112" a="1"/>
  <c r="AK192" i="112" s="1"/>
  <c r="AL191" i="112" a="1"/>
  <c r="AL191" i="112" s="1"/>
  <c r="AM191" i="112" s="1"/>
  <c r="AQ191" i="112" s="1"/>
  <c r="AR191" i="112" s="1"/>
  <c r="AS191" i="112" s="1"/>
  <c r="AT191" i="112" s="1"/>
  <c r="AU191" i="112" s="1"/>
  <c r="AL190" i="112" a="1"/>
  <c r="AL190" i="112" s="1"/>
  <c r="AK190" i="112" a="1"/>
  <c r="AK190" i="112" s="1"/>
  <c r="AM190" i="112" s="1"/>
  <c r="AQ190" i="112" s="1"/>
  <c r="AR190" i="112" s="1"/>
  <c r="AS190" i="112" s="1"/>
  <c r="AT190" i="112" s="1"/>
  <c r="AU190" i="112" s="1"/>
  <c r="AL189" i="112" a="1"/>
  <c r="AL189" i="112" s="1"/>
  <c r="AK189" i="112" a="1"/>
  <c r="AK189" i="112" s="1"/>
  <c r="AL187" i="112" a="1"/>
  <c r="AL187" i="112" s="1"/>
  <c r="AK187" i="112" a="1"/>
  <c r="AK187" i="112" s="1"/>
  <c r="AM187" i="112" s="1"/>
  <c r="AQ187" i="112" s="1"/>
  <c r="AR187" i="112" s="1"/>
  <c r="AS187" i="112" s="1"/>
  <c r="AT187" i="112" s="1"/>
  <c r="AU187" i="112" s="1"/>
  <c r="AL182" i="112" a="1"/>
  <c r="AL182" i="112" s="1"/>
  <c r="AK182" i="112" a="1"/>
  <c r="AK182" i="112" s="1"/>
  <c r="AL181" i="112" a="1"/>
  <c r="AL181" i="112" s="1"/>
  <c r="AK181" i="112" a="1"/>
  <c r="AK181" i="112" s="1"/>
  <c r="AM181" i="112" s="1"/>
  <c r="AQ181" i="112" s="1"/>
  <c r="AR181" i="112" s="1"/>
  <c r="AS181" i="112" s="1"/>
  <c r="AT181" i="112" s="1"/>
  <c r="AU181" i="112" s="1"/>
  <c r="AL180" i="112" a="1"/>
  <c r="AL180" i="112" s="1"/>
  <c r="AK180" i="112" a="1"/>
  <c r="AK180" i="112" s="1"/>
  <c r="AL179" i="112" a="1"/>
  <c r="AL179" i="112" s="1"/>
  <c r="AK179" i="112" a="1"/>
  <c r="AK179" i="112" s="1"/>
  <c r="AM179" i="112" s="1"/>
  <c r="AQ179" i="112" s="1"/>
  <c r="AR179" i="112" s="1"/>
  <c r="AS179" i="112" s="1"/>
  <c r="AT179" i="112" s="1"/>
  <c r="AU179" i="112" s="1"/>
  <c r="AL178" i="112" a="1"/>
  <c r="AL178" i="112" s="1"/>
  <c r="AK178" i="112" a="1"/>
  <c r="AK178" i="112" s="1"/>
  <c r="AL177" i="112" a="1"/>
  <c r="AL177" i="112" s="1"/>
  <c r="AK177" i="112" a="1"/>
  <c r="AK177" i="112" s="1"/>
  <c r="AM177" i="112" s="1"/>
  <c r="AQ177" i="112" s="1"/>
  <c r="AR177" i="112" s="1"/>
  <c r="AS177" i="112" s="1"/>
  <c r="AT177" i="112" s="1"/>
  <c r="AU177" i="112" s="1"/>
  <c r="AL175" i="112" a="1"/>
  <c r="AL175" i="112" s="1"/>
  <c r="AK175" i="112" a="1"/>
  <c r="AK175" i="112" s="1"/>
  <c r="AL174" i="112" a="1"/>
  <c r="AL174" i="112" s="1"/>
  <c r="AK174" i="112" a="1"/>
  <c r="AK174" i="112" s="1"/>
  <c r="AL173" i="112" a="1"/>
  <c r="AL173" i="112" s="1"/>
  <c r="AK173" i="112" a="1"/>
  <c r="AK173" i="112" s="1"/>
  <c r="AL172" i="112" a="1"/>
  <c r="AL172" i="112" s="1"/>
  <c r="AK172" i="112" a="1"/>
  <c r="AK172" i="112" s="1"/>
  <c r="AM172" i="112" s="1"/>
  <c r="AQ172" i="112" s="1"/>
  <c r="AR172" i="112" s="1"/>
  <c r="AS172" i="112" s="1"/>
  <c r="AT172" i="112" s="1"/>
  <c r="AU172" i="112" s="1"/>
  <c r="AL171" i="112" a="1"/>
  <c r="AL171" i="112" s="1"/>
  <c r="AK171" i="112" a="1"/>
  <c r="AK171" i="112" s="1"/>
  <c r="AL170" i="112" a="1"/>
  <c r="AL170" i="112" s="1"/>
  <c r="AK170" i="112" a="1"/>
  <c r="AK170" i="112" s="1"/>
  <c r="AL169" i="112" a="1"/>
  <c r="AL169" i="112" s="1"/>
  <c r="AK169" i="112" a="1"/>
  <c r="AK169" i="112" s="1"/>
  <c r="AL168" i="112" a="1"/>
  <c r="AL168" i="112" s="1"/>
  <c r="AK168" i="112" a="1"/>
  <c r="AK168" i="112" s="1"/>
  <c r="AL167" i="112" a="1"/>
  <c r="AL167" i="112" s="1"/>
  <c r="AK167" i="112" a="1"/>
  <c r="AK167" i="112" s="1"/>
  <c r="AL166" i="112" a="1"/>
  <c r="AL166" i="112" s="1"/>
  <c r="AK166" i="112" a="1"/>
  <c r="AK166" i="112" s="1"/>
  <c r="AL165" i="112" a="1"/>
  <c r="AL165" i="112" s="1"/>
  <c r="AK165" i="112" a="1"/>
  <c r="AK165" i="112" s="1"/>
  <c r="AL164" i="112" a="1"/>
  <c r="AL164" i="112" s="1"/>
  <c r="AK164" i="112" a="1"/>
  <c r="AK164" i="112" s="1"/>
  <c r="AL163" i="112" a="1"/>
  <c r="AL163" i="112" s="1"/>
  <c r="AK163" i="112" a="1"/>
  <c r="AK163" i="112" s="1"/>
  <c r="AL162" i="112" a="1"/>
  <c r="AL162" i="112" s="1"/>
  <c r="AK162" i="112" a="1"/>
  <c r="AK162" i="112" s="1"/>
  <c r="AL153" i="112" a="1"/>
  <c r="AL153" i="112" s="1"/>
  <c r="AK153" i="112" a="1"/>
  <c r="AK153" i="112" s="1"/>
  <c r="AL152" i="112" a="1"/>
  <c r="AL152" i="112" s="1"/>
  <c r="AK152" i="112" a="1"/>
  <c r="AK152" i="112" s="1"/>
  <c r="AM152" i="112" s="1"/>
  <c r="AQ152" i="112" s="1"/>
  <c r="AR152" i="112" s="1"/>
  <c r="AS152" i="112" s="1"/>
  <c r="AT152" i="112" s="1"/>
  <c r="AU152" i="112" s="1"/>
  <c r="AL150" i="112" a="1"/>
  <c r="AL150" i="112" s="1"/>
  <c r="AK150" i="112" a="1"/>
  <c r="AK150" i="112" s="1"/>
  <c r="AL148" i="112" a="1"/>
  <c r="AL148" i="112" s="1"/>
  <c r="AK148" i="112" a="1"/>
  <c r="AK148" i="112" s="1"/>
  <c r="AL146" i="112" a="1"/>
  <c r="AL146" i="112" s="1"/>
  <c r="AK146" i="112" a="1"/>
  <c r="AK146" i="112" s="1"/>
  <c r="AL119" i="112" a="1"/>
  <c r="AL119" i="112" s="1"/>
  <c r="AK119" i="112" a="1"/>
  <c r="AK119" i="112" s="1"/>
  <c r="AM119" i="112" s="1"/>
  <c r="AQ119" i="112" s="1"/>
  <c r="AR119" i="112" s="1"/>
  <c r="AS119" i="112" s="1"/>
  <c r="AT119" i="112" s="1"/>
  <c r="AU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L104" i="112" a="1"/>
  <c r="AL104" i="112" s="1"/>
  <c r="AK104" i="112" a="1"/>
  <c r="AK104" i="112" s="1"/>
  <c r="AL103" i="112" a="1"/>
  <c r="AL103" i="112" s="1"/>
  <c r="AK103" i="112" a="1"/>
  <c r="AK103" i="112" s="1"/>
  <c r="AL102" i="112" a="1"/>
  <c r="AL102" i="112" s="1"/>
  <c r="AK102" i="112" a="1"/>
  <c r="AK102" i="112" s="1"/>
  <c r="AL101" i="112" a="1"/>
  <c r="AL101" i="112" s="1"/>
  <c r="AK101" i="112" a="1"/>
  <c r="AK101" i="112" s="1"/>
  <c r="AL100" i="112" a="1"/>
  <c r="AL100" i="112" s="1"/>
  <c r="AK100" i="112" a="1"/>
  <c r="AK100" i="112" s="1"/>
  <c r="AL99" i="112" a="1"/>
  <c r="AL99" i="112" s="1"/>
  <c r="AK99" i="112" a="1"/>
  <c r="AK99" i="112" s="1"/>
  <c r="AL98" i="112" a="1"/>
  <c r="AL98" i="112" s="1"/>
  <c r="AK98" i="112" a="1"/>
  <c r="AK98" i="112" s="1"/>
  <c r="AK96" i="112" a="1"/>
  <c r="AK96" i="112" s="1"/>
  <c r="AM96" i="112" s="1"/>
  <c r="AQ96" i="112" s="1"/>
  <c r="AR96" i="112" s="1"/>
  <c r="AS96" i="112" s="1"/>
  <c r="AT96" i="112" s="1"/>
  <c r="AU96" i="112" s="1"/>
  <c r="AK64" i="112" a="1"/>
  <c r="AK64" i="112" s="1"/>
  <c r="AM64" i="112" s="1"/>
  <c r="AQ64" i="112" s="1"/>
  <c r="AR64" i="112" s="1"/>
  <c r="AS64" i="112" s="1"/>
  <c r="AT64" i="112" s="1"/>
  <c r="AU64" i="112" s="1"/>
  <c r="AL51" i="112" a="1"/>
  <c r="AL51" i="112" s="1"/>
  <c r="AK51" i="112" a="1"/>
  <c r="AK51" i="112" s="1"/>
  <c r="AL37" i="112" a="1"/>
  <c r="AL37" i="112" s="1"/>
  <c r="AK37" i="112" a="1"/>
  <c r="AK37" i="112" s="1"/>
  <c r="AL36" i="112" a="1"/>
  <c r="AL36" i="112" s="1"/>
  <c r="AK36" i="112" a="1"/>
  <c r="AK36" i="112" s="1"/>
  <c r="AL30" i="112" a="1"/>
  <c r="AL30" i="112" s="1"/>
  <c r="AM30" i="112" s="1"/>
  <c r="AQ30" i="112" s="1"/>
  <c r="AR30" i="112" s="1"/>
  <c r="AS30" i="112" s="1"/>
  <c r="AT30" i="112" s="1"/>
  <c r="AU30" i="112" s="1"/>
  <c r="AL25" i="112" a="1"/>
  <c r="AL25" i="112" s="1"/>
  <c r="AK25" i="112" a="1"/>
  <c r="AK25" i="112" s="1"/>
  <c r="AL24" i="112" a="1"/>
  <c r="AL24" i="112" s="1"/>
  <c r="AK24" i="112" a="1"/>
  <c r="AK24" i="112" s="1"/>
  <c r="AL23" i="112" a="1"/>
  <c r="AL23" i="112" s="1"/>
  <c r="AK23" i="112" a="1"/>
  <c r="AK23" i="112" s="1"/>
  <c r="AL8" i="112" a="1"/>
  <c r="AL8" i="112" s="1"/>
  <c r="AK8" i="112" a="1"/>
  <c r="AK8" i="112" s="1"/>
  <c r="AL6" i="112" a="1"/>
  <c r="AL6" i="112" s="1"/>
  <c r="AM6" i="112" s="1"/>
  <c r="AQ6" i="112" s="1"/>
  <c r="AR6" i="112" s="1"/>
  <c r="AS6" i="112" s="1"/>
  <c r="AT6" i="112" s="1"/>
  <c r="AU6" i="112" s="1"/>
  <c r="AK5" i="112" a="1"/>
  <c r="AK5" i="112" s="1"/>
  <c r="AM5" i="112" s="1"/>
  <c r="AQ5" i="112" s="1"/>
  <c r="AR5" i="112" s="1"/>
  <c r="AS5" i="112" s="1"/>
  <c r="AT5" i="112" s="1"/>
  <c r="AU5" i="112" s="1"/>
  <c r="AJ281" i="112"/>
  <c r="AM253" i="112"/>
  <c r="AQ253" i="112" s="1"/>
  <c r="AR253" i="112" s="1"/>
  <c r="AS253" i="112" s="1"/>
  <c r="AT253" i="112" s="1"/>
  <c r="AU253" i="112" s="1"/>
  <c r="AM244" i="112"/>
  <c r="AQ244" i="112" s="1"/>
  <c r="AR244" i="112" s="1"/>
  <c r="AS244" i="112" s="1"/>
  <c r="AT244" i="112" s="1"/>
  <c r="AU244" i="112" s="1"/>
  <c r="AM243" i="112"/>
  <c r="AQ243" i="112" s="1"/>
  <c r="AR243" i="112" s="1"/>
  <c r="AS243" i="112" s="1"/>
  <c r="AT243" i="112" s="1"/>
  <c r="AU243" i="112" s="1"/>
  <c r="AM238" i="112"/>
  <c r="AQ238" i="112" s="1"/>
  <c r="AR238" i="112" s="1"/>
  <c r="AS238" i="112" s="1"/>
  <c r="AT238" i="112" s="1"/>
  <c r="AU238" i="112" s="1"/>
  <c r="AM237" i="112"/>
  <c r="AQ237" i="112" s="1"/>
  <c r="AR237" i="112" s="1"/>
  <c r="AS237" i="112" s="1"/>
  <c r="AT237" i="112" s="1"/>
  <c r="AU237" i="112" s="1"/>
  <c r="AM236" i="112"/>
  <c r="AQ236" i="112" s="1"/>
  <c r="AR236" i="112" s="1"/>
  <c r="AS236" i="112" s="1"/>
  <c r="AT236" i="112" s="1"/>
  <c r="AU236" i="112" s="1"/>
  <c r="AM235" i="112"/>
  <c r="AQ235" i="112" s="1"/>
  <c r="AR235" i="112" s="1"/>
  <c r="AS235" i="112" s="1"/>
  <c r="AT235" i="112" s="1"/>
  <c r="AU235" i="112" s="1"/>
  <c r="AM234" i="112"/>
  <c r="AQ234" i="112" s="1"/>
  <c r="AR234" i="112" s="1"/>
  <c r="AS234" i="112" s="1"/>
  <c r="AT234" i="112" s="1"/>
  <c r="AU234" i="112" s="1"/>
  <c r="AM229" i="112"/>
  <c r="AQ229" i="112" s="1"/>
  <c r="AR229" i="112" s="1"/>
  <c r="AS229" i="112" s="1"/>
  <c r="AT229" i="112" s="1"/>
  <c r="AU229" i="112" s="1"/>
  <c r="AM227" i="112"/>
  <c r="AQ227" i="112" s="1"/>
  <c r="AR227" i="112" s="1"/>
  <c r="AS227" i="112" s="1"/>
  <c r="AT227" i="112" s="1"/>
  <c r="AU227" i="112" s="1"/>
  <c r="AM225" i="112"/>
  <c r="AQ225" i="112" s="1"/>
  <c r="AR225" i="112" s="1"/>
  <c r="AS225" i="112" s="1"/>
  <c r="AT225" i="112" s="1"/>
  <c r="AU225" i="112" s="1"/>
  <c r="AM224" i="112"/>
  <c r="AQ224" i="112" s="1"/>
  <c r="AR224" i="112" s="1"/>
  <c r="AS224" i="112" s="1"/>
  <c r="AT224" i="112" s="1"/>
  <c r="AU224" i="112" s="1"/>
  <c r="AM219" i="112"/>
  <c r="AQ219" i="112" s="1"/>
  <c r="AR219" i="112" s="1"/>
  <c r="AS219" i="112" s="1"/>
  <c r="AT219" i="112" s="1"/>
  <c r="AU219" i="112" s="1"/>
  <c r="AM218" i="112"/>
  <c r="AQ218" i="112" s="1"/>
  <c r="AR218" i="112" s="1"/>
  <c r="AS218" i="112" s="1"/>
  <c r="AT218" i="112" s="1"/>
  <c r="AU218" i="112" s="1"/>
  <c r="AM217" i="112"/>
  <c r="AQ217" i="112" s="1"/>
  <c r="AR217" i="112" s="1"/>
  <c r="AS217" i="112" s="1"/>
  <c r="AT217" i="112" s="1"/>
  <c r="AU217" i="112" s="1"/>
  <c r="AM215" i="112"/>
  <c r="AQ215" i="112" s="1"/>
  <c r="AR215" i="112" s="1"/>
  <c r="AS215" i="112" s="1"/>
  <c r="AT215" i="112" s="1"/>
  <c r="AU215" i="112" s="1"/>
  <c r="AJ215" i="112"/>
  <c r="AM212" i="112"/>
  <c r="AQ212" i="112" s="1"/>
  <c r="AR212" i="112" s="1"/>
  <c r="AS212" i="112" s="1"/>
  <c r="AT212" i="112" s="1"/>
  <c r="AU212" i="112" s="1"/>
  <c r="AM207" i="112"/>
  <c r="AQ207" i="112" s="1"/>
  <c r="AR207" i="112" s="1"/>
  <c r="AS207" i="112" s="1"/>
  <c r="AT207" i="112" s="1"/>
  <c r="AU207" i="112" s="1"/>
  <c r="AM206" i="112"/>
  <c r="AQ206" i="112" s="1"/>
  <c r="AR206" i="112" s="1"/>
  <c r="AS206" i="112" s="1"/>
  <c r="AT206" i="112" s="1"/>
  <c r="AU206" i="112" s="1"/>
  <c r="AM197" i="112"/>
  <c r="AQ197" i="112" s="1"/>
  <c r="AR197" i="112" s="1"/>
  <c r="AS197" i="112" s="1"/>
  <c r="AT197" i="112" s="1"/>
  <c r="AU197" i="112" s="1"/>
  <c r="AM196" i="112"/>
  <c r="AQ196" i="112" s="1"/>
  <c r="AR196" i="112" s="1"/>
  <c r="AS196" i="112" s="1"/>
  <c r="AT196" i="112" s="1"/>
  <c r="AU196" i="112" s="1"/>
  <c r="AM195" i="112"/>
  <c r="AQ195" i="112" s="1"/>
  <c r="AR195" i="112" s="1"/>
  <c r="AS195" i="112" s="1"/>
  <c r="AT195" i="112" s="1"/>
  <c r="AU195" i="112" s="1"/>
  <c r="AM194" i="112"/>
  <c r="AQ194" i="112" s="1"/>
  <c r="AR194" i="112" s="1"/>
  <c r="AS194" i="112" s="1"/>
  <c r="AT194" i="112" s="1"/>
  <c r="AU194" i="112" s="1"/>
  <c r="AH189" i="112"/>
  <c r="AM188" i="112"/>
  <c r="AQ188" i="112" s="1"/>
  <c r="AR188" i="112" s="1"/>
  <c r="AS188" i="112" s="1"/>
  <c r="AT188" i="112" s="1"/>
  <c r="AU188" i="112" s="1"/>
  <c r="AM186" i="112"/>
  <c r="AQ186" i="112" s="1"/>
  <c r="AR186" i="112" s="1"/>
  <c r="AS186" i="112" s="1"/>
  <c r="AT186" i="112" s="1"/>
  <c r="AU186" i="112" s="1"/>
  <c r="AM185" i="112"/>
  <c r="AQ185" i="112" s="1"/>
  <c r="AR185" i="112" s="1"/>
  <c r="AS185" i="112" s="1"/>
  <c r="AT185" i="112" s="1"/>
  <c r="AU185" i="112" s="1"/>
  <c r="AJ185" i="112"/>
  <c r="AM184" i="112"/>
  <c r="AQ184" i="112" s="1"/>
  <c r="AR184" i="112" s="1"/>
  <c r="AS184" i="112" s="1"/>
  <c r="AT184" i="112" s="1"/>
  <c r="AU184" i="112" s="1"/>
  <c r="AM183" i="112"/>
  <c r="AQ183" i="112" s="1"/>
  <c r="AR183" i="112" s="1"/>
  <c r="AS183" i="112" s="1"/>
  <c r="AT183" i="112" s="1"/>
  <c r="AU183" i="112" s="1"/>
  <c r="AJ183" i="112"/>
  <c r="AM176" i="112"/>
  <c r="AQ176" i="112" s="1"/>
  <c r="AR176" i="112" s="1"/>
  <c r="AS176" i="112" s="1"/>
  <c r="AT176" i="112" s="1"/>
  <c r="AU176" i="112" s="1"/>
  <c r="AM161" i="112"/>
  <c r="AQ161" i="112" s="1"/>
  <c r="AR161" i="112" s="1"/>
  <c r="AS161" i="112" s="1"/>
  <c r="AT161" i="112" s="1"/>
  <c r="AU161" i="112" s="1"/>
  <c r="AM160" i="112"/>
  <c r="AQ160" i="112" s="1"/>
  <c r="AR160" i="112" s="1"/>
  <c r="AS160" i="112" s="1"/>
  <c r="AT160" i="112" s="1"/>
  <c r="AU160" i="112" s="1"/>
  <c r="AM159" i="112"/>
  <c r="AQ159" i="112" s="1"/>
  <c r="AR159" i="112" s="1"/>
  <c r="AS159" i="112" s="1"/>
  <c r="AT159" i="112" s="1"/>
  <c r="AU159" i="112" s="1"/>
  <c r="AM158" i="112"/>
  <c r="AQ158" i="112" s="1"/>
  <c r="AR158" i="112" s="1"/>
  <c r="AS158" i="112" s="1"/>
  <c r="AT158" i="112" s="1"/>
  <c r="AU158" i="112" s="1"/>
  <c r="AM157" i="112"/>
  <c r="AQ157" i="112" s="1"/>
  <c r="AR157" i="112" s="1"/>
  <c r="AS157" i="112" s="1"/>
  <c r="AT157" i="112" s="1"/>
  <c r="AU157" i="112" s="1"/>
  <c r="AM156" i="112"/>
  <c r="AQ156" i="112" s="1"/>
  <c r="AR156" i="112" s="1"/>
  <c r="AS156" i="112" s="1"/>
  <c r="AT156" i="112" s="1"/>
  <c r="AU156" i="112" s="1"/>
  <c r="AM155" i="112"/>
  <c r="AQ155" i="112" s="1"/>
  <c r="AR155" i="112" s="1"/>
  <c r="AS155" i="112" s="1"/>
  <c r="AT155" i="112" s="1"/>
  <c r="AU155" i="112" s="1"/>
  <c r="AJ155" i="112"/>
  <c r="AM154" i="112"/>
  <c r="AQ154" i="112" s="1"/>
  <c r="AR154" i="112" s="1"/>
  <c r="AS154" i="112" s="1"/>
  <c r="AT154" i="112" s="1"/>
  <c r="AU154" i="112" s="1"/>
  <c r="AJ154" i="112"/>
  <c r="AM151" i="112"/>
  <c r="AQ151" i="112" s="1"/>
  <c r="AR151" i="112" s="1"/>
  <c r="AS151" i="112" s="1"/>
  <c r="AT151" i="112" s="1"/>
  <c r="AU151" i="112" s="1"/>
  <c r="AM149" i="112"/>
  <c r="AQ149" i="112" s="1"/>
  <c r="AR149" i="112" s="1"/>
  <c r="AS149" i="112" s="1"/>
  <c r="AT149" i="112" s="1"/>
  <c r="AU149" i="112" s="1"/>
  <c r="AM147" i="112"/>
  <c r="AQ147" i="112" s="1"/>
  <c r="AR147" i="112" s="1"/>
  <c r="AS147" i="112" s="1"/>
  <c r="AT147" i="112" s="1"/>
  <c r="AU147" i="112" s="1"/>
  <c r="AM145" i="112"/>
  <c r="AQ145" i="112" s="1"/>
  <c r="AR145" i="112" s="1"/>
  <c r="AS145" i="112" s="1"/>
  <c r="AT145" i="112" s="1"/>
  <c r="AU145" i="112" s="1"/>
  <c r="AM144" i="112"/>
  <c r="AQ144" i="112" s="1"/>
  <c r="AR144" i="112" s="1"/>
  <c r="AS144" i="112" s="1"/>
  <c r="AT144" i="112" s="1"/>
  <c r="AU144" i="112" s="1"/>
  <c r="AM143" i="112"/>
  <c r="AQ143" i="112" s="1"/>
  <c r="AR143" i="112" s="1"/>
  <c r="AS143" i="112" s="1"/>
  <c r="AT143" i="112" s="1"/>
  <c r="AU143" i="112" s="1"/>
  <c r="AM142" i="112"/>
  <c r="AQ142" i="112" s="1"/>
  <c r="AR142" i="112" s="1"/>
  <c r="AS142" i="112" s="1"/>
  <c r="AT142" i="112" s="1"/>
  <c r="AU142" i="112" s="1"/>
  <c r="AM141" i="112"/>
  <c r="AQ141" i="112" s="1"/>
  <c r="AR141" i="112" s="1"/>
  <c r="AS141" i="112" s="1"/>
  <c r="AT141" i="112" s="1"/>
  <c r="AU141" i="112" s="1"/>
  <c r="AM140" i="112"/>
  <c r="AQ140" i="112" s="1"/>
  <c r="AR140" i="112" s="1"/>
  <c r="AS140" i="112" s="1"/>
  <c r="AT140" i="112" s="1"/>
  <c r="AU140" i="112" s="1"/>
  <c r="AM139" i="112"/>
  <c r="AQ139" i="112" s="1"/>
  <c r="AR139" i="112" s="1"/>
  <c r="AS139" i="112" s="1"/>
  <c r="AT139" i="112" s="1"/>
  <c r="AU139" i="112" s="1"/>
  <c r="AM138" i="112"/>
  <c r="AQ138" i="112" s="1"/>
  <c r="AR138" i="112" s="1"/>
  <c r="AS138" i="112" s="1"/>
  <c r="AT138" i="112" s="1"/>
  <c r="AU138" i="112" s="1"/>
  <c r="AJ138" i="112"/>
  <c r="AM137" i="112"/>
  <c r="AQ137" i="112" s="1"/>
  <c r="AR137" i="112" s="1"/>
  <c r="AS137" i="112" s="1"/>
  <c r="AT137" i="112" s="1"/>
  <c r="AU137" i="112" s="1"/>
  <c r="AM136" i="112"/>
  <c r="AQ136" i="112" s="1"/>
  <c r="AR136" i="112" s="1"/>
  <c r="AS136" i="112" s="1"/>
  <c r="AT136" i="112" s="1"/>
  <c r="AU136" i="112" s="1"/>
  <c r="AM135" i="112"/>
  <c r="AQ135" i="112" s="1"/>
  <c r="AR135" i="112" s="1"/>
  <c r="AS135" i="112" s="1"/>
  <c r="AT135" i="112" s="1"/>
  <c r="AU135" i="112" s="1"/>
  <c r="AM134" i="112"/>
  <c r="AQ134" i="112" s="1"/>
  <c r="AR134" i="112" s="1"/>
  <c r="AS134" i="112" s="1"/>
  <c r="AT134" i="112" s="1"/>
  <c r="AU134" i="112" s="1"/>
  <c r="AM133" i="112"/>
  <c r="AQ133" i="112" s="1"/>
  <c r="AR133" i="112" s="1"/>
  <c r="AS133" i="112" s="1"/>
  <c r="AT133" i="112" s="1"/>
  <c r="AU133" i="112" s="1"/>
  <c r="AM132" i="112"/>
  <c r="AQ132" i="112" s="1"/>
  <c r="AR132" i="112" s="1"/>
  <c r="AS132" i="112" s="1"/>
  <c r="AT132" i="112" s="1"/>
  <c r="AU132" i="112" s="1"/>
  <c r="AM131" i="112"/>
  <c r="AQ131" i="112" s="1"/>
  <c r="AR131" i="112" s="1"/>
  <c r="AS131" i="112" s="1"/>
  <c r="AT131" i="112" s="1"/>
  <c r="AU131" i="112" s="1"/>
  <c r="AM130" i="112"/>
  <c r="AQ130" i="112" s="1"/>
  <c r="AR130" i="112" s="1"/>
  <c r="AS130" i="112" s="1"/>
  <c r="AT130" i="112" s="1"/>
  <c r="AU130" i="112" s="1"/>
  <c r="AM129" i="112"/>
  <c r="AQ129" i="112" s="1"/>
  <c r="AR129" i="112" s="1"/>
  <c r="AS129" i="112" s="1"/>
  <c r="AT129" i="112" s="1"/>
  <c r="AU129" i="112" s="1"/>
  <c r="AM128" i="112"/>
  <c r="AQ128" i="112" s="1"/>
  <c r="AR128" i="112" s="1"/>
  <c r="AS128" i="112" s="1"/>
  <c r="AT128" i="112" s="1"/>
  <c r="AU128" i="112" s="1"/>
  <c r="AM127" i="112"/>
  <c r="AQ127" i="112" s="1"/>
  <c r="AR127" i="112" s="1"/>
  <c r="AS127" i="112" s="1"/>
  <c r="AT127" i="112" s="1"/>
  <c r="AU127" i="112" s="1"/>
  <c r="AM126" i="112"/>
  <c r="AQ126" i="112" s="1"/>
  <c r="AR126" i="112" s="1"/>
  <c r="AS126" i="112" s="1"/>
  <c r="AT126" i="112" s="1"/>
  <c r="AU126" i="112" s="1"/>
  <c r="AM125" i="112"/>
  <c r="AQ125" i="112" s="1"/>
  <c r="AR125" i="112" s="1"/>
  <c r="AS125" i="112" s="1"/>
  <c r="AT125" i="112" s="1"/>
  <c r="AU125" i="112" s="1"/>
  <c r="AM124" i="112"/>
  <c r="AQ124" i="112" s="1"/>
  <c r="AR124" i="112" s="1"/>
  <c r="AS124" i="112" s="1"/>
  <c r="AT124" i="112" s="1"/>
  <c r="AU124" i="112" s="1"/>
  <c r="AM123" i="112"/>
  <c r="AQ123" i="112" s="1"/>
  <c r="AR123" i="112" s="1"/>
  <c r="AS123" i="112" s="1"/>
  <c r="AT123" i="112" s="1"/>
  <c r="AU123" i="112" s="1"/>
  <c r="AM122" i="112"/>
  <c r="AQ122" i="112" s="1"/>
  <c r="AR122" i="112" s="1"/>
  <c r="AS122" i="112" s="1"/>
  <c r="AT122" i="112" s="1"/>
  <c r="AU122" i="112" s="1"/>
  <c r="AM121" i="112"/>
  <c r="AQ121" i="112" s="1"/>
  <c r="AR121" i="112" s="1"/>
  <c r="AS121" i="112" s="1"/>
  <c r="AT121" i="112" s="1"/>
  <c r="AU121" i="112" s="1"/>
  <c r="AM120" i="112"/>
  <c r="AQ120" i="112" s="1"/>
  <c r="AR120" i="112" s="1"/>
  <c r="AS120" i="112" s="1"/>
  <c r="AT120" i="112" s="1"/>
  <c r="AU120" i="112" s="1"/>
  <c r="AM117" i="112"/>
  <c r="AQ117" i="112" s="1"/>
  <c r="AR117" i="112" s="1"/>
  <c r="AS117" i="112" s="1"/>
  <c r="AT117" i="112" s="1"/>
  <c r="AU117" i="112" s="1"/>
  <c r="AM116" i="112"/>
  <c r="AQ116" i="112" s="1"/>
  <c r="AR116" i="112" s="1"/>
  <c r="AS116" i="112" s="1"/>
  <c r="AT116" i="112" s="1"/>
  <c r="AU116" i="112" s="1"/>
  <c r="AM115" i="112"/>
  <c r="AQ115" i="112" s="1"/>
  <c r="AR115" i="112" s="1"/>
  <c r="AS115" i="112" s="1"/>
  <c r="AT115" i="112" s="1"/>
  <c r="AU115" i="112" s="1"/>
  <c r="AM114" i="112"/>
  <c r="AQ114" i="112" s="1"/>
  <c r="AR114" i="112" s="1"/>
  <c r="AS114" i="112" s="1"/>
  <c r="AT114" i="112" s="1"/>
  <c r="AU114" i="112" s="1"/>
  <c r="AM113" i="112"/>
  <c r="AQ113" i="112" s="1"/>
  <c r="AR113" i="112" s="1"/>
  <c r="AS113" i="112" s="1"/>
  <c r="AT113" i="112" s="1"/>
  <c r="AU113" i="112" s="1"/>
  <c r="AM112" i="112"/>
  <c r="AQ112" i="112" s="1"/>
  <c r="AR112" i="112" s="1"/>
  <c r="AS112" i="112" s="1"/>
  <c r="AT112" i="112" s="1"/>
  <c r="AU112" i="112" s="1"/>
  <c r="AM111" i="112"/>
  <c r="AQ111" i="112" s="1"/>
  <c r="AR111" i="112" s="1"/>
  <c r="AS111" i="112" s="1"/>
  <c r="AT111" i="112" s="1"/>
  <c r="AU111" i="112" s="1"/>
  <c r="AM110" i="112"/>
  <c r="AQ110" i="112" s="1"/>
  <c r="AR110" i="112" s="1"/>
  <c r="AS110" i="112" s="1"/>
  <c r="AT110" i="112" s="1"/>
  <c r="AU110" i="112" s="1"/>
  <c r="AM109" i="112"/>
  <c r="AQ109" i="112" s="1"/>
  <c r="AR109" i="112" s="1"/>
  <c r="AS109" i="112" s="1"/>
  <c r="AT109" i="112" s="1"/>
  <c r="AU109" i="112" s="1"/>
  <c r="AM108" i="112"/>
  <c r="AQ108" i="112" s="1"/>
  <c r="AR108" i="112" s="1"/>
  <c r="AS108" i="112" s="1"/>
  <c r="AT108" i="112" s="1"/>
  <c r="AU108" i="112" s="1"/>
  <c r="AM107" i="112"/>
  <c r="AQ107" i="112" s="1"/>
  <c r="AR107" i="112" s="1"/>
  <c r="AS107" i="112" s="1"/>
  <c r="AT107" i="112" s="1"/>
  <c r="AU107" i="112" s="1"/>
  <c r="AM97" i="112"/>
  <c r="AQ97" i="112" s="1"/>
  <c r="AR97" i="112" s="1"/>
  <c r="AS97" i="112" s="1"/>
  <c r="AT97" i="112" s="1"/>
  <c r="AU97" i="112" s="1"/>
  <c r="AM95" i="112"/>
  <c r="AQ95" i="112" s="1"/>
  <c r="AR95" i="112" s="1"/>
  <c r="AS95" i="112" s="1"/>
  <c r="AT95" i="112" s="1"/>
  <c r="AU95" i="112" s="1"/>
  <c r="AM94" i="112"/>
  <c r="AQ94" i="112" s="1"/>
  <c r="AR94" i="112" s="1"/>
  <c r="AS94" i="112" s="1"/>
  <c r="AT94" i="112" s="1"/>
  <c r="AU94" i="112" s="1"/>
  <c r="AM93" i="112"/>
  <c r="AQ93" i="112" s="1"/>
  <c r="AR93" i="112" s="1"/>
  <c r="AS93" i="112" s="1"/>
  <c r="AT93" i="112" s="1"/>
  <c r="AU93" i="112" s="1"/>
  <c r="AM92" i="112"/>
  <c r="AQ92" i="112" s="1"/>
  <c r="AR92" i="112" s="1"/>
  <c r="AS92" i="112" s="1"/>
  <c r="AT92" i="112" s="1"/>
  <c r="AU92" i="112" s="1"/>
  <c r="AM91" i="112"/>
  <c r="AQ91" i="112" s="1"/>
  <c r="AR91" i="112" s="1"/>
  <c r="AS91" i="112" s="1"/>
  <c r="AT91" i="112" s="1"/>
  <c r="AU91" i="112" s="1"/>
  <c r="AM90" i="112"/>
  <c r="AQ90" i="112" s="1"/>
  <c r="AR90" i="112" s="1"/>
  <c r="AS90" i="112" s="1"/>
  <c r="AT90" i="112" s="1"/>
  <c r="AU90" i="112" s="1"/>
  <c r="AM89" i="112"/>
  <c r="AQ89" i="112" s="1"/>
  <c r="AR89" i="112" s="1"/>
  <c r="AS89" i="112" s="1"/>
  <c r="AT89" i="112" s="1"/>
  <c r="AU89" i="112" s="1"/>
  <c r="AM88" i="112"/>
  <c r="AQ88" i="112" s="1"/>
  <c r="AR88" i="112" s="1"/>
  <c r="AS88" i="112" s="1"/>
  <c r="AT88" i="112" s="1"/>
  <c r="AU88" i="112" s="1"/>
  <c r="AM87" i="112"/>
  <c r="AQ87" i="112" s="1"/>
  <c r="AR87" i="112" s="1"/>
  <c r="AS87" i="112" s="1"/>
  <c r="AT87" i="112" s="1"/>
  <c r="AU87" i="112" s="1"/>
  <c r="AM86" i="112"/>
  <c r="AQ86" i="112" s="1"/>
  <c r="AR86" i="112" s="1"/>
  <c r="AS86" i="112" s="1"/>
  <c r="AT86" i="112" s="1"/>
  <c r="AU86" i="112" s="1"/>
  <c r="AM85" i="112"/>
  <c r="AQ85" i="112" s="1"/>
  <c r="AR85" i="112" s="1"/>
  <c r="AS85" i="112" s="1"/>
  <c r="AT85" i="112" s="1"/>
  <c r="AU85" i="112" s="1"/>
  <c r="AM84" i="112"/>
  <c r="AQ84" i="112" s="1"/>
  <c r="AR84" i="112" s="1"/>
  <c r="AS84" i="112" s="1"/>
  <c r="AT84" i="112" s="1"/>
  <c r="AU84" i="112" s="1"/>
  <c r="AM83" i="112"/>
  <c r="AQ83" i="112" s="1"/>
  <c r="AR83" i="112" s="1"/>
  <c r="AS83" i="112" s="1"/>
  <c r="AT83" i="112" s="1"/>
  <c r="AU83" i="112" s="1"/>
  <c r="AM82" i="112"/>
  <c r="AQ82" i="112" s="1"/>
  <c r="AR82" i="112" s="1"/>
  <c r="AS82" i="112" s="1"/>
  <c r="AT82" i="112" s="1"/>
  <c r="AU82" i="112" s="1"/>
  <c r="AM81" i="112"/>
  <c r="AQ81" i="112" s="1"/>
  <c r="AR81" i="112" s="1"/>
  <c r="AS81" i="112" s="1"/>
  <c r="AT81" i="112" s="1"/>
  <c r="AU81" i="112" s="1"/>
  <c r="AJ81" i="112"/>
  <c r="AM80" i="112"/>
  <c r="AQ80" i="112" s="1"/>
  <c r="AR80" i="112" s="1"/>
  <c r="AS80" i="112" s="1"/>
  <c r="AT80" i="112" s="1"/>
  <c r="AU80" i="112" s="1"/>
  <c r="AM79" i="112"/>
  <c r="AQ79" i="112" s="1"/>
  <c r="AR79" i="112" s="1"/>
  <c r="AS79" i="112" s="1"/>
  <c r="AT79" i="112" s="1"/>
  <c r="AU79" i="112" s="1"/>
  <c r="AM78" i="112"/>
  <c r="AQ78" i="112" s="1"/>
  <c r="AR78" i="112" s="1"/>
  <c r="AS78" i="112" s="1"/>
  <c r="AT78" i="112" s="1"/>
  <c r="AU78" i="112" s="1"/>
  <c r="AM77" i="112"/>
  <c r="AQ77" i="112" s="1"/>
  <c r="AR77" i="112" s="1"/>
  <c r="AS77" i="112" s="1"/>
  <c r="AT77" i="112" s="1"/>
  <c r="AU77" i="112" s="1"/>
  <c r="AM76" i="112"/>
  <c r="AQ76" i="112" s="1"/>
  <c r="AR76" i="112" s="1"/>
  <c r="AS76" i="112" s="1"/>
  <c r="AT76" i="112" s="1"/>
  <c r="AU76" i="112" s="1"/>
  <c r="AM75" i="112"/>
  <c r="AQ75" i="112" s="1"/>
  <c r="AR75" i="112" s="1"/>
  <c r="AS75" i="112" s="1"/>
  <c r="AT75" i="112" s="1"/>
  <c r="AU75" i="112" s="1"/>
  <c r="AM74" i="112"/>
  <c r="AQ74" i="112" s="1"/>
  <c r="AR74" i="112" s="1"/>
  <c r="AS74" i="112" s="1"/>
  <c r="AT74" i="112" s="1"/>
  <c r="AU74" i="112" s="1"/>
  <c r="AM73" i="112"/>
  <c r="AQ73" i="112" s="1"/>
  <c r="AR73" i="112" s="1"/>
  <c r="AS73" i="112" s="1"/>
  <c r="AT73" i="112" s="1"/>
  <c r="AU73" i="112" s="1"/>
  <c r="AM72" i="112"/>
  <c r="AQ72" i="112" s="1"/>
  <c r="AR72" i="112" s="1"/>
  <c r="AS72" i="112" s="1"/>
  <c r="AT72" i="112" s="1"/>
  <c r="AU72" i="112" s="1"/>
  <c r="AM71" i="112"/>
  <c r="AQ71" i="112" s="1"/>
  <c r="AR71" i="112" s="1"/>
  <c r="AS71" i="112" s="1"/>
  <c r="AT71" i="112" s="1"/>
  <c r="AU71" i="112" s="1"/>
  <c r="AM70" i="112"/>
  <c r="AQ70" i="112" s="1"/>
  <c r="AR70" i="112" s="1"/>
  <c r="AS70" i="112" s="1"/>
  <c r="AT70" i="112" s="1"/>
  <c r="AU70" i="112" s="1"/>
  <c r="AM69" i="112"/>
  <c r="AQ69" i="112" s="1"/>
  <c r="AR69" i="112" s="1"/>
  <c r="AS69" i="112" s="1"/>
  <c r="AT69" i="112" s="1"/>
  <c r="AU69" i="112" s="1"/>
  <c r="AM68" i="112"/>
  <c r="AQ68" i="112" s="1"/>
  <c r="AR68" i="112" s="1"/>
  <c r="AS68" i="112" s="1"/>
  <c r="AT68" i="112" s="1"/>
  <c r="AU68" i="112" s="1"/>
  <c r="AM67" i="112"/>
  <c r="AQ67" i="112" s="1"/>
  <c r="AR67" i="112" s="1"/>
  <c r="AS67" i="112" s="1"/>
  <c r="AT67" i="112" s="1"/>
  <c r="AU67" i="112" s="1"/>
  <c r="AJ67" i="112"/>
  <c r="AM66" i="112"/>
  <c r="AQ66" i="112" s="1"/>
  <c r="AR66" i="112" s="1"/>
  <c r="AS66" i="112" s="1"/>
  <c r="AT66" i="112" s="1"/>
  <c r="AU66" i="112" s="1"/>
  <c r="AM65" i="112"/>
  <c r="AQ65" i="112" s="1"/>
  <c r="AR65" i="112" s="1"/>
  <c r="AS65" i="112" s="1"/>
  <c r="AT65" i="112" s="1"/>
  <c r="AU65" i="112" s="1"/>
  <c r="AM63" i="112"/>
  <c r="AQ63" i="112" s="1"/>
  <c r="AR63" i="112" s="1"/>
  <c r="AS63" i="112" s="1"/>
  <c r="AT63" i="112" s="1"/>
  <c r="AU63" i="112" s="1"/>
  <c r="AM62" i="112"/>
  <c r="AQ62" i="112" s="1"/>
  <c r="AR62" i="112" s="1"/>
  <c r="AS62" i="112" s="1"/>
  <c r="AT62" i="112" s="1"/>
  <c r="AU62" i="112" s="1"/>
  <c r="AM61" i="112"/>
  <c r="AQ61" i="112" s="1"/>
  <c r="AR61" i="112" s="1"/>
  <c r="AS61" i="112" s="1"/>
  <c r="AT61" i="112" s="1"/>
  <c r="AU61" i="112" s="1"/>
  <c r="AM60" i="112"/>
  <c r="AQ60" i="112" s="1"/>
  <c r="AR60" i="112" s="1"/>
  <c r="AS60" i="112" s="1"/>
  <c r="AT60" i="112" s="1"/>
  <c r="AU60" i="112" s="1"/>
  <c r="AM59" i="112"/>
  <c r="AQ59" i="112" s="1"/>
  <c r="AR59" i="112" s="1"/>
  <c r="AS59" i="112" s="1"/>
  <c r="AT59" i="112" s="1"/>
  <c r="AU59" i="112" s="1"/>
  <c r="AM58" i="112"/>
  <c r="AQ58" i="112" s="1"/>
  <c r="AR58" i="112" s="1"/>
  <c r="AS58" i="112" s="1"/>
  <c r="AT58" i="112" s="1"/>
  <c r="AU58" i="112" s="1"/>
  <c r="AM57" i="112"/>
  <c r="AQ57" i="112" s="1"/>
  <c r="AR57" i="112" s="1"/>
  <c r="AS57" i="112" s="1"/>
  <c r="AT57" i="112" s="1"/>
  <c r="AU57" i="112" s="1"/>
  <c r="AM56" i="112"/>
  <c r="AQ56" i="112" s="1"/>
  <c r="AR56" i="112" s="1"/>
  <c r="AS56" i="112" s="1"/>
  <c r="AT56" i="112" s="1"/>
  <c r="AU56" i="112" s="1"/>
  <c r="AM55" i="112"/>
  <c r="AQ55" i="112" s="1"/>
  <c r="AR55" i="112" s="1"/>
  <c r="AS55" i="112" s="1"/>
  <c r="AT55" i="112" s="1"/>
  <c r="AU55" i="112" s="1"/>
  <c r="AM54" i="112"/>
  <c r="AQ54" i="112" s="1"/>
  <c r="AR54" i="112" s="1"/>
  <c r="AS54" i="112" s="1"/>
  <c r="AT54" i="112" s="1"/>
  <c r="AU54" i="112" s="1"/>
  <c r="AM53" i="112"/>
  <c r="AQ53" i="112" s="1"/>
  <c r="AR53" i="112" s="1"/>
  <c r="AS53" i="112" s="1"/>
  <c r="AT53" i="112" s="1"/>
  <c r="AU53" i="112" s="1"/>
  <c r="AM52" i="112"/>
  <c r="AQ52" i="112" s="1"/>
  <c r="AR52" i="112" s="1"/>
  <c r="AS52" i="112" s="1"/>
  <c r="AT52" i="112" s="1"/>
  <c r="AU52" i="112" s="1"/>
  <c r="AM50" i="112"/>
  <c r="AQ50" i="112" s="1"/>
  <c r="AR50" i="112" s="1"/>
  <c r="AS50" i="112" s="1"/>
  <c r="AT50" i="112" s="1"/>
  <c r="AU50" i="112" s="1"/>
  <c r="AM49" i="112"/>
  <c r="AQ49" i="112" s="1"/>
  <c r="AR49" i="112" s="1"/>
  <c r="AS49" i="112" s="1"/>
  <c r="AT49" i="112" s="1"/>
  <c r="AU49" i="112" s="1"/>
  <c r="AM48" i="112"/>
  <c r="AQ48" i="112" s="1"/>
  <c r="AR48" i="112" s="1"/>
  <c r="AS48" i="112" s="1"/>
  <c r="AT48" i="112" s="1"/>
  <c r="AU48" i="112" s="1"/>
  <c r="AM45" i="112"/>
  <c r="AQ45" i="112" s="1"/>
  <c r="AR45" i="112" s="1"/>
  <c r="AS45" i="112" s="1"/>
  <c r="AT45" i="112" s="1"/>
  <c r="AU45" i="112" s="1"/>
  <c r="AM44" i="112"/>
  <c r="AQ44" i="112" s="1"/>
  <c r="AR44" i="112" s="1"/>
  <c r="AS44" i="112" s="1"/>
  <c r="AT44" i="112" s="1"/>
  <c r="AU44" i="112" s="1"/>
  <c r="AM43" i="112"/>
  <c r="AQ43" i="112" s="1"/>
  <c r="AR43" i="112" s="1"/>
  <c r="AS43" i="112" s="1"/>
  <c r="AT43" i="112" s="1"/>
  <c r="AU43" i="112" s="1"/>
  <c r="AM42" i="112"/>
  <c r="AQ42" i="112" s="1"/>
  <c r="AR42" i="112" s="1"/>
  <c r="AS42" i="112" s="1"/>
  <c r="AT42" i="112" s="1"/>
  <c r="AU42" i="112" s="1"/>
  <c r="AM41" i="112"/>
  <c r="AQ41" i="112" s="1"/>
  <c r="AR41" i="112" s="1"/>
  <c r="AS41" i="112" s="1"/>
  <c r="AT41" i="112" s="1"/>
  <c r="AU41" i="112" s="1"/>
  <c r="AM40" i="112"/>
  <c r="AQ40" i="112" s="1"/>
  <c r="AR40" i="112" s="1"/>
  <c r="AS40" i="112" s="1"/>
  <c r="AT40" i="112" s="1"/>
  <c r="AU40" i="112" s="1"/>
  <c r="AM39" i="112"/>
  <c r="AQ39" i="112" s="1"/>
  <c r="AR39" i="112" s="1"/>
  <c r="AS39" i="112" s="1"/>
  <c r="AT39" i="112" s="1"/>
  <c r="AU39" i="112" s="1"/>
  <c r="AM38" i="112"/>
  <c r="AQ38" i="112" s="1"/>
  <c r="AR38" i="112" s="1"/>
  <c r="AS38" i="112" s="1"/>
  <c r="AT38" i="112" s="1"/>
  <c r="AU38" i="112" s="1"/>
  <c r="AM35" i="112"/>
  <c r="AQ35" i="112" s="1"/>
  <c r="AR35" i="112" s="1"/>
  <c r="AS35" i="112" s="1"/>
  <c r="AT35" i="112" s="1"/>
  <c r="AU35" i="112" s="1"/>
  <c r="AM34" i="112"/>
  <c r="AQ34" i="112" s="1"/>
  <c r="AR34" i="112" s="1"/>
  <c r="AS34" i="112" s="1"/>
  <c r="AT34" i="112" s="1"/>
  <c r="AU34" i="112" s="1"/>
  <c r="AM33" i="112"/>
  <c r="AQ33" i="112" s="1"/>
  <c r="AR33" i="112" s="1"/>
  <c r="AS33" i="112" s="1"/>
  <c r="AT33" i="112" s="1"/>
  <c r="AU33" i="112" s="1"/>
  <c r="AM32" i="112"/>
  <c r="AQ32" i="112" s="1"/>
  <c r="AR32" i="112" s="1"/>
  <c r="AS32" i="112" s="1"/>
  <c r="AT32" i="112" s="1"/>
  <c r="AU32" i="112" s="1"/>
  <c r="AM31" i="112"/>
  <c r="AQ31" i="112" s="1"/>
  <c r="AR31" i="112" s="1"/>
  <c r="AS31" i="112" s="1"/>
  <c r="AT31" i="112" s="1"/>
  <c r="AU31" i="112" s="1"/>
  <c r="AM29" i="112"/>
  <c r="AQ29" i="112" s="1"/>
  <c r="AR29" i="112" s="1"/>
  <c r="AS29" i="112" s="1"/>
  <c r="AT29" i="112" s="1"/>
  <c r="AU29" i="112" s="1"/>
  <c r="AM28" i="112"/>
  <c r="AQ28" i="112" s="1"/>
  <c r="AR28" i="112" s="1"/>
  <c r="AS28" i="112" s="1"/>
  <c r="AT28" i="112" s="1"/>
  <c r="AU28" i="112" s="1"/>
  <c r="AM27" i="112"/>
  <c r="AQ27" i="112" s="1"/>
  <c r="AR27" i="112" s="1"/>
  <c r="AS27" i="112" s="1"/>
  <c r="AT27" i="112" s="1"/>
  <c r="AU27" i="112" s="1"/>
  <c r="AM26" i="112"/>
  <c r="AQ26" i="112" s="1"/>
  <c r="AR26" i="112" s="1"/>
  <c r="AS26" i="112" s="1"/>
  <c r="AT26" i="112" s="1"/>
  <c r="AU26" i="112" s="1"/>
  <c r="AM22" i="112"/>
  <c r="AQ22" i="112" s="1"/>
  <c r="AR22" i="112" s="1"/>
  <c r="AS22" i="112" s="1"/>
  <c r="AT22" i="112" s="1"/>
  <c r="AU22" i="112" s="1"/>
  <c r="AM21" i="112"/>
  <c r="AM20" i="112"/>
  <c r="AQ20" i="112" s="1"/>
  <c r="AR20" i="112" s="1"/>
  <c r="AS20" i="112" s="1"/>
  <c r="AT20" i="112" s="1"/>
  <c r="AU20" i="112" s="1"/>
  <c r="AM19" i="112"/>
  <c r="AQ19" i="112" s="1"/>
  <c r="AR19" i="112" s="1"/>
  <c r="AS19" i="112" s="1"/>
  <c r="AT19" i="112" s="1"/>
  <c r="AU19" i="112" s="1"/>
  <c r="AM18" i="112"/>
  <c r="AQ18" i="112" s="1"/>
  <c r="AR18" i="112" s="1"/>
  <c r="AS18" i="112" s="1"/>
  <c r="AT18" i="112" s="1"/>
  <c r="AU18" i="112" s="1"/>
  <c r="AM17" i="112"/>
  <c r="AQ17" i="112" s="1"/>
  <c r="AR17" i="112" s="1"/>
  <c r="AS17" i="112" s="1"/>
  <c r="AT17" i="112" s="1"/>
  <c r="AU17" i="112" s="1"/>
  <c r="AM16" i="112"/>
  <c r="AQ16" i="112" s="1"/>
  <c r="AR16" i="112" s="1"/>
  <c r="AS16" i="112" s="1"/>
  <c r="AT16" i="112" s="1"/>
  <c r="AU16" i="112" s="1"/>
  <c r="AM15" i="112"/>
  <c r="AQ15" i="112" s="1"/>
  <c r="AR15" i="112" s="1"/>
  <c r="AS15" i="112" s="1"/>
  <c r="AT15" i="112" s="1"/>
  <c r="AU15" i="112" s="1"/>
  <c r="AM14" i="112"/>
  <c r="AQ14" i="112" s="1"/>
  <c r="AR14" i="112" s="1"/>
  <c r="AS14" i="112" s="1"/>
  <c r="AT14" i="112" s="1"/>
  <c r="AU14" i="112" s="1"/>
  <c r="AM13" i="112"/>
  <c r="AQ13" i="112" s="1"/>
  <c r="AR13" i="112" s="1"/>
  <c r="AS13" i="112" s="1"/>
  <c r="AT13" i="112" s="1"/>
  <c r="AU13" i="112" s="1"/>
  <c r="AM12" i="112"/>
  <c r="AQ12" i="112" s="1"/>
  <c r="AR12" i="112" s="1"/>
  <c r="AS12" i="112" s="1"/>
  <c r="AT12" i="112" s="1"/>
  <c r="AU12" i="112" s="1"/>
  <c r="AM11" i="112"/>
  <c r="AQ11" i="112" s="1"/>
  <c r="AR11" i="112" s="1"/>
  <c r="AS11" i="112" s="1"/>
  <c r="AT11" i="112" s="1"/>
  <c r="AU11" i="112" s="1"/>
  <c r="AM10" i="112"/>
  <c r="AQ10" i="112" s="1"/>
  <c r="AR10" i="112" s="1"/>
  <c r="AS10" i="112" s="1"/>
  <c r="AT10" i="112" s="1"/>
  <c r="AU10" i="112" s="1"/>
  <c r="AM9" i="112"/>
  <c r="AQ9" i="112" s="1"/>
  <c r="AR9" i="112" s="1"/>
  <c r="AS9" i="112" s="1"/>
  <c r="AT9" i="112" s="1"/>
  <c r="AU9" i="112" s="1"/>
  <c r="AM7" i="112"/>
  <c r="AQ7" i="112" s="1"/>
  <c r="AR7" i="112" s="1"/>
  <c r="AS7" i="112" s="1"/>
  <c r="AT7" i="112" s="1"/>
  <c r="AU7" i="112" s="1"/>
  <c r="AB250" i="96" a="1"/>
  <c r="AB250" i="96" s="1"/>
  <c r="AB249" i="96" a="1"/>
  <c r="AB249" i="96" s="1"/>
  <c r="AB248" i="96" a="1"/>
  <c r="AB248" i="96" s="1"/>
  <c r="AD248" i="96" s="1"/>
  <c r="AG248" i="96" s="1"/>
  <c r="AH248" i="96" s="1"/>
  <c r="AI248" i="96" s="1"/>
  <c r="AJ248" i="96" s="1"/>
  <c r="AK248" i="96" s="1"/>
  <c r="AC247" i="96" a="1"/>
  <c r="AC247" i="96" s="1"/>
  <c r="AC246" i="96" a="1"/>
  <c r="AC246" i="96" s="1"/>
  <c r="AC245" i="96" a="1"/>
  <c r="AC245" i="96" s="1"/>
  <c r="AB244" i="96" a="1"/>
  <c r="AB244" i="96" s="1"/>
  <c r="AB243" i="96" a="1"/>
  <c r="AB243" i="96" s="1"/>
  <c r="AC242" i="96" a="1"/>
  <c r="AC242" i="96" s="1"/>
  <c r="AB242" i="96" a="1"/>
  <c r="AB242" i="96" s="1"/>
  <c r="AC241" i="96" a="1"/>
  <c r="AC241" i="96" s="1"/>
  <c r="AB241" i="96" a="1"/>
  <c r="AB241" i="96" s="1"/>
  <c r="AC240" i="96" a="1"/>
  <c r="AC240" i="96" s="1"/>
  <c r="AB240" i="96" a="1"/>
  <c r="AB240" i="96" s="1"/>
  <c r="AC239" i="96" a="1"/>
  <c r="AC239" i="96" s="1"/>
  <c r="AB239" i="96" a="1"/>
  <c r="AB239" i="96" s="1"/>
  <c r="AC238" i="96" a="1"/>
  <c r="AC238" i="96" s="1"/>
  <c r="AB238" i="96" a="1"/>
  <c r="AB238" i="96" s="1"/>
  <c r="AC237" i="96" a="1"/>
  <c r="AC237" i="96" s="1"/>
  <c r="AB237" i="96" a="1"/>
  <c r="AB237" i="96" s="1"/>
  <c r="AC236" i="96" a="1"/>
  <c r="AC236" i="96" s="1"/>
  <c r="AB236" i="96" a="1"/>
  <c r="AB236" i="96" s="1"/>
  <c r="AD236" i="96" s="1"/>
  <c r="AG236" i="96" s="1"/>
  <c r="AH236" i="96" s="1"/>
  <c r="AI236" i="96" s="1"/>
  <c r="AJ236" i="96" s="1"/>
  <c r="AK236" i="96" s="1"/>
  <c r="AC235" i="96" a="1"/>
  <c r="AC235" i="96" s="1"/>
  <c r="AB235" i="96" a="1"/>
  <c r="AB235" i="96" s="1"/>
  <c r="AC234" i="96" a="1"/>
  <c r="AC234" i="96" s="1"/>
  <c r="AB234" i="96" a="1"/>
  <c r="AB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C207" i="96" a="1"/>
  <c r="AC207" i="96" s="1"/>
  <c r="AB207" i="96" a="1"/>
  <c r="AB207" i="96" s="1"/>
  <c r="AC206" i="96" a="1"/>
  <c r="AC206" i="96" s="1"/>
  <c r="AB206" i="96" a="1"/>
  <c r="AB206" i="96" s="1"/>
  <c r="AC205" i="96" a="1"/>
  <c r="AC205" i="96" s="1"/>
  <c r="AB205" i="96" a="1"/>
  <c r="AB205" i="96" s="1"/>
  <c r="AC204" i="96" a="1"/>
  <c r="AC204" i="96" s="1"/>
  <c r="AB204" i="96" a="1"/>
  <c r="AB204" i="96" s="1"/>
  <c r="AC203" i="96" a="1"/>
  <c r="AC203" i="96" s="1"/>
  <c r="AB203" i="96" a="1"/>
  <c r="AB203" i="96" s="1"/>
  <c r="AC201" i="96" a="1"/>
  <c r="AC201" i="96" s="1"/>
  <c r="AB201" i="96" a="1"/>
  <c r="AB201" i="96" s="1"/>
  <c r="AC200" i="96" a="1"/>
  <c r="AC200" i="96" s="1"/>
  <c r="AB200" i="96" a="1"/>
  <c r="AB200" i="96" s="1"/>
  <c r="AC199" i="96" a="1"/>
  <c r="AC199" i="96" s="1"/>
  <c r="AB199" i="96" a="1"/>
  <c r="AB199" i="96" s="1"/>
  <c r="AC198" i="96" a="1"/>
  <c r="AC198" i="96" s="1"/>
  <c r="AB198" i="96" a="1"/>
  <c r="AB198" i="96" s="1"/>
  <c r="AD198" i="96" s="1"/>
  <c r="AG198" i="96" s="1"/>
  <c r="AH198" i="96" s="1"/>
  <c r="AI198" i="96" s="1"/>
  <c r="AJ198" i="96" s="1"/>
  <c r="AK198" i="96" s="1"/>
  <c r="AC197" i="96" a="1"/>
  <c r="AC197" i="96" s="1"/>
  <c r="AB197" i="96" a="1"/>
  <c r="AB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C192" i="96" a="1"/>
  <c r="AC192" i="96" s="1"/>
  <c r="AB192" i="96" a="1"/>
  <c r="AB192" i="96" s="1"/>
  <c r="AC191" i="96" a="1"/>
  <c r="AC191" i="96" s="1"/>
  <c r="AB191" i="96" a="1"/>
  <c r="AB191" i="96" s="1"/>
  <c r="AC190" i="96" a="1"/>
  <c r="AC190" i="96" s="1"/>
  <c r="AB190" i="96" a="1"/>
  <c r="AB190" i="96" s="1"/>
  <c r="AC189" i="96" a="1"/>
  <c r="AC189" i="96" s="1"/>
  <c r="AB189" i="96" a="1"/>
  <c r="AB189" i="96" s="1"/>
  <c r="AC187" i="96" a="1"/>
  <c r="AC187" i="96" s="1"/>
  <c r="AB187" i="96" a="1"/>
  <c r="AB187" i="96" s="1"/>
  <c r="AC186" i="96" a="1"/>
  <c r="AC186" i="96" s="1"/>
  <c r="AB186" i="96" a="1"/>
  <c r="AB186" i="96" s="1"/>
  <c r="AC185" i="96" a="1"/>
  <c r="AC185" i="96" s="1"/>
  <c r="AB185" i="96" a="1"/>
  <c r="AB185" i="96" s="1"/>
  <c r="AD185" i="96" s="1"/>
  <c r="AG185" i="96" s="1"/>
  <c r="AH185" i="96" s="1"/>
  <c r="AI185" i="96" s="1"/>
  <c r="AJ185" i="96" s="1"/>
  <c r="AK185" i="96" s="1"/>
  <c r="AC184" i="96" a="1"/>
  <c r="AC184" i="96" s="1"/>
  <c r="AB184" i="96" a="1"/>
  <c r="AB184" i="96" s="1"/>
  <c r="AC183" i="96" a="1"/>
  <c r="AC183" i="96" s="1"/>
  <c r="AB183" i="96" a="1"/>
  <c r="AB183" i="96" s="1"/>
  <c r="AC182" i="96" a="1"/>
  <c r="AC182" i="96" s="1"/>
  <c r="AB182" i="96" a="1"/>
  <c r="AB182" i="96" s="1"/>
  <c r="AC181" i="96" a="1"/>
  <c r="AC181" i="96" s="1"/>
  <c r="AB181" i="96" a="1"/>
  <c r="AB181" i="96" s="1"/>
  <c r="AD181" i="96" s="1"/>
  <c r="AG181" i="96" s="1"/>
  <c r="AH181" i="96" s="1"/>
  <c r="AI181" i="96" s="1"/>
  <c r="AJ181" i="96" s="1"/>
  <c r="AK181" i="96" s="1"/>
  <c r="AC180" i="96" a="1"/>
  <c r="AC180" i="96" s="1"/>
  <c r="AB180" i="96" a="1"/>
  <c r="AB180" i="96" s="1"/>
  <c r="AC179" i="96" a="1"/>
  <c r="AC179" i="96" s="1"/>
  <c r="AB179" i="96" a="1"/>
  <c r="AB179" i="96" s="1"/>
  <c r="AC177" i="96" a="1"/>
  <c r="AC177" i="96" s="1"/>
  <c r="AB177" i="96" a="1"/>
  <c r="AB177" i="96" s="1"/>
  <c r="AC176" i="96" a="1"/>
  <c r="AC176" i="96" s="1"/>
  <c r="AB176" i="96" a="1"/>
  <c r="AB176" i="96" s="1"/>
  <c r="AD176" i="96" s="1"/>
  <c r="AG176" i="96" s="1"/>
  <c r="AH176" i="96" s="1"/>
  <c r="AI176" i="96" s="1"/>
  <c r="AJ176" i="96" s="1"/>
  <c r="AK176" i="96" s="1"/>
  <c r="AC175" i="96" a="1"/>
  <c r="AC175" i="96" s="1"/>
  <c r="AB175" i="96" a="1"/>
  <c r="AB175" i="96" s="1"/>
  <c r="AC174" i="96" a="1"/>
  <c r="AC174" i="96" s="1"/>
  <c r="AB174" i="96" a="1"/>
  <c r="AB174" i="96" s="1"/>
  <c r="AC173" i="96" a="1"/>
  <c r="AC173" i="96" s="1"/>
  <c r="AB173" i="96" a="1"/>
  <c r="AB173" i="96" s="1"/>
  <c r="AC172" i="96" a="1"/>
  <c r="AC172" i="96" s="1"/>
  <c r="AB172" i="96" a="1"/>
  <c r="AB172" i="96" s="1"/>
  <c r="AC171" i="96" a="1"/>
  <c r="AC171" i="96" s="1"/>
  <c r="AB171" i="96" a="1"/>
  <c r="AB171" i="96" s="1"/>
  <c r="AC170" i="96" a="1"/>
  <c r="AC170" i="96" s="1"/>
  <c r="AB170" i="96" a="1"/>
  <c r="AB170" i="96" s="1"/>
  <c r="AC169" i="96" a="1"/>
  <c r="AC169" i="96" s="1"/>
  <c r="AB169" i="96" a="1"/>
  <c r="AB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C154" i="96" a="1"/>
  <c r="AC154" i="96" s="1"/>
  <c r="AB154" i="96" a="1"/>
  <c r="AB154" i="96" s="1"/>
  <c r="AC153" i="96" a="1"/>
  <c r="AC153" i="96" s="1"/>
  <c r="AB153" i="96" a="1"/>
  <c r="AB153" i="96" s="1"/>
  <c r="AC152" i="96" a="1"/>
  <c r="AC152" i="96" s="1"/>
  <c r="AB152" i="96" a="1"/>
  <c r="AB152" i="96" s="1"/>
  <c r="AC151" i="96" a="1"/>
  <c r="AC151" i="96" s="1"/>
  <c r="AB151" i="96" a="1"/>
  <c r="AB151" i="96" s="1"/>
  <c r="AC150" i="96" a="1"/>
  <c r="AC150" i="96" s="1"/>
  <c r="AB150" i="96" a="1"/>
  <c r="AB150" i="96" s="1"/>
  <c r="AC149" i="96" a="1"/>
  <c r="AC149" i="96" s="1"/>
  <c r="AB149" i="96" a="1"/>
  <c r="AB149" i="96" s="1"/>
  <c r="AD149" i="96" s="1"/>
  <c r="AG149" i="96" s="1"/>
  <c r="AH149" i="96" s="1"/>
  <c r="AI149" i="96" s="1"/>
  <c r="AJ149" i="96" s="1"/>
  <c r="AK149" i="96" s="1"/>
  <c r="AC148" i="96" a="1"/>
  <c r="AC148" i="96" s="1"/>
  <c r="AB148" i="96" a="1"/>
  <c r="AB148" i="96" s="1"/>
  <c r="AC147" i="96" a="1"/>
  <c r="AC147" i="96" s="1"/>
  <c r="AB147" i="96" a="1"/>
  <c r="AB147" i="96" s="1"/>
  <c r="AC146" i="96" a="1"/>
  <c r="AC146" i="96" s="1"/>
  <c r="AB146" i="96" a="1"/>
  <c r="AB146" i="96" s="1"/>
  <c r="AC144" i="96" a="1"/>
  <c r="AC144" i="96" s="1"/>
  <c r="AB144" i="96" a="1"/>
  <c r="AB144" i="96" s="1"/>
  <c r="AD144" i="96" s="1"/>
  <c r="AG144" i="96" s="1"/>
  <c r="AH144" i="96" s="1"/>
  <c r="AI144" i="96" s="1"/>
  <c r="AJ144" i="96" s="1"/>
  <c r="AK144" i="96" s="1"/>
  <c r="AC143" i="96" a="1"/>
  <c r="AC143" i="96" s="1"/>
  <c r="AB143" i="96" a="1"/>
  <c r="AB143" i="96" s="1"/>
  <c r="AC142" i="96" a="1"/>
  <c r="AC142" i="96" s="1"/>
  <c r="AB142" i="96" a="1"/>
  <c r="AB142" i="96" s="1"/>
  <c r="AC141" i="96" a="1"/>
  <c r="AC141" i="96" s="1"/>
  <c r="AB141" i="96" a="1"/>
  <c r="AB141" i="96" s="1"/>
  <c r="AC140" i="96" a="1"/>
  <c r="AC140" i="96" s="1"/>
  <c r="AB140" i="96" a="1"/>
  <c r="AB140" i="96" s="1"/>
  <c r="AD140" i="96" s="1"/>
  <c r="AG140" i="96" s="1"/>
  <c r="AH140" i="96" s="1"/>
  <c r="AI140" i="96" s="1"/>
  <c r="AJ140" i="96" s="1"/>
  <c r="AK140" i="96" s="1"/>
  <c r="AC139" i="96" a="1"/>
  <c r="AC139" i="96" s="1"/>
  <c r="AB139" i="96" a="1"/>
  <c r="AB139" i="96" s="1"/>
  <c r="AC138" i="96" a="1"/>
  <c r="AC138" i="96" s="1"/>
  <c r="AB138" i="96" a="1"/>
  <c r="AB138" i="96" s="1"/>
  <c r="AC137" i="96" a="1"/>
  <c r="AC137" i="96" s="1"/>
  <c r="AB137" i="96" a="1"/>
  <c r="AB137" i="96" s="1"/>
  <c r="AC136" i="96" a="1"/>
  <c r="AC136" i="96" s="1"/>
  <c r="AB136" i="96" a="1"/>
  <c r="AB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C120" i="96" a="1"/>
  <c r="AC120" i="96" s="1"/>
  <c r="AB120" i="96" a="1"/>
  <c r="AB120" i="96" s="1"/>
  <c r="AC119" i="96" a="1"/>
  <c r="AC119" i="96" s="1"/>
  <c r="AB119" i="96" a="1"/>
  <c r="AB119" i="96" s="1"/>
  <c r="AC118" i="96" a="1"/>
  <c r="AC118" i="96" s="1"/>
  <c r="AB118" i="96" a="1"/>
  <c r="AB118" i="96" s="1"/>
  <c r="AC117" i="96" a="1"/>
  <c r="AC117" i="96" s="1"/>
  <c r="AB117" i="96" a="1"/>
  <c r="AB117" i="96" s="1"/>
  <c r="AC115" i="96" a="1"/>
  <c r="AC115" i="96" s="1"/>
  <c r="AB115" i="96" a="1"/>
  <c r="AB115" i="96" s="1"/>
  <c r="AC114" i="96" a="1"/>
  <c r="AC114" i="96" s="1"/>
  <c r="AB114" i="96" a="1"/>
  <c r="AB114" i="96" s="1"/>
  <c r="AC113" i="96" a="1"/>
  <c r="AC113" i="96" s="1"/>
  <c r="AB113" i="96" a="1"/>
  <c r="AB113" i="96" s="1"/>
  <c r="AC112" i="96" a="1"/>
  <c r="AC112" i="96" s="1"/>
  <c r="AB112" i="96" a="1"/>
  <c r="AB112" i="96" s="1"/>
  <c r="AC111" i="96" a="1"/>
  <c r="AC111" i="96" s="1"/>
  <c r="AB111" i="96" a="1"/>
  <c r="AB111" i="96" s="1"/>
  <c r="AC110" i="96" a="1"/>
  <c r="AC110" i="96" s="1"/>
  <c r="AB110" i="96" a="1"/>
  <c r="AB110" i="96" s="1"/>
  <c r="AD110" i="96" s="1"/>
  <c r="AG110" i="96" s="1"/>
  <c r="AH110" i="96" s="1"/>
  <c r="AI110" i="96" s="1"/>
  <c r="AJ110" i="96" s="1"/>
  <c r="AK110" i="96" s="1"/>
  <c r="AC109" i="96" a="1"/>
  <c r="AC109" i="96" s="1"/>
  <c r="AB109" i="96" a="1"/>
  <c r="AB109" i="96" s="1"/>
  <c r="AC108" i="96" a="1"/>
  <c r="AC108" i="96" s="1"/>
  <c r="AB108" i="96" a="1"/>
  <c r="AB108" i="96" s="1"/>
  <c r="AC107" i="96" a="1"/>
  <c r="AC107" i="96" s="1"/>
  <c r="AB107" i="96" a="1"/>
  <c r="AB107" i="96" s="1"/>
  <c r="AC104" i="96" a="1"/>
  <c r="AC104" i="96" s="1"/>
  <c r="AB104" i="96" a="1"/>
  <c r="AB104" i="96" s="1"/>
  <c r="AC103" i="96" a="1"/>
  <c r="AC103" i="96" s="1"/>
  <c r="AB103" i="96" a="1"/>
  <c r="AB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C98" i="96" a="1"/>
  <c r="AC98" i="96" s="1"/>
  <c r="AB98" i="96" a="1"/>
  <c r="AB98" i="96" s="1"/>
  <c r="AC97" i="96" a="1"/>
  <c r="AC97" i="96" s="1"/>
  <c r="AB97" i="96" a="1"/>
  <c r="AB97" i="96" s="1"/>
  <c r="AC96" i="96" a="1"/>
  <c r="AC96" i="96" s="1"/>
  <c r="AB96" i="96" a="1"/>
  <c r="AB96" i="96" s="1"/>
  <c r="AC95" i="96" a="1"/>
  <c r="AC95" i="96" s="1"/>
  <c r="AB95" i="96" a="1"/>
  <c r="AB95" i="96" s="1"/>
  <c r="AC90" i="96" a="1"/>
  <c r="AC90" i="96" s="1"/>
  <c r="AB90" i="96" a="1"/>
  <c r="AB90" i="96" s="1"/>
  <c r="AC89" i="96" a="1"/>
  <c r="AC89" i="96" s="1"/>
  <c r="AB89" i="96" a="1"/>
  <c r="AB89" i="96" s="1"/>
  <c r="AC88" i="96" a="1"/>
  <c r="AC88" i="96" s="1"/>
  <c r="AB88" i="96" a="1"/>
  <c r="AB88" i="96" s="1"/>
  <c r="AC87" i="96" a="1"/>
  <c r="AC87" i="96" s="1"/>
  <c r="AB87" i="96" a="1"/>
  <c r="AB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C83" i="96" a="1"/>
  <c r="AC83" i="96" s="1"/>
  <c r="AB83" i="96" a="1"/>
  <c r="AB83" i="96" s="1"/>
  <c r="AC81" i="96" a="1"/>
  <c r="AC81" i="96" s="1"/>
  <c r="AB81" i="96" a="1"/>
  <c r="AB81" i="96" s="1"/>
  <c r="AC80" i="96" a="1"/>
  <c r="AC80" i="96" s="1"/>
  <c r="AB80" i="96" a="1"/>
  <c r="AB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C76" i="96" a="1"/>
  <c r="AC76" i="96" s="1"/>
  <c r="AB76" i="96" a="1"/>
  <c r="AB76" i="96" s="1"/>
  <c r="AC75" i="96" a="1"/>
  <c r="AC75" i="96" s="1"/>
  <c r="AB75" i="96" a="1"/>
  <c r="AB75" i="96" s="1"/>
  <c r="AC71" i="96" a="1"/>
  <c r="AC71" i="96" s="1"/>
  <c r="AB71" i="96" a="1"/>
  <c r="AB71" i="96" s="1"/>
  <c r="AC70" i="96" a="1"/>
  <c r="AC70" i="96" s="1"/>
  <c r="AB70" i="96" a="1"/>
  <c r="AB70" i="96" s="1"/>
  <c r="AC69" i="96" a="1"/>
  <c r="AC69" i="96" s="1"/>
  <c r="AB69" i="96" a="1"/>
  <c r="AB69" i="96" s="1"/>
  <c r="AC68" i="96" a="1"/>
  <c r="AC68" i="96" s="1"/>
  <c r="AB68" i="96" a="1"/>
  <c r="AB68" i="96" s="1"/>
  <c r="AC67" i="96" a="1"/>
  <c r="AC67" i="96" s="1"/>
  <c r="AB67" i="96" a="1"/>
  <c r="AB67" i="96" s="1"/>
  <c r="AD67" i="96" s="1"/>
  <c r="AG67" i="96" s="1"/>
  <c r="AH67" i="96" s="1"/>
  <c r="AI67" i="96" s="1"/>
  <c r="AJ67" i="96" s="1"/>
  <c r="AK67" i="96" s="1"/>
  <c r="AC66" i="96" a="1"/>
  <c r="AC66" i="96" s="1"/>
  <c r="AB66" i="96" a="1"/>
  <c r="AB66" i="96" s="1"/>
  <c r="AC65" i="96" a="1"/>
  <c r="AC65" i="96" s="1"/>
  <c r="AB65" i="96" a="1"/>
  <c r="AB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C56" i="96" a="1"/>
  <c r="AC56" i="96" s="1"/>
  <c r="AB56" i="96" a="1"/>
  <c r="AB56" i="96" s="1"/>
  <c r="AC55" i="96" a="1"/>
  <c r="AC55" i="96" s="1"/>
  <c r="AB55" i="96" a="1"/>
  <c r="AB55" i="96" s="1"/>
  <c r="AC54" i="96" a="1"/>
  <c r="AC54" i="96" s="1"/>
  <c r="AB54" i="96" a="1"/>
  <c r="AB54" i="96" s="1"/>
  <c r="AC53" i="96" a="1"/>
  <c r="AC53" i="96" s="1"/>
  <c r="AB53" i="96" a="1"/>
  <c r="AB53" i="96" s="1"/>
  <c r="AD53" i="96" s="1"/>
  <c r="AG53" i="96" s="1"/>
  <c r="AH53" i="96" s="1"/>
  <c r="AI53" i="96" s="1"/>
  <c r="AJ53" i="96" s="1"/>
  <c r="AK53" i="96" s="1"/>
  <c r="AC50" i="96" a="1"/>
  <c r="AC50" i="96" s="1"/>
  <c r="AB50" i="96" a="1"/>
  <c r="AB50" i="96" s="1"/>
  <c r="AC49" i="96" a="1"/>
  <c r="AC49" i="96" s="1"/>
  <c r="AB49" i="96" a="1"/>
  <c r="AB49" i="96" s="1"/>
  <c r="AC48" i="96" a="1"/>
  <c r="AC48" i="96" s="1"/>
  <c r="AB48" i="96" a="1"/>
  <c r="AB48" i="96" s="1"/>
  <c r="AC47" i="96" a="1"/>
  <c r="AC47" i="96" s="1"/>
  <c r="AB47" i="96" a="1"/>
  <c r="AB47" i="96" s="1"/>
  <c r="AC46" i="96" a="1"/>
  <c r="AC46" i="96" s="1"/>
  <c r="AB46" i="96" a="1"/>
  <c r="AB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C38" i="96" a="1"/>
  <c r="AC38" i="96" s="1"/>
  <c r="AB38" i="96" a="1"/>
  <c r="AB38" i="96" s="1"/>
  <c r="AC37" i="96" a="1"/>
  <c r="AC37" i="96" s="1"/>
  <c r="AB37" i="96" a="1"/>
  <c r="AB37" i="96" s="1"/>
  <c r="AC36" i="96" a="1"/>
  <c r="AC36" i="96" s="1"/>
  <c r="AB36" i="96" a="1"/>
  <c r="AB36" i="96" s="1"/>
  <c r="AC35" i="96" a="1"/>
  <c r="AC35" i="96" s="1"/>
  <c r="AB35" i="96" a="1"/>
  <c r="AB35" i="96" s="1"/>
  <c r="AC32" i="96" a="1"/>
  <c r="AC32" i="96" s="1"/>
  <c r="AB32" i="96" a="1"/>
  <c r="AB32" i="96" s="1"/>
  <c r="AC31" i="96" a="1"/>
  <c r="AC31" i="96" s="1"/>
  <c r="AB31" i="96" a="1"/>
  <c r="AB31" i="96" s="1"/>
  <c r="AC30" i="96" a="1"/>
  <c r="AC30" i="96" s="1"/>
  <c r="AB30" i="96" a="1"/>
  <c r="AB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C24" i="96" a="1"/>
  <c r="AC24" i="96" s="1"/>
  <c r="AB24" i="96" a="1"/>
  <c r="AB24" i="96" s="1"/>
  <c r="AC23" i="96" a="1"/>
  <c r="AC23" i="96" s="1"/>
  <c r="AB23" i="96" a="1"/>
  <c r="AB23" i="96" s="1"/>
  <c r="AD23" i="96" s="1"/>
  <c r="AG23" i="96" s="1"/>
  <c r="AH23" i="96" s="1"/>
  <c r="AI23" i="96" s="1"/>
  <c r="AJ23" i="96" s="1"/>
  <c r="AK23" i="96" s="1"/>
  <c r="AC22" i="96" a="1"/>
  <c r="AC22" i="96" s="1"/>
  <c r="AB22" i="96" a="1"/>
  <c r="AB22" i="96" s="1"/>
  <c r="AC21" i="96" a="1"/>
  <c r="AC21" i="96" s="1"/>
  <c r="AB21" i="96" a="1"/>
  <c r="AB21" i="96" s="1"/>
  <c r="AC20" i="96" a="1"/>
  <c r="AC20" i="96" s="1"/>
  <c r="AB20" i="96" a="1"/>
  <c r="AB20" i="96" s="1"/>
  <c r="AD20" i="96" s="1"/>
  <c r="AG20" i="96" s="1"/>
  <c r="AH20" i="96" s="1"/>
  <c r="AI20" i="96" s="1"/>
  <c r="AJ20" i="96" s="1"/>
  <c r="AK20" i="96" s="1"/>
  <c r="AC19" i="96" a="1"/>
  <c r="AC19" i="96" s="1"/>
  <c r="AB19" i="96" a="1"/>
  <c r="AB19" i="96" s="1"/>
  <c r="AD19" i="96" s="1"/>
  <c r="AG19" i="96" s="1"/>
  <c r="AH19" i="96" s="1"/>
  <c r="AI19" i="96" s="1"/>
  <c r="AJ19" i="96" s="1"/>
  <c r="AK19" i="96" s="1"/>
  <c r="AC14" i="96" a="1"/>
  <c r="AC14" i="96" s="1"/>
  <c r="AB14" i="96" a="1"/>
  <c r="AB14" i="96" s="1"/>
  <c r="AC13" i="96" a="1"/>
  <c r="AC13" i="96" s="1"/>
  <c r="AB13" i="96" a="1"/>
  <c r="AB13" i="96" s="1"/>
  <c r="AC12" i="96" a="1"/>
  <c r="AC12" i="96" s="1"/>
  <c r="AB12" i="96" a="1"/>
  <c r="AB12" i="96" s="1"/>
  <c r="AC11" i="96" a="1"/>
  <c r="AC11" i="96" s="1"/>
  <c r="AB11" i="96" a="1"/>
  <c r="AB11" i="96" s="1"/>
  <c r="AC10" i="96" a="1"/>
  <c r="AC10" i="96" s="1"/>
  <c r="AB10" i="96" a="1"/>
  <c r="AB10" i="96" s="1"/>
  <c r="AC9" i="96" a="1"/>
  <c r="AC9" i="96" s="1"/>
  <c r="AB9" i="96" a="1"/>
  <c r="AB9" i="96" s="1"/>
  <c r="AD250" i="96"/>
  <c r="AG250" i="96" s="1"/>
  <c r="AH250" i="96" s="1"/>
  <c r="AI250" i="96" s="1"/>
  <c r="AJ250" i="96" s="1"/>
  <c r="AK250" i="96" s="1"/>
  <c r="AD249" i="96"/>
  <c r="AG249" i="96" s="1"/>
  <c r="AH249" i="96" s="1"/>
  <c r="AI249" i="96" s="1"/>
  <c r="AJ249" i="96" s="1"/>
  <c r="AK249" i="96" s="1"/>
  <c r="AD247" i="96"/>
  <c r="AG247" i="96" s="1"/>
  <c r="AH247" i="96" s="1"/>
  <c r="AI247" i="96" s="1"/>
  <c r="AJ247" i="96" s="1"/>
  <c r="AK247" i="96" s="1"/>
  <c r="AD246" i="96"/>
  <c r="AG246" i="96" s="1"/>
  <c r="AH246" i="96" s="1"/>
  <c r="AI246" i="96" s="1"/>
  <c r="AJ246" i="96" s="1"/>
  <c r="AK246" i="96" s="1"/>
  <c r="AD245" i="96"/>
  <c r="AG245" i="96" s="1"/>
  <c r="AH245" i="96" s="1"/>
  <c r="AI245" i="96" s="1"/>
  <c r="AJ245" i="96" s="1"/>
  <c r="AK245" i="96" s="1"/>
  <c r="AD244" i="96"/>
  <c r="AG244" i="96" s="1"/>
  <c r="AH244" i="96" s="1"/>
  <c r="AI244" i="96" s="1"/>
  <c r="AJ244" i="96" s="1"/>
  <c r="AK244" i="96" s="1"/>
  <c r="AD243" i="96"/>
  <c r="AG243" i="96" s="1"/>
  <c r="AH243" i="96" s="1"/>
  <c r="AI243" i="96" s="1"/>
  <c r="AJ243" i="96" s="1"/>
  <c r="AK243" i="96" s="1"/>
  <c r="AD242" i="96"/>
  <c r="AG242" i="96" s="1"/>
  <c r="AH242" i="96" s="1"/>
  <c r="AI242" i="96" s="1"/>
  <c r="AJ242" i="96" s="1"/>
  <c r="AK242" i="96" s="1"/>
  <c r="AD241" i="96"/>
  <c r="AG241" i="96" s="1"/>
  <c r="AH241" i="96" s="1"/>
  <c r="AI241" i="96" s="1"/>
  <c r="AJ241" i="96" s="1"/>
  <c r="AK241" i="96" s="1"/>
  <c r="AD239" i="96"/>
  <c r="AG239" i="96" s="1"/>
  <c r="AH239" i="96" s="1"/>
  <c r="AI239" i="96" s="1"/>
  <c r="AJ239" i="96" s="1"/>
  <c r="AK239" i="96" s="1"/>
  <c r="AD237" i="96"/>
  <c r="AG237" i="96" s="1"/>
  <c r="AH237" i="96" s="1"/>
  <c r="AI237" i="96" s="1"/>
  <c r="AJ237" i="96" s="1"/>
  <c r="AK237" i="96" s="1"/>
  <c r="AD235" i="96"/>
  <c r="AG235" i="96" s="1"/>
  <c r="AH235" i="96" s="1"/>
  <c r="AI235" i="96" s="1"/>
  <c r="AJ235" i="96" s="1"/>
  <c r="AK235" i="96" s="1"/>
  <c r="AD230" i="96"/>
  <c r="AG230" i="96" s="1"/>
  <c r="AH230" i="96" s="1"/>
  <c r="AI230" i="96" s="1"/>
  <c r="AJ230" i="96" s="1"/>
  <c r="AK230" i="96" s="1"/>
  <c r="AA230" i="96"/>
  <c r="AD229" i="96"/>
  <c r="AG229" i="96" s="1"/>
  <c r="AH229" i="96" s="1"/>
  <c r="AI229" i="96" s="1"/>
  <c r="AJ229" i="96" s="1"/>
  <c r="AK229" i="96" s="1"/>
  <c r="AA229" i="96"/>
  <c r="AD228" i="96"/>
  <c r="AG228" i="96" s="1"/>
  <c r="AH228" i="96" s="1"/>
  <c r="AI228" i="96" s="1"/>
  <c r="AJ228" i="96" s="1"/>
  <c r="AK228" i="96" s="1"/>
  <c r="AA228" i="96"/>
  <c r="AD227" i="96"/>
  <c r="AG227" i="96" s="1"/>
  <c r="AH227" i="96" s="1"/>
  <c r="AI227" i="96" s="1"/>
  <c r="AJ227" i="96" s="1"/>
  <c r="AK227" i="96" s="1"/>
  <c r="AD226" i="96"/>
  <c r="AG226" i="96" s="1"/>
  <c r="AH226" i="96" s="1"/>
  <c r="AI226" i="96" s="1"/>
  <c r="AJ226" i="96" s="1"/>
  <c r="AK226" i="96" s="1"/>
  <c r="AD225" i="96"/>
  <c r="AG225" i="96" s="1"/>
  <c r="AH225" i="96" s="1"/>
  <c r="AI225" i="96" s="1"/>
  <c r="AJ225" i="96" s="1"/>
  <c r="AK225" i="96" s="1"/>
  <c r="AD224" i="96"/>
  <c r="AG224" i="96" s="1"/>
  <c r="AH224" i="96" s="1"/>
  <c r="AI224" i="96" s="1"/>
  <c r="AJ224" i="96" s="1"/>
  <c r="AK224" i="96" s="1"/>
  <c r="AD223" i="96"/>
  <c r="AG223" i="96" s="1"/>
  <c r="AH223" i="96" s="1"/>
  <c r="AI223" i="96" s="1"/>
  <c r="AJ223" i="96" s="1"/>
  <c r="AK223" i="96" s="1"/>
  <c r="AD222" i="96"/>
  <c r="AG222" i="96" s="1"/>
  <c r="AH222" i="96" s="1"/>
  <c r="AI222" i="96" s="1"/>
  <c r="AJ222" i="96" s="1"/>
  <c r="AK222" i="96" s="1"/>
  <c r="AD212" i="96"/>
  <c r="AG212" i="96" s="1"/>
  <c r="AH212" i="96" s="1"/>
  <c r="AI212" i="96" s="1"/>
  <c r="AJ212" i="96" s="1"/>
  <c r="AK212" i="96" s="1"/>
  <c r="AD210" i="96"/>
  <c r="AG210" i="96" s="1"/>
  <c r="AH210" i="96" s="1"/>
  <c r="AI210" i="96" s="1"/>
  <c r="AJ210" i="96" s="1"/>
  <c r="AK210" i="96" s="1"/>
  <c r="AD202" i="96"/>
  <c r="AG202" i="96" s="1"/>
  <c r="AH202" i="96" s="1"/>
  <c r="AI202" i="96" s="1"/>
  <c r="AJ202" i="96" s="1"/>
  <c r="AK202" i="96" s="1"/>
  <c r="AD200" i="96"/>
  <c r="AG200" i="96" s="1"/>
  <c r="AH200" i="96" s="1"/>
  <c r="AI200" i="96" s="1"/>
  <c r="AJ200" i="96" s="1"/>
  <c r="AK200" i="96" s="1"/>
  <c r="AD188" i="96"/>
  <c r="AG188" i="96" s="1"/>
  <c r="AH188" i="96" s="1"/>
  <c r="AI188" i="96" s="1"/>
  <c r="AJ188" i="96" s="1"/>
  <c r="AK188" i="96" s="1"/>
  <c r="AD178" i="96"/>
  <c r="AG178" i="96" s="1"/>
  <c r="AH178" i="96" s="1"/>
  <c r="AI178" i="96" s="1"/>
  <c r="AJ178" i="96" s="1"/>
  <c r="AK178" i="96" s="1"/>
  <c r="AD168" i="96"/>
  <c r="AG168" i="96" s="1"/>
  <c r="AH168" i="96" s="1"/>
  <c r="AI168" i="96" s="1"/>
  <c r="AJ168" i="96" s="1"/>
  <c r="AK168" i="96" s="1"/>
  <c r="AD167" i="96"/>
  <c r="AG167" i="96" s="1"/>
  <c r="AH167" i="96" s="1"/>
  <c r="AI167" i="96" s="1"/>
  <c r="AJ167" i="96" s="1"/>
  <c r="AK167" i="96" s="1"/>
  <c r="AD157" i="96"/>
  <c r="AG157" i="96" s="1"/>
  <c r="AH157" i="96" s="1"/>
  <c r="AI157" i="96" s="1"/>
  <c r="AJ157" i="96" s="1"/>
  <c r="AK157" i="96" s="1"/>
  <c r="AD145" i="96"/>
  <c r="AG145" i="96" s="1"/>
  <c r="AH145" i="96" s="1"/>
  <c r="AI145" i="96" s="1"/>
  <c r="AJ145" i="96" s="1"/>
  <c r="AK145" i="96" s="1"/>
  <c r="AD135" i="96"/>
  <c r="AG135" i="96" s="1"/>
  <c r="AH135" i="96" s="1"/>
  <c r="AI135" i="96" s="1"/>
  <c r="AJ135" i="96" s="1"/>
  <c r="AK135" i="96" s="1"/>
  <c r="AD116" i="96"/>
  <c r="AG116" i="96" s="1"/>
  <c r="AH116" i="96" s="1"/>
  <c r="AI116" i="96" s="1"/>
  <c r="AJ116" i="96" s="1"/>
  <c r="AK116" i="96" s="1"/>
  <c r="AD106" i="96"/>
  <c r="AG106" i="96" s="1"/>
  <c r="AH106" i="96" s="1"/>
  <c r="AI106" i="96" s="1"/>
  <c r="AJ106" i="96" s="1"/>
  <c r="AK106" i="96" s="1"/>
  <c r="AD94" i="96"/>
  <c r="AG94" i="96" s="1"/>
  <c r="AH94" i="96" s="1"/>
  <c r="AI94" i="96" s="1"/>
  <c r="AJ94" i="96" s="1"/>
  <c r="AK94" i="96" s="1"/>
  <c r="AD93" i="96"/>
  <c r="AG93" i="96" s="1"/>
  <c r="AH93" i="96" s="1"/>
  <c r="AI93" i="96" s="1"/>
  <c r="AJ93" i="96" s="1"/>
  <c r="AK93" i="96" s="1"/>
  <c r="AD92" i="96"/>
  <c r="AG92" i="96" s="1"/>
  <c r="AH92" i="96" s="1"/>
  <c r="AI92" i="96" s="1"/>
  <c r="AJ92" i="96" s="1"/>
  <c r="AK92" i="96" s="1"/>
  <c r="AD91" i="96"/>
  <c r="AG91" i="96" s="1"/>
  <c r="AH91" i="96" s="1"/>
  <c r="AI91" i="96" s="1"/>
  <c r="AJ91" i="96" s="1"/>
  <c r="AK91" i="96" s="1"/>
  <c r="AD82" i="96"/>
  <c r="AG82" i="96" s="1"/>
  <c r="AH82" i="96" s="1"/>
  <c r="AI82" i="96" s="1"/>
  <c r="AJ82" i="96" s="1"/>
  <c r="AK82" i="96" s="1"/>
  <c r="AD74" i="96"/>
  <c r="AG74" i="96" s="1"/>
  <c r="AH74" i="96" s="1"/>
  <c r="AI74" i="96" s="1"/>
  <c r="AJ74" i="96" s="1"/>
  <c r="AK74" i="96" s="1"/>
  <c r="AA74" i="96"/>
  <c r="AD73" i="96"/>
  <c r="AG73" i="96" s="1"/>
  <c r="AH73" i="96" s="1"/>
  <c r="AI73" i="96" s="1"/>
  <c r="AJ73" i="96" s="1"/>
  <c r="AK73" i="96" s="1"/>
  <c r="AA73" i="96"/>
  <c r="AD72" i="96"/>
  <c r="AG72" i="96" s="1"/>
  <c r="AH72" i="96" s="1"/>
  <c r="AI72" i="96" s="1"/>
  <c r="AJ72" i="96" s="1"/>
  <c r="AK72" i="96" s="1"/>
  <c r="AA72" i="96"/>
  <c r="AD64" i="96"/>
  <c r="AG64" i="96" s="1"/>
  <c r="AH64" i="96" s="1"/>
  <c r="AI64" i="96" s="1"/>
  <c r="AJ64" i="96" s="1"/>
  <c r="AK64" i="96" s="1"/>
  <c r="AA64" i="96"/>
  <c r="AD63" i="96"/>
  <c r="AG63" i="96" s="1"/>
  <c r="AH63" i="96" s="1"/>
  <c r="AI63" i="96" s="1"/>
  <c r="AJ63" i="96" s="1"/>
  <c r="AK63" i="96" s="1"/>
  <c r="AA63" i="96"/>
  <c r="AD52" i="96"/>
  <c r="AG52" i="96" s="1"/>
  <c r="AH52" i="96" s="1"/>
  <c r="AI52" i="96" s="1"/>
  <c r="AJ52" i="96" s="1"/>
  <c r="AK52" i="96" s="1"/>
  <c r="AA52" i="96"/>
  <c r="AD51" i="96"/>
  <c r="AG51" i="96" s="1"/>
  <c r="AH51" i="96" s="1"/>
  <c r="AI51" i="96" s="1"/>
  <c r="AJ51" i="96" s="1"/>
  <c r="AK51" i="96" s="1"/>
  <c r="AA51" i="96"/>
  <c r="AD41" i="96"/>
  <c r="AG41" i="96" s="1"/>
  <c r="AH41" i="96" s="1"/>
  <c r="AI41" i="96" s="1"/>
  <c r="AJ41" i="96" s="1"/>
  <c r="AK41" i="96" s="1"/>
  <c r="AA41" i="96"/>
  <c r="AD34" i="96"/>
  <c r="AG34" i="96" s="1"/>
  <c r="AH34" i="96" s="1"/>
  <c r="AI34" i="96" s="1"/>
  <c r="AJ34" i="96" s="1"/>
  <c r="AK34" i="96" s="1"/>
  <c r="AD33" i="96"/>
  <c r="AG33" i="96" s="1"/>
  <c r="AH33" i="96" s="1"/>
  <c r="AI33" i="96" s="1"/>
  <c r="AJ33" i="96" s="1"/>
  <c r="AK33" i="96" s="1"/>
  <c r="AD26" i="96"/>
  <c r="AG26" i="96" s="1"/>
  <c r="AH26" i="96" s="1"/>
  <c r="AI26" i="96" s="1"/>
  <c r="AJ26" i="96" s="1"/>
  <c r="AK26" i="96" s="1"/>
  <c r="AD25" i="96"/>
  <c r="AG25" i="96" s="1"/>
  <c r="AH25" i="96" s="1"/>
  <c r="AI25" i="96" s="1"/>
  <c r="AJ25" i="96" s="1"/>
  <c r="AK25" i="96" s="1"/>
  <c r="AD18" i="96"/>
  <c r="AG18" i="96" s="1"/>
  <c r="AH18" i="96" s="1"/>
  <c r="AI18" i="96" s="1"/>
  <c r="AJ18" i="96" s="1"/>
  <c r="AK18" i="96" s="1"/>
  <c r="AD17" i="96"/>
  <c r="AG17" i="96" s="1"/>
  <c r="AH17" i="96" s="1"/>
  <c r="AI17" i="96" s="1"/>
  <c r="AJ17" i="96" s="1"/>
  <c r="AK17" i="96" s="1"/>
  <c r="AD16" i="96"/>
  <c r="AG16" i="96" s="1"/>
  <c r="AH16" i="96" s="1"/>
  <c r="AI16" i="96" s="1"/>
  <c r="AJ16" i="96" s="1"/>
  <c r="AK16" i="96" s="1"/>
  <c r="AD15" i="96"/>
  <c r="AG15" i="96" s="1"/>
  <c r="AH15" i="96" s="1"/>
  <c r="AI15" i="96" s="1"/>
  <c r="AJ15" i="96" s="1"/>
  <c r="AK15" i="96" s="1"/>
  <c r="AD8" i="96"/>
  <c r="AG8" i="96" s="1"/>
  <c r="AH8" i="96" s="1"/>
  <c r="AI8" i="96" s="1"/>
  <c r="AJ8" i="96" s="1"/>
  <c r="AK8" i="96" s="1"/>
  <c r="AA8" i="96"/>
  <c r="AD7" i="96"/>
  <c r="AG7" i="96" s="1"/>
  <c r="AH7" i="96" s="1"/>
  <c r="AI7" i="96" s="1"/>
  <c r="AJ7" i="96" s="1"/>
  <c r="AK7" i="96" s="1"/>
  <c r="AA7" i="96"/>
  <c r="AD6" i="96"/>
  <c r="AG6" i="96" s="1"/>
  <c r="AH6" i="96" s="1"/>
  <c r="AI6" i="96" s="1"/>
  <c r="AJ6" i="96" s="1"/>
  <c r="AK6" i="96" s="1"/>
  <c r="AA6" i="96"/>
  <c r="AD5" i="96"/>
  <c r="AG5" i="96" s="1"/>
  <c r="AH5" i="96" s="1"/>
  <c r="AI5" i="96" s="1"/>
  <c r="AJ5" i="96" s="1"/>
  <c r="AK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D311" i="103" s="1"/>
  <c r="AG311" i="103" s="1"/>
  <c r="AH311" i="103" s="1"/>
  <c r="AI311" i="103" s="1"/>
  <c r="AJ311" i="103" s="1"/>
  <c r="AK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D305" i="103" s="1"/>
  <c r="AG305" i="103" s="1"/>
  <c r="AH305" i="103" s="1"/>
  <c r="AI305" i="103" s="1"/>
  <c r="AJ305" i="103" s="1"/>
  <c r="AK305" i="103" s="1"/>
  <c r="AC304" i="103" a="1"/>
  <c r="AC304" i="103" s="1"/>
  <c r="AC303" i="103" a="1"/>
  <c r="AC303" i="103" s="1"/>
  <c r="AC302" i="103" a="1"/>
  <c r="AC302" i="103" s="1"/>
  <c r="AC301" i="103" a="1"/>
  <c r="AC301" i="103" s="1"/>
  <c r="AD301" i="103" s="1"/>
  <c r="AG301" i="103" s="1"/>
  <c r="AH301" i="103" s="1"/>
  <c r="AI301" i="103" s="1"/>
  <c r="AJ301" i="103" s="1"/>
  <c r="AK301" i="103" s="1"/>
  <c r="AC300" i="103" a="1"/>
  <c r="AC300" i="103" s="1"/>
  <c r="AC299" i="103" a="1"/>
  <c r="AC299" i="103" s="1"/>
  <c r="AD299" i="103" s="1"/>
  <c r="AG299" i="103" s="1"/>
  <c r="AH299" i="103" s="1"/>
  <c r="AI299" i="103" s="1"/>
  <c r="AJ299" i="103" s="1"/>
  <c r="AK299" i="103" s="1"/>
  <c r="AB298" i="103" a="1"/>
  <c r="AB298" i="103" s="1"/>
  <c r="AB297" i="103" a="1"/>
  <c r="AB297" i="103" s="1"/>
  <c r="AD297" i="103" s="1"/>
  <c r="AG297" i="103" s="1"/>
  <c r="AH297" i="103" s="1"/>
  <c r="AI297" i="103" s="1"/>
  <c r="AJ297" i="103" s="1"/>
  <c r="AK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 a="1"/>
  <c r="AB290" i="103" s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D286" i="103" s="1"/>
  <c r="AG286" i="103" s="1"/>
  <c r="AH286" i="103" s="1"/>
  <c r="AI286" i="103" s="1"/>
  <c r="AJ286" i="103" s="1"/>
  <c r="AK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C272" i="103" a="1"/>
  <c r="AC272" i="103" s="1"/>
  <c r="AB272" i="103" a="1"/>
  <c r="AB272" i="103" s="1"/>
  <c r="AC271" i="103" a="1"/>
  <c r="AC271" i="103" s="1"/>
  <c r="AB271" i="103" a="1"/>
  <c r="AB271" i="103" s="1"/>
  <c r="AC270" i="103" a="1"/>
  <c r="AC270" i="103" s="1"/>
  <c r="AB270" i="103" a="1"/>
  <c r="AB270" i="103" s="1"/>
  <c r="AC269" i="103" a="1"/>
  <c r="AC269" i="103" s="1"/>
  <c r="AB269" i="103" a="1"/>
  <c r="AB269" i="103" s="1"/>
  <c r="AC268" i="103" a="1"/>
  <c r="AC268" i="103" s="1"/>
  <c r="AB268" i="103" a="1"/>
  <c r="AB268" i="103" s="1"/>
  <c r="AC267" i="103" a="1"/>
  <c r="AC267" i="103" s="1"/>
  <c r="AB267" i="103" a="1"/>
  <c r="AB267" i="103" s="1"/>
  <c r="AC266" i="103" a="1"/>
  <c r="AC266" i="103" s="1"/>
  <c r="AB266" i="103" a="1"/>
  <c r="AB266" i="103" s="1"/>
  <c r="AC265" i="103" a="1"/>
  <c r="AC265" i="103" s="1"/>
  <c r="AB265" i="103" a="1"/>
  <c r="AB265" i="103" s="1"/>
  <c r="AC264" i="103" a="1"/>
  <c r="AC264" i="103" s="1"/>
  <c r="AB264" i="103" a="1"/>
  <c r="AB264" i="103" s="1"/>
  <c r="AC263" i="103" a="1"/>
  <c r="AC263" i="103" s="1"/>
  <c r="AB263" i="103" a="1"/>
  <c r="AB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D258" i="103" s="1"/>
  <c r="AG258" i="103" s="1"/>
  <c r="AH258" i="103" s="1"/>
  <c r="AI258" i="103" s="1"/>
  <c r="AJ258" i="103" s="1"/>
  <c r="AK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C252" i="103" a="1"/>
  <c r="AC252" i="103" s="1"/>
  <c r="AB252" i="103" a="1"/>
  <c r="AB252" i="103" s="1"/>
  <c r="AC251" i="103" a="1"/>
  <c r="AC251" i="103" s="1"/>
  <c r="AB251" i="103" a="1"/>
  <c r="AB251" i="103" s="1"/>
  <c r="AC250" i="103" a="1"/>
  <c r="AC250" i="103" s="1"/>
  <c r="AB250" i="103" a="1"/>
  <c r="AB250" i="103" s="1"/>
  <c r="AC249" i="103" a="1"/>
  <c r="AC249" i="103" s="1"/>
  <c r="AB249" i="103" a="1"/>
  <c r="AB249" i="103" s="1"/>
  <c r="AC248" i="103" a="1"/>
  <c r="AC248" i="103" s="1"/>
  <c r="AB248" i="103" a="1"/>
  <c r="AB248" i="103" s="1"/>
  <c r="AC247" i="103" a="1"/>
  <c r="AC247" i="103" s="1"/>
  <c r="AB247" i="103" a="1"/>
  <c r="AB247" i="103" s="1"/>
  <c r="AC246" i="103" a="1"/>
  <c r="AC246" i="103" s="1"/>
  <c r="AB246" i="103" a="1"/>
  <c r="AB246" i="103" s="1"/>
  <c r="AC245" i="103" a="1"/>
  <c r="AC245" i="103" s="1"/>
  <c r="AB245" i="103" a="1"/>
  <c r="AB245" i="103" s="1"/>
  <c r="AD245" i="103" s="1"/>
  <c r="AG245" i="103" s="1"/>
  <c r="AH245" i="103" s="1"/>
  <c r="AI245" i="103" s="1"/>
  <c r="AJ245" i="103" s="1"/>
  <c r="AK245" i="103" s="1"/>
  <c r="AC244" i="103" a="1"/>
  <c r="AC244" i="103" s="1"/>
  <c r="AB244" i="103" a="1"/>
  <c r="AB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C227" i="103" a="1"/>
  <c r="AC227" i="103" s="1"/>
  <c r="AB227" i="103" a="1"/>
  <c r="AB227" i="103" s="1"/>
  <c r="AC226" i="103" a="1"/>
  <c r="AC226" i="103" s="1"/>
  <c r="AB226" i="103" a="1"/>
  <c r="AB226" i="103" s="1"/>
  <c r="AC225" i="103" a="1"/>
  <c r="AC225" i="103" s="1"/>
  <c r="AB225" i="103" a="1"/>
  <c r="AB225" i="103" s="1"/>
  <c r="AC224" i="103" a="1"/>
  <c r="AC224" i="103" s="1"/>
  <c r="AB224" i="103" a="1"/>
  <c r="AB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C160" i="103" a="1"/>
  <c r="AC160" i="103" s="1"/>
  <c r="AB160" i="103" a="1"/>
  <c r="AB160" i="103" s="1"/>
  <c r="AC159" i="103" a="1"/>
  <c r="AC159" i="103" s="1"/>
  <c r="AB159" i="103" a="1"/>
  <c r="AB159" i="103" s="1"/>
  <c r="AC158" i="103" a="1"/>
  <c r="AC158" i="103" s="1"/>
  <c r="AB158" i="103" a="1"/>
  <c r="AB158" i="103" s="1"/>
  <c r="AC157" i="103" a="1"/>
  <c r="AC157" i="103" s="1"/>
  <c r="AB157" i="103" a="1"/>
  <c r="AB157" i="103" s="1"/>
  <c r="AC156" i="103" a="1"/>
  <c r="AC156" i="103" s="1"/>
  <c r="AB156" i="103" a="1"/>
  <c r="AB156" i="103" s="1"/>
  <c r="AC155" i="103" a="1"/>
  <c r="AC155" i="103" s="1"/>
  <c r="AB155" i="103" a="1"/>
  <c r="AB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C78" i="103" a="1"/>
  <c r="AC78" i="103" s="1"/>
  <c r="AB78" i="103" a="1"/>
  <c r="AB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C70" i="103" a="1"/>
  <c r="AC70" i="103" s="1"/>
  <c r="AB70" i="103" a="1"/>
  <c r="AB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C62" i="103" a="1"/>
  <c r="AC62" i="103" s="1"/>
  <c r="AB62" i="103" a="1"/>
  <c r="AB62" i="103" s="1"/>
  <c r="AC61" i="103" a="1"/>
  <c r="AC61" i="103" s="1"/>
  <c r="AB61" i="103" a="1"/>
  <c r="AB61" i="103" s="1"/>
  <c r="AC60" i="103" a="1"/>
  <c r="AC60" i="103" s="1"/>
  <c r="AB60" i="103" a="1"/>
  <c r="AB60" i="103" s="1"/>
  <c r="AC59" i="103" a="1"/>
  <c r="AC59" i="103" s="1"/>
  <c r="AB59" i="103" a="1"/>
  <c r="AB59" i="103" s="1"/>
  <c r="AC58" i="103" a="1"/>
  <c r="AC58" i="103" s="1"/>
  <c r="AB58" i="103" a="1"/>
  <c r="AB58" i="103" s="1"/>
  <c r="AC57" i="103" a="1"/>
  <c r="AC57" i="103" s="1"/>
  <c r="AB57" i="103" a="1"/>
  <c r="AB57" i="103" s="1"/>
  <c r="AD57" i="103" s="1"/>
  <c r="AG57" i="103" s="1"/>
  <c r="AH57" i="103" s="1"/>
  <c r="AI57" i="103" s="1"/>
  <c r="AJ57" i="103" s="1"/>
  <c r="AK57" i="103" s="1"/>
  <c r="AC56" i="103" a="1"/>
  <c r="AC56" i="103" s="1"/>
  <c r="AB56" i="103" a="1"/>
  <c r="AB56" i="103" s="1"/>
  <c r="AC55" i="103" a="1"/>
  <c r="AC55" i="103" s="1"/>
  <c r="AB55" i="103" a="1"/>
  <c r="AB55" i="103" s="1"/>
  <c r="AC54" i="103" a="1"/>
  <c r="AC54" i="103" s="1"/>
  <c r="AB54" i="103"/>
  <c r="AB54" i="103" a="1"/>
  <c r="AC53" i="103" a="1"/>
  <c r="AC53" i="103" s="1"/>
  <c r="AB53" i="103" a="1"/>
  <c r="AB53" i="103" s="1"/>
  <c r="AC52" i="103" a="1"/>
  <c r="AC52" i="103" s="1"/>
  <c r="AB52" i="103" a="1"/>
  <c r="AB52" i="103" s="1"/>
  <c r="AB51" i="103" a="1"/>
  <c r="AB51" i="103" s="1"/>
  <c r="AC50" i="103" a="1"/>
  <c r="AC50" i="103" s="1"/>
  <c r="AB50" i="103"/>
  <c r="AB50" i="103" a="1"/>
  <c r="AC49" i="103" a="1"/>
  <c r="AC49" i="103" s="1"/>
  <c r="AB49" i="103" a="1"/>
  <c r="AB49" i="103" s="1"/>
  <c r="AC48" i="103" a="1"/>
  <c r="AC48" i="103" s="1"/>
  <c r="AB48" i="103" a="1"/>
  <c r="AB48" i="103" s="1"/>
  <c r="AC47" i="103" a="1"/>
  <c r="AC47" i="103" s="1"/>
  <c r="AB47" i="103" a="1"/>
  <c r="AB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C43" i="103" a="1"/>
  <c r="AC43" i="103" s="1"/>
  <c r="AB43" i="103" a="1"/>
  <c r="AB43" i="103" s="1"/>
  <c r="AC42" i="103" a="1"/>
  <c r="AC42" i="103" s="1"/>
  <c r="AB42" i="103" a="1"/>
  <c r="AB42" i="103" s="1"/>
  <c r="AC41" i="103" a="1"/>
  <c r="AC41" i="103" s="1"/>
  <c r="AB41" i="103" a="1"/>
  <c r="AB41" i="103" s="1"/>
  <c r="AC40" i="103" a="1"/>
  <c r="AC40" i="103" s="1"/>
  <c r="AB40" i="103" a="1"/>
  <c r="AB40" i="103" s="1"/>
  <c r="AC39" i="103" a="1"/>
  <c r="AC39" i="103" s="1"/>
  <c r="AB39" i="103" a="1"/>
  <c r="AB39" i="103" s="1"/>
  <c r="AC38" i="103" a="1"/>
  <c r="AC38" i="103" s="1"/>
  <c r="AB38" i="103" a="1"/>
  <c r="AB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 a="1"/>
  <c r="AC35" i="103" s="1"/>
  <c r="AB35" i="103" a="1"/>
  <c r="AB35" i="103" s="1"/>
  <c r="AC34" i="103" a="1"/>
  <c r="AC34" i="103" s="1"/>
  <c r="AB34" i="103" a="1"/>
  <c r="AB34" i="103" s="1"/>
  <c r="AC32" i="103" a="1"/>
  <c r="AC32" i="103" s="1"/>
  <c r="AB32" i="103" a="1"/>
  <c r="AB32" i="103" s="1"/>
  <c r="AC31" i="103" a="1"/>
  <c r="AC31" i="103" s="1"/>
  <c r="AB31" i="103" a="1"/>
  <c r="AB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 a="1"/>
  <c r="AB28" i="103" s="1"/>
  <c r="AC27" i="103"/>
  <c r="AC27" i="103" a="1"/>
  <c r="AB27" i="103" a="1"/>
  <c r="AB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C19" i="103" a="1"/>
  <c r="AC19" i="103" s="1"/>
  <c r="AB19" i="103" a="1"/>
  <c r="AB19" i="103" s="1"/>
  <c r="AD19" i="103" s="1"/>
  <c r="AG19" i="103" s="1"/>
  <c r="AH19" i="103" s="1"/>
  <c r="AI19" i="103" s="1"/>
  <c r="AJ19" i="103" s="1"/>
  <c r="AK19" i="103" s="1"/>
  <c r="AC18" i="103" a="1"/>
  <c r="AC18" i="103" s="1"/>
  <c r="AB18" i="103" a="1"/>
  <c r="AB18" i="103" s="1"/>
  <c r="AC17" i="103" a="1"/>
  <c r="AC17" i="103" s="1"/>
  <c r="AB17" i="103" a="1"/>
  <c r="AB17" i="103" s="1"/>
  <c r="AC16" i="103" a="1"/>
  <c r="AC16" i="103" s="1"/>
  <c r="AB16" i="103" a="1"/>
  <c r="AB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D316" i="103"/>
  <c r="AG316" i="103" s="1"/>
  <c r="AH316" i="103" s="1"/>
  <c r="AI316" i="103" s="1"/>
  <c r="AJ316" i="103" s="1"/>
  <c r="AK316" i="103" s="1"/>
  <c r="AD315" i="103"/>
  <c r="AG315" i="103" s="1"/>
  <c r="AH315" i="103" s="1"/>
  <c r="AI315" i="103" s="1"/>
  <c r="AJ315" i="103" s="1"/>
  <c r="AK315" i="103" s="1"/>
  <c r="AD314" i="103"/>
  <c r="AG314" i="103" s="1"/>
  <c r="AH314" i="103" s="1"/>
  <c r="AI314" i="103" s="1"/>
  <c r="AJ314" i="103" s="1"/>
  <c r="AK314" i="103" s="1"/>
  <c r="AD313" i="103"/>
  <c r="AG313" i="103" s="1"/>
  <c r="AH313" i="103" s="1"/>
  <c r="AI313" i="103" s="1"/>
  <c r="AJ313" i="103" s="1"/>
  <c r="AK313" i="103" s="1"/>
  <c r="AD312" i="103"/>
  <c r="AG312" i="103" s="1"/>
  <c r="AH312" i="103" s="1"/>
  <c r="AI312" i="103" s="1"/>
  <c r="AJ312" i="103" s="1"/>
  <c r="AK312" i="103" s="1"/>
  <c r="AD310" i="103"/>
  <c r="AG310" i="103" s="1"/>
  <c r="AH310" i="103" s="1"/>
  <c r="AI310" i="103" s="1"/>
  <c r="AJ310" i="103" s="1"/>
  <c r="AK310" i="103" s="1"/>
  <c r="AA308" i="103"/>
  <c r="AD307" i="103"/>
  <c r="AG307" i="103" s="1"/>
  <c r="AH307" i="103" s="1"/>
  <c r="AI307" i="103" s="1"/>
  <c r="AJ307" i="103" s="1"/>
  <c r="AK307" i="103" s="1"/>
  <c r="AD306" i="103"/>
  <c r="AG306" i="103" s="1"/>
  <c r="AH306" i="103" s="1"/>
  <c r="AI306" i="103" s="1"/>
  <c r="AJ306" i="103" s="1"/>
  <c r="AK306" i="103" s="1"/>
  <c r="AD304" i="103"/>
  <c r="AG304" i="103" s="1"/>
  <c r="AH304" i="103" s="1"/>
  <c r="AI304" i="103" s="1"/>
  <c r="AJ304" i="103" s="1"/>
  <c r="AK304" i="103" s="1"/>
  <c r="AD303" i="103"/>
  <c r="AG303" i="103" s="1"/>
  <c r="AH303" i="103" s="1"/>
  <c r="AI303" i="103" s="1"/>
  <c r="AJ303" i="103" s="1"/>
  <c r="AK303" i="103" s="1"/>
  <c r="AD302" i="103"/>
  <c r="AG302" i="103" s="1"/>
  <c r="AH302" i="103" s="1"/>
  <c r="AI302" i="103" s="1"/>
  <c r="AJ302" i="103" s="1"/>
  <c r="AK302" i="103" s="1"/>
  <c r="AD300" i="103"/>
  <c r="AG300" i="103" s="1"/>
  <c r="AH300" i="103" s="1"/>
  <c r="AI300" i="103" s="1"/>
  <c r="AJ300" i="103" s="1"/>
  <c r="AK300" i="103" s="1"/>
  <c r="AD298" i="103"/>
  <c r="AG298" i="103" s="1"/>
  <c r="AH298" i="103" s="1"/>
  <c r="AI298" i="103" s="1"/>
  <c r="AJ298" i="103" s="1"/>
  <c r="AK298" i="103" s="1"/>
  <c r="AD293" i="103"/>
  <c r="AG293" i="103" s="1"/>
  <c r="AH293" i="103" s="1"/>
  <c r="AI293" i="103" s="1"/>
  <c r="AJ293" i="103" s="1"/>
  <c r="AK293" i="103" s="1"/>
  <c r="AD291" i="103"/>
  <c r="AG291" i="103" s="1"/>
  <c r="AH291" i="103" s="1"/>
  <c r="AI291" i="103" s="1"/>
  <c r="AJ291" i="103" s="1"/>
  <c r="AK291" i="103" s="1"/>
  <c r="AD289" i="103"/>
  <c r="AG289" i="103" s="1"/>
  <c r="AH289" i="103" s="1"/>
  <c r="AI289" i="103" s="1"/>
  <c r="AJ289" i="103" s="1"/>
  <c r="AK289" i="103" s="1"/>
  <c r="AD288" i="103"/>
  <c r="AG288" i="103" s="1"/>
  <c r="AH288" i="103" s="1"/>
  <c r="AI288" i="103" s="1"/>
  <c r="AJ288" i="103" s="1"/>
  <c r="AK288" i="103" s="1"/>
  <c r="AD287" i="103"/>
  <c r="AG287" i="103" s="1"/>
  <c r="AH287" i="103" s="1"/>
  <c r="AI287" i="103" s="1"/>
  <c r="AJ287" i="103" s="1"/>
  <c r="AK287" i="103" s="1"/>
  <c r="AD285" i="103"/>
  <c r="AG285" i="103" s="1"/>
  <c r="AH285" i="103" s="1"/>
  <c r="AI285" i="103" s="1"/>
  <c r="AJ285" i="103" s="1"/>
  <c r="AK285" i="103" s="1"/>
  <c r="AD284" i="103"/>
  <c r="AG284" i="103" s="1"/>
  <c r="AH284" i="103" s="1"/>
  <c r="AI284" i="103" s="1"/>
  <c r="AJ284" i="103" s="1"/>
  <c r="AK284" i="103" s="1"/>
  <c r="AD281" i="103"/>
  <c r="AG281" i="103" s="1"/>
  <c r="AH281" i="103" s="1"/>
  <c r="AI281" i="103" s="1"/>
  <c r="AJ281" i="103" s="1"/>
  <c r="AK281" i="103" s="1"/>
  <c r="AD280" i="103"/>
  <c r="AG280" i="103" s="1"/>
  <c r="AH280" i="103" s="1"/>
  <c r="AI280" i="103" s="1"/>
  <c r="AJ280" i="103" s="1"/>
  <c r="AK280" i="103" s="1"/>
  <c r="AD278" i="103"/>
  <c r="AG278" i="103" s="1"/>
  <c r="AH278" i="103" s="1"/>
  <c r="AI278" i="103" s="1"/>
  <c r="AJ278" i="103" s="1"/>
  <c r="AK278" i="103" s="1"/>
  <c r="AD277" i="103"/>
  <c r="AG277" i="103" s="1"/>
  <c r="AH277" i="103" s="1"/>
  <c r="AI277" i="103" s="1"/>
  <c r="AJ277" i="103" s="1"/>
  <c r="AK277" i="103" s="1"/>
  <c r="AD276" i="103"/>
  <c r="AG276" i="103" s="1"/>
  <c r="AH276" i="103" s="1"/>
  <c r="AI276" i="103" s="1"/>
  <c r="AJ276" i="103" s="1"/>
  <c r="AK276" i="103" s="1"/>
  <c r="AD274" i="103"/>
  <c r="AG274" i="103" s="1"/>
  <c r="AH274" i="103" s="1"/>
  <c r="AI274" i="103" s="1"/>
  <c r="AJ274" i="103" s="1"/>
  <c r="AK274" i="103" s="1"/>
  <c r="AD272" i="103"/>
  <c r="AG272" i="103" s="1"/>
  <c r="AH272" i="103" s="1"/>
  <c r="AI272" i="103" s="1"/>
  <c r="AJ272" i="103" s="1"/>
  <c r="AK272" i="103" s="1"/>
  <c r="AD270" i="103"/>
  <c r="AG270" i="103" s="1"/>
  <c r="AH270" i="103" s="1"/>
  <c r="AI270" i="103" s="1"/>
  <c r="AJ270" i="103" s="1"/>
  <c r="AK270" i="103" s="1"/>
  <c r="AD268" i="103"/>
  <c r="AG268" i="103" s="1"/>
  <c r="AH268" i="103" s="1"/>
  <c r="AI268" i="103" s="1"/>
  <c r="AJ268" i="103" s="1"/>
  <c r="AK268" i="103" s="1"/>
  <c r="AD266" i="103"/>
  <c r="AG266" i="103" s="1"/>
  <c r="AH266" i="103" s="1"/>
  <c r="AI266" i="103" s="1"/>
  <c r="AJ266" i="103" s="1"/>
  <c r="AK266" i="103" s="1"/>
  <c r="AD264" i="103"/>
  <c r="AG264" i="103" s="1"/>
  <c r="AH264" i="103" s="1"/>
  <c r="AI264" i="103" s="1"/>
  <c r="AJ264" i="103" s="1"/>
  <c r="AK264" i="103" s="1"/>
  <c r="AD262" i="103"/>
  <c r="AG262" i="103" s="1"/>
  <c r="AH262" i="103" s="1"/>
  <c r="AI262" i="103" s="1"/>
  <c r="AJ262" i="103" s="1"/>
  <c r="AK262" i="103" s="1"/>
  <c r="AD261" i="103"/>
  <c r="AG261" i="103" s="1"/>
  <c r="AH261" i="103" s="1"/>
  <c r="AI261" i="103" s="1"/>
  <c r="AJ261" i="103" s="1"/>
  <c r="AK261" i="103" s="1"/>
  <c r="AD260" i="103"/>
  <c r="AG260" i="103" s="1"/>
  <c r="AH260" i="103" s="1"/>
  <c r="AI260" i="103" s="1"/>
  <c r="AJ260" i="103" s="1"/>
  <c r="AK260" i="103" s="1"/>
  <c r="AA260" i="103"/>
  <c r="AD259" i="103"/>
  <c r="AG259" i="103" s="1"/>
  <c r="AH259" i="103" s="1"/>
  <c r="AI259" i="103" s="1"/>
  <c r="AJ259" i="103" s="1"/>
  <c r="AK259" i="103" s="1"/>
  <c r="AD254" i="103"/>
  <c r="AG254" i="103" s="1"/>
  <c r="AH254" i="103" s="1"/>
  <c r="AI254" i="103" s="1"/>
  <c r="AJ254" i="103" s="1"/>
  <c r="AK254" i="103" s="1"/>
  <c r="AD252" i="103"/>
  <c r="AG252" i="103" s="1"/>
  <c r="AH252" i="103" s="1"/>
  <c r="AI252" i="103" s="1"/>
  <c r="AJ252" i="103" s="1"/>
  <c r="AK252" i="103" s="1"/>
  <c r="AD251" i="103"/>
  <c r="AG251" i="103" s="1"/>
  <c r="AH251" i="103" s="1"/>
  <c r="AI251" i="103" s="1"/>
  <c r="AJ251" i="103" s="1"/>
  <c r="AK251" i="103" s="1"/>
  <c r="AD250" i="103"/>
  <c r="AG250" i="103" s="1"/>
  <c r="AH250" i="103" s="1"/>
  <c r="AI250" i="103" s="1"/>
  <c r="AJ250" i="103" s="1"/>
  <c r="AK250" i="103" s="1"/>
  <c r="AD247" i="103"/>
  <c r="AG247" i="103" s="1"/>
  <c r="AH247" i="103" s="1"/>
  <c r="AI247" i="103" s="1"/>
  <c r="AJ247" i="103" s="1"/>
  <c r="AK247" i="103" s="1"/>
  <c r="AD246" i="103"/>
  <c r="AG246" i="103" s="1"/>
  <c r="AH246" i="103" s="1"/>
  <c r="AI246" i="103" s="1"/>
  <c r="AJ246" i="103" s="1"/>
  <c r="AK246" i="103" s="1"/>
  <c r="AD244" i="103"/>
  <c r="AG244" i="103" s="1"/>
  <c r="AH244" i="103" s="1"/>
  <c r="AI244" i="103" s="1"/>
  <c r="AJ244" i="103" s="1"/>
  <c r="AK244" i="103" s="1"/>
  <c r="AD243" i="103"/>
  <c r="AG243" i="103" s="1"/>
  <c r="AH243" i="103" s="1"/>
  <c r="AI243" i="103" s="1"/>
  <c r="AJ243" i="103" s="1"/>
  <c r="AK243" i="103" s="1"/>
  <c r="AD242" i="103"/>
  <c r="AG242" i="103" s="1"/>
  <c r="AH242" i="103" s="1"/>
  <c r="AI242" i="103" s="1"/>
  <c r="AJ242" i="103" s="1"/>
  <c r="AK242" i="103" s="1"/>
  <c r="AD240" i="103"/>
  <c r="AG240" i="103" s="1"/>
  <c r="AH240" i="103" s="1"/>
  <c r="AI240" i="103" s="1"/>
  <c r="AJ240" i="103" s="1"/>
  <c r="AK240" i="103" s="1"/>
  <c r="AD239" i="103"/>
  <c r="AG239" i="103" s="1"/>
  <c r="AH239" i="103" s="1"/>
  <c r="AI239" i="103" s="1"/>
  <c r="AJ239" i="103" s="1"/>
  <c r="AK239" i="103" s="1"/>
  <c r="AD238" i="103"/>
  <c r="AG238" i="103" s="1"/>
  <c r="AH238" i="103" s="1"/>
  <c r="AI238" i="103" s="1"/>
  <c r="AJ238" i="103" s="1"/>
  <c r="AK238" i="103" s="1"/>
  <c r="AD235" i="103"/>
  <c r="AG235" i="103" s="1"/>
  <c r="AH235" i="103" s="1"/>
  <c r="AI235" i="103" s="1"/>
  <c r="AJ235" i="103" s="1"/>
  <c r="AK235" i="103" s="1"/>
  <c r="AD234" i="103"/>
  <c r="AG234" i="103" s="1"/>
  <c r="AH234" i="103" s="1"/>
  <c r="AI234" i="103" s="1"/>
  <c r="AJ234" i="103" s="1"/>
  <c r="AK234" i="103" s="1"/>
  <c r="AD232" i="103"/>
  <c r="AG232" i="103" s="1"/>
  <c r="AH232" i="103" s="1"/>
  <c r="AI232" i="103" s="1"/>
  <c r="AJ232" i="103" s="1"/>
  <c r="AK232" i="103" s="1"/>
  <c r="AD229" i="103"/>
  <c r="AG229" i="103" s="1"/>
  <c r="AH229" i="103" s="1"/>
  <c r="AI229" i="103" s="1"/>
  <c r="AJ229" i="103" s="1"/>
  <c r="AK229" i="103" s="1"/>
  <c r="AD226" i="103"/>
  <c r="AG226" i="103" s="1"/>
  <c r="AH226" i="103" s="1"/>
  <c r="AI226" i="103" s="1"/>
  <c r="AJ226" i="103" s="1"/>
  <c r="AK226" i="103" s="1"/>
  <c r="AD222" i="103"/>
  <c r="AG222" i="103" s="1"/>
  <c r="AH222" i="103" s="1"/>
  <c r="AI222" i="103" s="1"/>
  <c r="AJ222" i="103" s="1"/>
  <c r="AK222" i="103" s="1"/>
  <c r="AD218" i="103"/>
  <c r="AG218" i="103" s="1"/>
  <c r="AH218" i="103" s="1"/>
  <c r="AI218" i="103" s="1"/>
  <c r="AJ218" i="103" s="1"/>
  <c r="AK218" i="103" s="1"/>
  <c r="AD216" i="103"/>
  <c r="AG216" i="103" s="1"/>
  <c r="AH216" i="103" s="1"/>
  <c r="AI216" i="103" s="1"/>
  <c r="AJ216" i="103" s="1"/>
  <c r="AK216" i="103" s="1"/>
  <c r="AD215" i="103"/>
  <c r="AG215" i="103" s="1"/>
  <c r="AH215" i="103" s="1"/>
  <c r="AI215" i="103" s="1"/>
  <c r="AJ215" i="103" s="1"/>
  <c r="AK215" i="103" s="1"/>
  <c r="AD214" i="103"/>
  <c r="AG214" i="103" s="1"/>
  <c r="AH214" i="103" s="1"/>
  <c r="AI214" i="103" s="1"/>
  <c r="AJ214" i="103" s="1"/>
  <c r="AK214" i="103" s="1"/>
  <c r="AD212" i="103"/>
  <c r="AG212" i="103" s="1"/>
  <c r="AH212" i="103" s="1"/>
  <c r="AI212" i="103" s="1"/>
  <c r="AJ212" i="103" s="1"/>
  <c r="AK212" i="103" s="1"/>
  <c r="AA206" i="103"/>
  <c r="AA204" i="103"/>
  <c r="AD200" i="103"/>
  <c r="AG200" i="103" s="1"/>
  <c r="AH200" i="103" s="1"/>
  <c r="AI200" i="103" s="1"/>
  <c r="AJ200" i="103" s="1"/>
  <c r="AK200" i="103" s="1"/>
  <c r="AD198" i="103"/>
  <c r="AG198" i="103" s="1"/>
  <c r="AH198" i="103" s="1"/>
  <c r="AI198" i="103" s="1"/>
  <c r="AJ198" i="103" s="1"/>
  <c r="AK198" i="103" s="1"/>
  <c r="AD196" i="103"/>
  <c r="AG196" i="103" s="1"/>
  <c r="AH196" i="103" s="1"/>
  <c r="AI196" i="103" s="1"/>
  <c r="AJ196" i="103" s="1"/>
  <c r="AK196" i="103" s="1"/>
  <c r="AA196" i="103"/>
  <c r="AD194" i="103"/>
  <c r="AG194" i="103" s="1"/>
  <c r="AH194" i="103" s="1"/>
  <c r="AI194" i="103" s="1"/>
  <c r="AJ194" i="103" s="1"/>
  <c r="AK194" i="103" s="1"/>
  <c r="AD188" i="103"/>
  <c r="AG188" i="103" s="1"/>
  <c r="AH188" i="103" s="1"/>
  <c r="AI188" i="103" s="1"/>
  <c r="AJ188" i="103" s="1"/>
  <c r="AK188" i="103" s="1"/>
  <c r="AD186" i="103"/>
  <c r="AG186" i="103" s="1"/>
  <c r="AH186" i="103" s="1"/>
  <c r="AI186" i="103" s="1"/>
  <c r="AJ186" i="103" s="1"/>
  <c r="AK186" i="103" s="1"/>
  <c r="AA186" i="103"/>
  <c r="AA184" i="103"/>
  <c r="AA182" i="103"/>
  <c r="AD180" i="103"/>
  <c r="AG180" i="103" s="1"/>
  <c r="AH180" i="103" s="1"/>
  <c r="AI180" i="103" s="1"/>
  <c r="AJ180" i="103" s="1"/>
  <c r="AK180" i="103" s="1"/>
  <c r="AA168" i="103"/>
  <c r="AA166" i="103"/>
  <c r="AD155" i="103"/>
  <c r="AG155" i="103" s="1"/>
  <c r="AH155" i="103" s="1"/>
  <c r="AI155" i="103" s="1"/>
  <c r="AJ155" i="103" s="1"/>
  <c r="AK155" i="103" s="1"/>
  <c r="AJ15" i="102"/>
  <c r="AK15" i="102" s="1"/>
  <c r="AL15" i="102" s="1"/>
  <c r="AJ17" i="102"/>
  <c r="AK17" i="102" s="1"/>
  <c r="AL17" i="102" s="1"/>
  <c r="AJ18" i="102"/>
  <c r="AK18" i="102" s="1"/>
  <c r="AL18" i="102" s="1"/>
  <c r="AJ19" i="102"/>
  <c r="AK19" i="102" s="1"/>
  <c r="AL19" i="102" s="1"/>
  <c r="AJ20" i="102"/>
  <c r="AK20" i="102" s="1"/>
  <c r="AL20" i="102" s="1"/>
  <c r="AJ21" i="102"/>
  <c r="AK21" i="102" s="1"/>
  <c r="AL21" i="102" s="1"/>
  <c r="AJ23" i="102"/>
  <c r="AK23" i="102" s="1"/>
  <c r="AL23" i="102" s="1"/>
  <c r="AJ24" i="102"/>
  <c r="AK24" i="102" s="1"/>
  <c r="AL24" i="102" s="1"/>
  <c r="AJ26" i="102"/>
  <c r="AK26" i="102" s="1"/>
  <c r="AL26" i="102" s="1"/>
  <c r="AJ27" i="102"/>
  <c r="AK27" i="102" s="1"/>
  <c r="AL27" i="102" s="1"/>
  <c r="AJ28" i="102"/>
  <c r="AK28" i="102" s="1"/>
  <c r="AL28" i="102" s="1"/>
  <c r="AJ29" i="102"/>
  <c r="AK29" i="102" s="1"/>
  <c r="AL29" i="102" s="1"/>
  <c r="AJ31" i="102"/>
  <c r="AK31" i="102" s="1"/>
  <c r="AL31" i="102" s="1"/>
  <c r="AJ32" i="102"/>
  <c r="AK32" i="102" s="1"/>
  <c r="AL32" i="102" s="1"/>
  <c r="AJ33" i="102"/>
  <c r="AK33" i="102" s="1"/>
  <c r="AL33" i="102" s="1"/>
  <c r="AJ34" i="102"/>
  <c r="AK34" i="102" s="1"/>
  <c r="AL34" i="102" s="1"/>
  <c r="AJ35" i="102"/>
  <c r="AK35" i="102" s="1"/>
  <c r="AL35" i="102" s="1"/>
  <c r="AJ37" i="102"/>
  <c r="AK37" i="102" s="1"/>
  <c r="AL37" i="102" s="1"/>
  <c r="AJ38" i="102"/>
  <c r="AK38" i="102" s="1"/>
  <c r="AL38" i="102" s="1"/>
  <c r="AJ39" i="102"/>
  <c r="AK39" i="102" s="1"/>
  <c r="AL39" i="102" s="1"/>
  <c r="AJ41" i="102"/>
  <c r="AK41" i="102" s="1"/>
  <c r="AL41" i="102" s="1"/>
  <c r="AJ42" i="102"/>
  <c r="AK42" i="102" s="1"/>
  <c r="AL42" i="102" s="1"/>
  <c r="AJ44" i="102"/>
  <c r="AK44" i="102" s="1"/>
  <c r="AL44" i="102" s="1"/>
  <c r="AJ45" i="102"/>
  <c r="AK45" i="102"/>
  <c r="AL45" i="102" s="1"/>
  <c r="AJ47" i="102"/>
  <c r="AK47" i="102" s="1"/>
  <c r="AL47" i="102" s="1"/>
  <c r="AJ48" i="102"/>
  <c r="AK48" i="102" s="1"/>
  <c r="AL48" i="102" s="1"/>
  <c r="AJ49" i="102"/>
  <c r="AK49" i="102" s="1"/>
  <c r="AL49" i="102" s="1"/>
  <c r="AJ50" i="102"/>
  <c r="AK50" i="102" s="1"/>
  <c r="AL50" i="102" s="1"/>
  <c r="AJ51" i="102"/>
  <c r="AK51" i="102" s="1"/>
  <c r="AL51" i="102" s="1"/>
  <c r="AJ53" i="102"/>
  <c r="AK53" i="102"/>
  <c r="AL53" i="102" s="1"/>
  <c r="AJ54" i="102"/>
  <c r="AK54" i="102" s="1"/>
  <c r="AL54" i="102" s="1"/>
  <c r="AJ56" i="102"/>
  <c r="AK56" i="102" s="1"/>
  <c r="AL56" i="102" s="1"/>
  <c r="AJ57" i="102"/>
  <c r="AK57" i="102" s="1"/>
  <c r="AL57" i="102" s="1"/>
  <c r="AJ58" i="102"/>
  <c r="AK58" i="102" s="1"/>
  <c r="AL58" i="102" s="1"/>
  <c r="AJ59" i="102"/>
  <c r="AK59" i="102" s="1"/>
  <c r="AL59" i="102" s="1"/>
  <c r="AJ60" i="102"/>
  <c r="AK60" i="102" s="1"/>
  <c r="AL60" i="102" s="1"/>
  <c r="AJ61" i="102"/>
  <c r="AK61" i="102" s="1"/>
  <c r="AL61" i="102" s="1"/>
  <c r="AJ62" i="102"/>
  <c r="AK62" i="102" s="1"/>
  <c r="AL62" i="102" s="1"/>
  <c r="AJ64" i="102"/>
  <c r="AK64" i="102" s="1"/>
  <c r="AL64" i="102" s="1"/>
  <c r="AJ65" i="102"/>
  <c r="AK65" i="102" s="1"/>
  <c r="AL65" i="102" s="1"/>
  <c r="AJ66" i="102"/>
  <c r="AK66" i="102" s="1"/>
  <c r="AL66" i="102" s="1"/>
  <c r="AJ67" i="102"/>
  <c r="AK67" i="102" s="1"/>
  <c r="AL67" i="102" s="1"/>
  <c r="AJ68" i="102"/>
  <c r="AK68" i="102" s="1"/>
  <c r="AL68" i="102" s="1"/>
  <c r="AJ69" i="102"/>
  <c r="AK69" i="102"/>
  <c r="AL69" i="102" s="1"/>
  <c r="AJ70" i="102"/>
  <c r="AK70" i="102" s="1"/>
  <c r="AL70" i="102" s="1"/>
  <c r="AJ71" i="102"/>
  <c r="AK71" i="102" s="1"/>
  <c r="AL71" i="102" s="1"/>
  <c r="AJ72" i="102"/>
  <c r="AK72" i="102"/>
  <c r="AL72" i="102" s="1"/>
  <c r="AJ74" i="102"/>
  <c r="AK74" i="102" s="1"/>
  <c r="AL74" i="102" s="1"/>
  <c r="AJ75" i="102"/>
  <c r="AK75" i="102" s="1"/>
  <c r="AL75" i="102" s="1"/>
  <c r="AJ76" i="102"/>
  <c r="AK76" i="102" s="1"/>
  <c r="AL76" i="102" s="1"/>
  <c r="AJ77" i="102"/>
  <c r="AK77" i="102"/>
  <c r="AL77" i="102" s="1"/>
  <c r="AJ78" i="102"/>
  <c r="AK78" i="102" s="1"/>
  <c r="AL78" i="102" s="1"/>
  <c r="AJ79" i="102"/>
  <c r="AK79" i="102" s="1"/>
  <c r="AL79" i="102" s="1"/>
  <c r="AJ80" i="102"/>
  <c r="AK80" i="102" s="1"/>
  <c r="AL80" i="102" s="1"/>
  <c r="AJ81" i="102"/>
  <c r="AK81" i="102" s="1"/>
  <c r="AL81" i="102" s="1"/>
  <c r="AJ82" i="102"/>
  <c r="AK82" i="102" s="1"/>
  <c r="AL82" i="102" s="1"/>
  <c r="AJ84" i="102"/>
  <c r="AK84" i="102" s="1"/>
  <c r="AL84" i="102" s="1"/>
  <c r="AJ85" i="102"/>
  <c r="AK85" i="102" s="1"/>
  <c r="AL85" i="102" s="1"/>
  <c r="AJ86" i="102"/>
  <c r="AK86" i="102" s="1"/>
  <c r="AL86" i="102" s="1"/>
  <c r="AJ87" i="102"/>
  <c r="AK87" i="102" s="1"/>
  <c r="AL87" i="102" s="1"/>
  <c r="AJ88" i="102"/>
  <c r="AK88" i="102" s="1"/>
  <c r="AL88" i="102" s="1"/>
  <c r="AJ89" i="102"/>
  <c r="AK89" i="102" s="1"/>
  <c r="AL89" i="102" s="1"/>
  <c r="AJ90" i="102"/>
  <c r="AK90" i="102" s="1"/>
  <c r="AL90" i="102" s="1"/>
  <c r="AJ91" i="102"/>
  <c r="AK91" i="102" s="1"/>
  <c r="AL91" i="102" s="1"/>
  <c r="AJ92" i="102"/>
  <c r="AK92" i="102"/>
  <c r="AL92" i="102" s="1"/>
  <c r="AJ94" i="102"/>
  <c r="AK94" i="102" s="1"/>
  <c r="AL94" i="102" s="1"/>
  <c r="AJ95" i="102"/>
  <c r="AK95" i="102" s="1"/>
  <c r="AL95" i="102" s="1"/>
  <c r="AJ96" i="102"/>
  <c r="AK96" i="102" s="1"/>
  <c r="AL96" i="102" s="1"/>
  <c r="AJ97" i="102"/>
  <c r="AK97" i="102" s="1"/>
  <c r="AL97" i="102" s="1"/>
  <c r="AJ98" i="102"/>
  <c r="AK98" i="102" s="1"/>
  <c r="AL98" i="102" s="1"/>
  <c r="AJ99" i="102"/>
  <c r="AK99" i="102" s="1"/>
  <c r="AL99" i="102" s="1"/>
  <c r="AJ100" i="102"/>
  <c r="AK100" i="102" s="1"/>
  <c r="AL100" i="102" s="1"/>
  <c r="AJ101" i="102"/>
  <c r="AK101" i="102" s="1"/>
  <c r="AL101" i="102" s="1"/>
  <c r="AJ102" i="102"/>
  <c r="AK102" i="102" s="1"/>
  <c r="AL102" i="102" s="1"/>
  <c r="AJ104" i="102"/>
  <c r="AK104" i="102" s="1"/>
  <c r="AL104" i="102" s="1"/>
  <c r="AJ105" i="102"/>
  <c r="AK105" i="102" s="1"/>
  <c r="AL105" i="102" s="1"/>
  <c r="AJ106" i="102"/>
  <c r="AK106" i="102" s="1"/>
  <c r="AL106" i="102" s="1"/>
  <c r="AJ107" i="102"/>
  <c r="AK107" i="102" s="1"/>
  <c r="AL107" i="102" s="1"/>
  <c r="AJ108" i="102"/>
  <c r="AK108" i="102" s="1"/>
  <c r="AL108" i="102" s="1"/>
  <c r="AJ109" i="102"/>
  <c r="AK109" i="102" s="1"/>
  <c r="AL109" i="102" s="1"/>
  <c r="AJ110" i="102"/>
  <c r="AK110" i="102" s="1"/>
  <c r="AL110" i="102" s="1"/>
  <c r="AJ111" i="102"/>
  <c r="AK111" i="102" s="1"/>
  <c r="AL111" i="102" s="1"/>
  <c r="AJ112" i="102"/>
  <c r="AK112" i="102" s="1"/>
  <c r="AL112" i="102" s="1"/>
  <c r="AJ113" i="102"/>
  <c r="AK113" i="102" s="1"/>
  <c r="AL113" i="102" s="1"/>
  <c r="AJ114" i="102"/>
  <c r="AK114" i="102" s="1"/>
  <c r="AL114" i="102" s="1"/>
  <c r="AJ116" i="102"/>
  <c r="AK116" i="102"/>
  <c r="AL116" i="102" s="1"/>
  <c r="AJ117" i="102"/>
  <c r="AK117" i="102" s="1"/>
  <c r="AL117" i="102" s="1"/>
  <c r="AJ118" i="102"/>
  <c r="AK118" i="102" s="1"/>
  <c r="AL118" i="102" s="1"/>
  <c r="AJ119" i="102"/>
  <c r="AK119" i="102" s="1"/>
  <c r="AL119" i="102" s="1"/>
  <c r="AJ120" i="102"/>
  <c r="AK120" i="102" s="1"/>
  <c r="AL120" i="102" s="1"/>
  <c r="AJ121" i="102"/>
  <c r="AK121" i="102" s="1"/>
  <c r="AL121" i="102" s="1"/>
  <c r="AJ122" i="102"/>
  <c r="AK122" i="102" s="1"/>
  <c r="AL122" i="102" s="1"/>
  <c r="AJ124" i="102"/>
  <c r="AK124" i="102" s="1"/>
  <c r="AL124" i="102" s="1"/>
  <c r="AJ125" i="102"/>
  <c r="AK125" i="102" s="1"/>
  <c r="AL125" i="102" s="1"/>
  <c r="AJ126" i="102"/>
  <c r="AK126" i="102" s="1"/>
  <c r="AL126" i="102" s="1"/>
  <c r="AJ127" i="102"/>
  <c r="AK127" i="102" s="1"/>
  <c r="AL127" i="102" s="1"/>
  <c r="AJ128" i="102"/>
  <c r="AK128" i="102" s="1"/>
  <c r="AL128" i="102" s="1"/>
  <c r="AJ129" i="102"/>
  <c r="AK129" i="102" s="1"/>
  <c r="AL129" i="102" s="1"/>
  <c r="AJ130" i="102"/>
  <c r="AK130" i="102" s="1"/>
  <c r="AL130" i="102" s="1"/>
  <c r="AJ131" i="102"/>
  <c r="AK131" i="102" s="1"/>
  <c r="AL131" i="102" s="1"/>
  <c r="AJ132" i="102"/>
  <c r="AK132" i="102" s="1"/>
  <c r="AL132" i="102" s="1"/>
  <c r="AJ133" i="102"/>
  <c r="AK133" i="102" s="1"/>
  <c r="AL133" i="102" s="1"/>
  <c r="AJ135" i="102"/>
  <c r="AK135" i="102" s="1"/>
  <c r="AL135" i="102" s="1"/>
  <c r="AJ136" i="102"/>
  <c r="AK136" i="102" s="1"/>
  <c r="AL136" i="102" s="1"/>
  <c r="AJ137" i="102"/>
  <c r="AK137" i="102" s="1"/>
  <c r="AL137" i="102" s="1"/>
  <c r="AJ138" i="102"/>
  <c r="AK138" i="102" s="1"/>
  <c r="AL138" i="102" s="1"/>
  <c r="AJ139" i="102"/>
  <c r="AK139" i="102" s="1"/>
  <c r="AL139" i="102" s="1"/>
  <c r="AJ140" i="102"/>
  <c r="AK140" i="102" s="1"/>
  <c r="AL140" i="102" s="1"/>
  <c r="AJ141" i="102"/>
  <c r="AK141" i="102" s="1"/>
  <c r="AL141" i="102" s="1"/>
  <c r="AJ142" i="102"/>
  <c r="AK142" i="102" s="1"/>
  <c r="AL142" i="102" s="1"/>
  <c r="AJ143" i="102"/>
  <c r="AK143" i="102" s="1"/>
  <c r="AL143" i="102" s="1"/>
  <c r="AJ144" i="102"/>
  <c r="AK144" i="102"/>
  <c r="AL144" i="102" s="1"/>
  <c r="AJ146" i="102"/>
  <c r="AK146" i="102" s="1"/>
  <c r="AL146" i="102" s="1"/>
  <c r="AJ147" i="102"/>
  <c r="AK147" i="102" s="1"/>
  <c r="AL147" i="102" s="1"/>
  <c r="AJ148" i="102"/>
  <c r="AK148" i="102" s="1"/>
  <c r="AL148" i="102" s="1"/>
  <c r="AJ149" i="102"/>
  <c r="AK149" i="102" s="1"/>
  <c r="AL149" i="102" s="1"/>
  <c r="AJ150" i="102"/>
  <c r="AK150" i="102" s="1"/>
  <c r="AL150" i="102" s="1"/>
  <c r="AJ151" i="102"/>
  <c r="AK151" i="102" s="1"/>
  <c r="AL151" i="102" s="1"/>
  <c r="AJ152" i="102"/>
  <c r="AK152" i="102" s="1"/>
  <c r="AL152" i="102" s="1"/>
  <c r="AJ153" i="102"/>
  <c r="AK153" i="102" s="1"/>
  <c r="AL153" i="102" s="1"/>
  <c r="AJ154" i="102"/>
  <c r="AK154" i="102" s="1"/>
  <c r="AL154" i="102" s="1"/>
  <c r="AJ156" i="102"/>
  <c r="AK156" i="102" s="1"/>
  <c r="AL156" i="102" s="1"/>
  <c r="AJ157" i="102"/>
  <c r="AK157" i="102" s="1"/>
  <c r="AL157" i="102" s="1"/>
  <c r="AJ158" i="102"/>
  <c r="AK158" i="102" s="1"/>
  <c r="AL158" i="102" s="1"/>
  <c r="AJ159" i="102"/>
  <c r="AK159" i="102" s="1"/>
  <c r="AL159" i="102" s="1"/>
  <c r="AJ160" i="102"/>
  <c r="AK160" i="102" s="1"/>
  <c r="AL160" i="102" s="1"/>
  <c r="AJ161" i="102"/>
  <c r="AK161" i="102" s="1"/>
  <c r="AL161" i="102" s="1"/>
  <c r="AJ162" i="102"/>
  <c r="AK162" i="102" s="1"/>
  <c r="AL162" i="102" s="1"/>
  <c r="AJ163" i="102"/>
  <c r="AK163" i="102" s="1"/>
  <c r="AL163" i="102" s="1"/>
  <c r="AJ164" i="102"/>
  <c r="AK164" i="102" s="1"/>
  <c r="AL164" i="102" s="1"/>
  <c r="AJ166" i="102"/>
  <c r="AK166" i="102" s="1"/>
  <c r="AL166" i="102" s="1"/>
  <c r="AJ167" i="102"/>
  <c r="AK167" i="102" s="1"/>
  <c r="AL167" i="102" s="1"/>
  <c r="AJ168" i="102"/>
  <c r="AK168" i="102" s="1"/>
  <c r="AL168" i="102" s="1"/>
  <c r="AJ169" i="102"/>
  <c r="AK169" i="102" s="1"/>
  <c r="AL169" i="102" s="1"/>
  <c r="AJ170" i="102"/>
  <c r="AK170" i="102" s="1"/>
  <c r="AL170" i="102" s="1"/>
  <c r="AJ171" i="102"/>
  <c r="AK171" i="102" s="1"/>
  <c r="AL171" i="102" s="1"/>
  <c r="AJ172" i="102"/>
  <c r="AK172" i="102" s="1"/>
  <c r="AL172" i="102" s="1"/>
  <c r="AJ173" i="102"/>
  <c r="AK173" i="102" s="1"/>
  <c r="AL173" i="102" s="1"/>
  <c r="AJ174" i="102"/>
  <c r="AK174" i="102" s="1"/>
  <c r="AL174" i="102" s="1"/>
  <c r="AJ176" i="102"/>
  <c r="AK176" i="102"/>
  <c r="AL176" i="102" s="1"/>
  <c r="AJ177" i="102"/>
  <c r="AK177" i="102" s="1"/>
  <c r="AL177" i="102" s="1"/>
  <c r="AJ178" i="102"/>
  <c r="AK178" i="102" s="1"/>
  <c r="AL178" i="102" s="1"/>
  <c r="AJ179" i="102"/>
  <c r="AK179" i="102" s="1"/>
  <c r="AL179" i="102" s="1"/>
  <c r="AJ180" i="102"/>
  <c r="AK180" i="102" s="1"/>
  <c r="AL180" i="102" s="1"/>
  <c r="AJ181" i="102"/>
  <c r="AK181" i="102" s="1"/>
  <c r="AL181" i="102" s="1"/>
  <c r="AJ182" i="102"/>
  <c r="AK182" i="102" s="1"/>
  <c r="AL182" i="102" s="1"/>
  <c r="AJ183" i="102"/>
  <c r="AK183" i="102" s="1"/>
  <c r="AL183" i="102" s="1"/>
  <c r="AJ184" i="102"/>
  <c r="AK184" i="102" s="1"/>
  <c r="AL184" i="102" s="1"/>
  <c r="AJ185" i="102"/>
  <c r="AK185" i="102" s="1"/>
  <c r="AL185" i="102" s="1"/>
  <c r="AJ187" i="102"/>
  <c r="AK187" i="102" s="1"/>
  <c r="AL187" i="102" s="1"/>
  <c r="AJ188" i="102"/>
  <c r="AK188" i="102" s="1"/>
  <c r="AL188" i="102" s="1"/>
  <c r="AJ189" i="102"/>
  <c r="AK189" i="102" s="1"/>
  <c r="AL189" i="102" s="1"/>
  <c r="AJ190" i="102"/>
  <c r="AK190" i="102" s="1"/>
  <c r="AL190" i="102" s="1"/>
  <c r="AJ191" i="102"/>
  <c r="AK191" i="102" s="1"/>
  <c r="AL191" i="102" s="1"/>
  <c r="AJ192" i="102"/>
  <c r="AK192" i="102" s="1"/>
  <c r="AL192" i="102" s="1"/>
  <c r="AJ193" i="102"/>
  <c r="AK193" i="102" s="1"/>
  <c r="AL193" i="102" s="1"/>
  <c r="AJ194" i="102"/>
  <c r="AK194" i="102" s="1"/>
  <c r="AL194" i="102" s="1"/>
  <c r="AJ195" i="102"/>
  <c r="AK195" i="102" s="1"/>
  <c r="AL195" i="102" s="1"/>
  <c r="AJ196" i="102"/>
  <c r="AK196" i="102" s="1"/>
  <c r="AL196" i="102" s="1"/>
  <c r="AJ197" i="102"/>
  <c r="AK197" i="102" s="1"/>
  <c r="AL197" i="102" s="1"/>
  <c r="AJ199" i="102"/>
  <c r="AK199" i="102" s="1"/>
  <c r="AL199" i="102" s="1"/>
  <c r="AJ200" i="102"/>
  <c r="AK200" i="102" s="1"/>
  <c r="AL200" i="102" s="1"/>
  <c r="AJ201" i="102"/>
  <c r="AK201" i="102" s="1"/>
  <c r="AL201" i="102" s="1"/>
  <c r="AJ202" i="102"/>
  <c r="AK202" i="102" s="1"/>
  <c r="AL202" i="102" s="1"/>
  <c r="AJ203" i="102"/>
  <c r="AK203" i="102" s="1"/>
  <c r="AL203" i="102" s="1"/>
  <c r="AJ204" i="102"/>
  <c r="AK204" i="102"/>
  <c r="AL204" i="102" s="1"/>
  <c r="AJ205" i="102"/>
  <c r="AK205" i="102" s="1"/>
  <c r="AL205" i="102" s="1"/>
  <c r="AJ206" i="102"/>
  <c r="AK206" i="102" s="1"/>
  <c r="AL206" i="102" s="1"/>
  <c r="AJ207" i="102"/>
  <c r="AK207" i="102" s="1"/>
  <c r="AL207" i="102" s="1"/>
  <c r="AJ208" i="102"/>
  <c r="AK208" i="102" s="1"/>
  <c r="AL208" i="102" s="1"/>
  <c r="AJ209" i="102"/>
  <c r="AK209" i="102" s="1"/>
  <c r="AL209" i="102" s="1"/>
  <c r="AJ211" i="102"/>
  <c r="AK211" i="102" s="1"/>
  <c r="AL211" i="102" s="1"/>
  <c r="AJ212" i="102"/>
  <c r="AK212" i="102" s="1"/>
  <c r="AL212" i="102" s="1"/>
  <c r="AJ213" i="102"/>
  <c r="AK213" i="102" s="1"/>
  <c r="AL213" i="102" s="1"/>
  <c r="AJ214" i="102"/>
  <c r="AK214" i="102" s="1"/>
  <c r="AL214" i="102" s="1"/>
  <c r="AJ215" i="102"/>
  <c r="AK215" i="102" s="1"/>
  <c r="AL215" i="102" s="1"/>
  <c r="AJ216" i="102"/>
  <c r="AK216" i="102" s="1"/>
  <c r="AL216" i="102" s="1"/>
  <c r="AJ217" i="102"/>
  <c r="AK217" i="102" s="1"/>
  <c r="AL217" i="102" s="1"/>
  <c r="AJ218" i="102"/>
  <c r="AK218" i="102" s="1"/>
  <c r="AL218" i="102" s="1"/>
  <c r="AJ219" i="102"/>
  <c r="AK219" i="102" s="1"/>
  <c r="AL219" i="102" s="1"/>
  <c r="AJ220" i="102"/>
  <c r="AK220" i="102" s="1"/>
  <c r="AL220" i="102" s="1"/>
  <c r="AJ221" i="102"/>
  <c r="AK221" i="102" s="1"/>
  <c r="AL221" i="102" s="1"/>
  <c r="AJ223" i="102"/>
  <c r="AK223" i="102" s="1"/>
  <c r="AL223" i="102" s="1"/>
  <c r="AJ224" i="102"/>
  <c r="AK224" i="102" s="1"/>
  <c r="AL224" i="102" s="1"/>
  <c r="AJ225" i="102"/>
  <c r="AK225" i="102" s="1"/>
  <c r="AL225" i="102" s="1"/>
  <c r="AJ226" i="102"/>
  <c r="AK226" i="102" s="1"/>
  <c r="AL226" i="102" s="1"/>
  <c r="AJ227" i="102"/>
  <c r="AK227" i="102" s="1"/>
  <c r="AL227" i="102" s="1"/>
  <c r="AJ228" i="102"/>
  <c r="AK228" i="102" s="1"/>
  <c r="AL228" i="102" s="1"/>
  <c r="AJ229" i="102"/>
  <c r="AK229" i="102" s="1"/>
  <c r="AL229" i="102" s="1"/>
  <c r="AJ230" i="102"/>
  <c r="AK230" i="102" s="1"/>
  <c r="AL230" i="102" s="1"/>
  <c r="AJ231" i="102"/>
  <c r="AK231" i="102" s="1"/>
  <c r="AL231" i="102" s="1"/>
  <c r="AJ232" i="102"/>
  <c r="AK232" i="102" s="1"/>
  <c r="AL232" i="102" s="1"/>
  <c r="AJ233" i="102"/>
  <c r="AK233" i="102" s="1"/>
  <c r="AL233" i="102" s="1"/>
  <c r="AB222" i="102" a="1"/>
  <c r="AB222" i="102" s="1"/>
  <c r="AA222" i="102" a="1"/>
  <c r="AA222" i="102" s="1"/>
  <c r="AB210" i="102" a="1"/>
  <c r="AB210" i="102" s="1"/>
  <c r="AA210" i="102" a="1"/>
  <c r="AA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B165" i="102" a="1"/>
  <c r="AB165" i="102" s="1"/>
  <c r="AA165" i="102" a="1"/>
  <c r="AA165" i="102" s="1"/>
  <c r="AB155" i="102" a="1"/>
  <c r="AB155" i="102" s="1"/>
  <c r="AA155" i="102" a="1"/>
  <c r="AA155" i="102" s="1"/>
  <c r="AB145" i="102" a="1"/>
  <c r="AB145" i="102" s="1"/>
  <c r="AA145" i="102" a="1"/>
  <c r="AA145" i="102" s="1"/>
  <c r="AB134" i="102" a="1"/>
  <c r="AB134" i="102" s="1"/>
  <c r="AA134" i="102" a="1"/>
  <c r="AA134" i="102" s="1"/>
  <c r="AB123" i="102" a="1"/>
  <c r="AB123" i="102" s="1"/>
  <c r="AA123" i="102" a="1"/>
  <c r="AA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B83" i="102" a="1"/>
  <c r="AB83" i="102" s="1"/>
  <c r="AA83" i="102" a="1"/>
  <c r="AA83" i="102" s="1"/>
  <c r="AB73" i="102" a="1"/>
  <c r="AB73" i="102" s="1"/>
  <c r="AA73" i="102" a="1"/>
  <c r="AA73" i="102" s="1"/>
  <c r="AB63" i="102" a="1"/>
  <c r="AB63" i="102" s="1"/>
  <c r="AA63" i="102" a="1"/>
  <c r="AA63" i="102" s="1"/>
  <c r="AB55" i="102" a="1"/>
  <c r="AB55" i="102" s="1"/>
  <c r="AA55" i="102" a="1"/>
  <c r="AA55" i="102" s="1"/>
  <c r="AB52" i="102" a="1"/>
  <c r="AB52" i="102" s="1"/>
  <c r="AA52" i="102" a="1"/>
  <c r="AA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B36" i="102" a="1"/>
  <c r="AB36" i="102" s="1"/>
  <c r="AA36" i="102" a="1"/>
  <c r="AA36" i="102" s="1"/>
  <c r="AB30" i="102" a="1"/>
  <c r="AB30" i="102" s="1"/>
  <c r="AA30" i="102" a="1"/>
  <c r="AA30" i="102" s="1"/>
  <c r="AB25" i="102" a="1"/>
  <c r="AB25" i="102" s="1"/>
  <c r="AA25" i="102" a="1"/>
  <c r="AA25" i="102" s="1"/>
  <c r="AB22" i="102" a="1"/>
  <c r="AB22" i="102" s="1"/>
  <c r="AA22" i="102" a="1"/>
  <c r="AA22" i="102" s="1"/>
  <c r="AB16" i="102" a="1"/>
  <c r="AB16" i="102" s="1"/>
  <c r="AA16" i="102" a="1"/>
  <c r="AA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B11" i="102" a="1"/>
  <c r="AB11" i="102" s="1"/>
  <c r="AA11" i="102" a="1"/>
  <c r="AA11" i="102" s="1"/>
  <c r="AB10" i="102" a="1"/>
  <c r="AB10" i="102" s="1"/>
  <c r="AA10" i="102" a="1"/>
  <c r="AA10" i="102" s="1"/>
  <c r="AB9" i="102" a="1"/>
  <c r="AB9" i="102" s="1"/>
  <c r="AA9" i="102" a="1"/>
  <c r="AA9" i="102" s="1"/>
  <c r="AA8" i="102" a="1"/>
  <c r="AA8" i="102" s="1"/>
  <c r="AD8" i="102" s="1"/>
  <c r="AJ8" i="102" s="1"/>
  <c r="AK8" i="102" s="1"/>
  <c r="AL8" i="102" s="1"/>
  <c r="AA7" i="102" a="1"/>
  <c r="AA7" i="102" s="1"/>
  <c r="AD7" i="102" s="1"/>
  <c r="AJ7" i="102" s="1"/>
  <c r="AK7" i="102" s="1"/>
  <c r="AL7" i="102" s="1"/>
  <c r="AB6" i="102" a="1"/>
  <c r="AB6" i="102" s="1"/>
  <c r="AD6" i="102" s="1"/>
  <c r="AJ6" i="102" s="1"/>
  <c r="AA5" i="102" a="1"/>
  <c r="AA5" i="102" s="1"/>
  <c r="D16" i="102"/>
  <c r="D5" i="102"/>
  <c r="AD27" i="103" l="1"/>
  <c r="AG27" i="103" s="1"/>
  <c r="AH27" i="103" s="1"/>
  <c r="AI27" i="103" s="1"/>
  <c r="AJ27" i="103" s="1"/>
  <c r="AK27" i="103" s="1"/>
  <c r="AD71" i="96"/>
  <c r="AG71" i="96" s="1"/>
  <c r="AH71" i="96" s="1"/>
  <c r="AI71" i="96" s="1"/>
  <c r="AJ71" i="96" s="1"/>
  <c r="AK71" i="96" s="1"/>
  <c r="AD87" i="96"/>
  <c r="AG87" i="96" s="1"/>
  <c r="AH87" i="96" s="1"/>
  <c r="AI87" i="96" s="1"/>
  <c r="AJ87" i="96" s="1"/>
  <c r="AK87" i="96" s="1"/>
  <c r="AD109" i="96"/>
  <c r="AG109" i="96" s="1"/>
  <c r="AH109" i="96" s="1"/>
  <c r="AI109" i="96" s="1"/>
  <c r="AJ109" i="96" s="1"/>
  <c r="AK109" i="96" s="1"/>
  <c r="AD113" i="96"/>
  <c r="AG113" i="96" s="1"/>
  <c r="AH113" i="96" s="1"/>
  <c r="AI113" i="96" s="1"/>
  <c r="AJ113" i="96" s="1"/>
  <c r="AK113" i="96" s="1"/>
  <c r="AD139" i="96"/>
  <c r="AG139" i="96" s="1"/>
  <c r="AH139" i="96" s="1"/>
  <c r="AI139" i="96" s="1"/>
  <c r="AJ139" i="96" s="1"/>
  <c r="AK139" i="96" s="1"/>
  <c r="AD143" i="96"/>
  <c r="AG143" i="96" s="1"/>
  <c r="AH143" i="96" s="1"/>
  <c r="AI143" i="96" s="1"/>
  <c r="AJ143" i="96" s="1"/>
  <c r="AK143" i="96" s="1"/>
  <c r="AD175" i="96"/>
  <c r="AG175" i="96" s="1"/>
  <c r="AH175" i="96" s="1"/>
  <c r="AI175" i="96" s="1"/>
  <c r="AJ175" i="96" s="1"/>
  <c r="AK175" i="96" s="1"/>
  <c r="AD184" i="96"/>
  <c r="AG184" i="96" s="1"/>
  <c r="AH184" i="96" s="1"/>
  <c r="AI184" i="96" s="1"/>
  <c r="AJ184" i="96" s="1"/>
  <c r="AK184" i="96" s="1"/>
  <c r="AD193" i="96"/>
  <c r="AG193" i="96" s="1"/>
  <c r="AH193" i="96" s="1"/>
  <c r="AI193" i="96" s="1"/>
  <c r="AJ193" i="96" s="1"/>
  <c r="AK193" i="96" s="1"/>
  <c r="AD197" i="96"/>
  <c r="AG197" i="96" s="1"/>
  <c r="AH197" i="96" s="1"/>
  <c r="AI197" i="96" s="1"/>
  <c r="AJ197" i="96" s="1"/>
  <c r="AK197" i="96" s="1"/>
  <c r="AD201" i="96"/>
  <c r="AG201" i="96" s="1"/>
  <c r="AH201" i="96" s="1"/>
  <c r="AI201" i="96" s="1"/>
  <c r="AJ201" i="96" s="1"/>
  <c r="AK201" i="96" s="1"/>
  <c r="AD159" i="103"/>
  <c r="AG159" i="103" s="1"/>
  <c r="AH159" i="103" s="1"/>
  <c r="AI159" i="103" s="1"/>
  <c r="AJ159" i="103" s="1"/>
  <c r="AK159" i="103" s="1"/>
  <c r="AD236" i="103"/>
  <c r="AG236" i="103" s="1"/>
  <c r="AH236" i="103" s="1"/>
  <c r="AI236" i="103" s="1"/>
  <c r="AJ236" i="103" s="1"/>
  <c r="AK236" i="103" s="1"/>
  <c r="AD248" i="103"/>
  <c r="AG248" i="103" s="1"/>
  <c r="AH248" i="103" s="1"/>
  <c r="AI248" i="103" s="1"/>
  <c r="AJ248" i="103" s="1"/>
  <c r="AK248" i="103" s="1"/>
  <c r="AD257" i="103"/>
  <c r="AG257" i="103" s="1"/>
  <c r="AH257" i="103" s="1"/>
  <c r="AI257" i="103" s="1"/>
  <c r="AJ257" i="103" s="1"/>
  <c r="AK257" i="103" s="1"/>
  <c r="AD263" i="103"/>
  <c r="AG263" i="103" s="1"/>
  <c r="AH263" i="103" s="1"/>
  <c r="AI263" i="103" s="1"/>
  <c r="AJ263" i="103" s="1"/>
  <c r="AK263" i="103" s="1"/>
  <c r="AD267" i="103"/>
  <c r="AG267" i="103" s="1"/>
  <c r="AH267" i="103" s="1"/>
  <c r="AI267" i="103" s="1"/>
  <c r="AJ267" i="103" s="1"/>
  <c r="AK267" i="103" s="1"/>
  <c r="AD271" i="103"/>
  <c r="AG271" i="103" s="1"/>
  <c r="AH271" i="103" s="1"/>
  <c r="AI271" i="103" s="1"/>
  <c r="AJ271" i="103" s="1"/>
  <c r="AK271" i="103" s="1"/>
  <c r="AD275" i="103"/>
  <c r="AG275" i="103" s="1"/>
  <c r="AH275" i="103" s="1"/>
  <c r="AI275" i="103" s="1"/>
  <c r="AJ275" i="103" s="1"/>
  <c r="AK275" i="103" s="1"/>
  <c r="AD279" i="103"/>
  <c r="AG279" i="103" s="1"/>
  <c r="AH279" i="103" s="1"/>
  <c r="AI279" i="103" s="1"/>
  <c r="AJ279" i="103" s="1"/>
  <c r="AK279" i="103" s="1"/>
  <c r="AD283" i="103"/>
  <c r="AG283" i="103" s="1"/>
  <c r="AH283" i="103" s="1"/>
  <c r="AI283" i="103" s="1"/>
  <c r="AJ283" i="103" s="1"/>
  <c r="AK283" i="103" s="1"/>
  <c r="AM99" i="112"/>
  <c r="AQ99" i="112" s="1"/>
  <c r="AR99" i="112" s="1"/>
  <c r="AS99" i="112" s="1"/>
  <c r="AT99" i="112" s="1"/>
  <c r="AU99" i="112" s="1"/>
  <c r="AM163" i="112"/>
  <c r="AQ163" i="112" s="1"/>
  <c r="AR163" i="112" s="1"/>
  <c r="AS163" i="112" s="1"/>
  <c r="AT163" i="112" s="1"/>
  <c r="AU163" i="112" s="1"/>
  <c r="AM167" i="112"/>
  <c r="AQ167" i="112" s="1"/>
  <c r="AR167" i="112" s="1"/>
  <c r="AS167" i="112" s="1"/>
  <c r="AT167" i="112" s="1"/>
  <c r="AU167" i="112" s="1"/>
  <c r="AM171" i="112"/>
  <c r="AQ171" i="112" s="1"/>
  <c r="AR171" i="112" s="1"/>
  <c r="AS171" i="112" s="1"/>
  <c r="AT171" i="112" s="1"/>
  <c r="AU171" i="112" s="1"/>
  <c r="AM175" i="112"/>
  <c r="AQ175" i="112" s="1"/>
  <c r="AR175" i="112" s="1"/>
  <c r="AS175" i="112" s="1"/>
  <c r="AT175" i="112" s="1"/>
  <c r="AU175" i="112" s="1"/>
  <c r="AM180" i="112"/>
  <c r="AQ180" i="112" s="1"/>
  <c r="AR180" i="112" s="1"/>
  <c r="AS180" i="112" s="1"/>
  <c r="AT180" i="112" s="1"/>
  <c r="AU180" i="112" s="1"/>
  <c r="AD206" i="103"/>
  <c r="AG206" i="103" s="1"/>
  <c r="AH206" i="103" s="1"/>
  <c r="AI206" i="103" s="1"/>
  <c r="AJ206" i="103" s="1"/>
  <c r="AK206" i="103" s="1"/>
  <c r="AD208" i="103"/>
  <c r="AG208" i="103" s="1"/>
  <c r="AH208" i="103" s="1"/>
  <c r="AI208" i="103" s="1"/>
  <c r="AJ208" i="103" s="1"/>
  <c r="AK208" i="103" s="1"/>
  <c r="AD213" i="103"/>
  <c r="AG213" i="103" s="1"/>
  <c r="AH213" i="103" s="1"/>
  <c r="AI213" i="103" s="1"/>
  <c r="AJ213" i="103" s="1"/>
  <c r="AK213" i="103" s="1"/>
  <c r="AD217" i="103"/>
  <c r="AG217" i="103" s="1"/>
  <c r="AH217" i="103" s="1"/>
  <c r="AI217" i="103" s="1"/>
  <c r="AJ217" i="103" s="1"/>
  <c r="AK217" i="103" s="1"/>
  <c r="AD223" i="103"/>
  <c r="AG223" i="103" s="1"/>
  <c r="AH223" i="103" s="1"/>
  <c r="AI223" i="103" s="1"/>
  <c r="AJ223" i="103" s="1"/>
  <c r="AK223" i="103" s="1"/>
  <c r="AD227" i="103"/>
  <c r="AG227" i="103" s="1"/>
  <c r="AH227" i="103" s="1"/>
  <c r="AI227" i="103" s="1"/>
  <c r="AJ227" i="103" s="1"/>
  <c r="AK227" i="103" s="1"/>
  <c r="AM222" i="112"/>
  <c r="AQ222" i="112" s="1"/>
  <c r="AR222" i="112" s="1"/>
  <c r="AS222" i="112" s="1"/>
  <c r="AT222" i="112" s="1"/>
  <c r="AU222" i="112" s="1"/>
  <c r="AD58" i="103"/>
  <c r="AG58" i="103" s="1"/>
  <c r="AH58" i="103" s="1"/>
  <c r="AI58" i="103" s="1"/>
  <c r="AJ58" i="103" s="1"/>
  <c r="AK58" i="103" s="1"/>
  <c r="AD62" i="103"/>
  <c r="AG62" i="103" s="1"/>
  <c r="AH62" i="103" s="1"/>
  <c r="AI62" i="103" s="1"/>
  <c r="AJ62" i="103" s="1"/>
  <c r="AK62" i="103" s="1"/>
  <c r="AD70" i="103"/>
  <c r="AG70" i="103" s="1"/>
  <c r="AH70" i="103" s="1"/>
  <c r="AI70" i="103" s="1"/>
  <c r="AJ70" i="103" s="1"/>
  <c r="AK70" i="103" s="1"/>
  <c r="AD74" i="103"/>
  <c r="AG74" i="103" s="1"/>
  <c r="AH74" i="103" s="1"/>
  <c r="AI74" i="103" s="1"/>
  <c r="AJ74" i="103" s="1"/>
  <c r="AK74" i="103" s="1"/>
  <c r="AD78" i="103"/>
  <c r="AG78" i="103" s="1"/>
  <c r="AH78" i="103" s="1"/>
  <c r="AI78" i="103" s="1"/>
  <c r="AJ78" i="103" s="1"/>
  <c r="AK78" i="103" s="1"/>
  <c r="AD157" i="103"/>
  <c r="AG157" i="103" s="1"/>
  <c r="AH157" i="103" s="1"/>
  <c r="AI157" i="103" s="1"/>
  <c r="AJ157" i="103" s="1"/>
  <c r="AK157" i="103" s="1"/>
  <c r="AD161" i="103"/>
  <c r="AG161" i="103" s="1"/>
  <c r="AH161" i="103" s="1"/>
  <c r="AI161" i="103" s="1"/>
  <c r="AJ161" i="103" s="1"/>
  <c r="AK161" i="103" s="1"/>
  <c r="AM216" i="112"/>
  <c r="AQ216" i="112" s="1"/>
  <c r="AR216" i="112" s="1"/>
  <c r="AS216" i="112" s="1"/>
  <c r="AT216" i="112" s="1"/>
  <c r="AU216" i="112" s="1"/>
  <c r="AD50" i="103"/>
  <c r="AG50" i="103" s="1"/>
  <c r="AH50" i="103" s="1"/>
  <c r="AI50" i="103" s="1"/>
  <c r="AJ50" i="103" s="1"/>
  <c r="AK50" i="103" s="1"/>
  <c r="AD265" i="103"/>
  <c r="AG265" i="103" s="1"/>
  <c r="AH265" i="103" s="1"/>
  <c r="AI265" i="103" s="1"/>
  <c r="AJ265" i="103" s="1"/>
  <c r="AK265" i="103" s="1"/>
  <c r="AD269" i="103"/>
  <c r="AG269" i="103" s="1"/>
  <c r="AH269" i="103" s="1"/>
  <c r="AI269" i="103" s="1"/>
  <c r="AJ269" i="103" s="1"/>
  <c r="AK269" i="103" s="1"/>
  <c r="AD273" i="103"/>
  <c r="AG273" i="103" s="1"/>
  <c r="AH273" i="103" s="1"/>
  <c r="AI273" i="103" s="1"/>
  <c r="AJ273" i="103" s="1"/>
  <c r="AK273" i="103" s="1"/>
  <c r="AM226" i="112"/>
  <c r="AQ226" i="112" s="1"/>
  <c r="AR226" i="112" s="1"/>
  <c r="AS226" i="112" s="1"/>
  <c r="AT226" i="112" s="1"/>
  <c r="AU226" i="112" s="1"/>
  <c r="AD20" i="103"/>
  <c r="AG20" i="103" s="1"/>
  <c r="AH20" i="103" s="1"/>
  <c r="AI20" i="103" s="1"/>
  <c r="AJ20" i="103" s="1"/>
  <c r="AK20" i="103" s="1"/>
  <c r="AD24" i="103"/>
  <c r="AG24" i="103" s="1"/>
  <c r="AH24" i="103" s="1"/>
  <c r="AI24" i="103" s="1"/>
  <c r="AJ24" i="103" s="1"/>
  <c r="AK24" i="103" s="1"/>
  <c r="AD36" i="103"/>
  <c r="AG36" i="103" s="1"/>
  <c r="AH36" i="103" s="1"/>
  <c r="AI36" i="103" s="1"/>
  <c r="AJ36" i="103" s="1"/>
  <c r="AK36" i="103" s="1"/>
  <c r="AD44" i="103"/>
  <c r="AG44" i="103" s="1"/>
  <c r="AH44" i="103" s="1"/>
  <c r="AI44" i="103" s="1"/>
  <c r="AJ44" i="103" s="1"/>
  <c r="AK44" i="103" s="1"/>
  <c r="AD131" i="96"/>
  <c r="AG131" i="96" s="1"/>
  <c r="AH131" i="96" s="1"/>
  <c r="AI131" i="96" s="1"/>
  <c r="AJ131" i="96" s="1"/>
  <c r="AK131" i="96" s="1"/>
  <c r="AD28" i="103"/>
  <c r="AG28" i="103" s="1"/>
  <c r="AH28" i="103" s="1"/>
  <c r="AI28" i="103" s="1"/>
  <c r="AJ28" i="103" s="1"/>
  <c r="AK28" i="103" s="1"/>
  <c r="AD17" i="103"/>
  <c r="AG17" i="103" s="1"/>
  <c r="AH17" i="103" s="1"/>
  <c r="AI17" i="103" s="1"/>
  <c r="AJ17" i="103" s="1"/>
  <c r="AK17" i="103" s="1"/>
  <c r="AD49" i="103"/>
  <c r="AG49" i="103" s="1"/>
  <c r="AH49" i="103" s="1"/>
  <c r="AI49" i="103" s="1"/>
  <c r="AJ49" i="103" s="1"/>
  <c r="AK49" i="103" s="1"/>
  <c r="AD21" i="96"/>
  <c r="AG21" i="96" s="1"/>
  <c r="AH21" i="96" s="1"/>
  <c r="AI21" i="96" s="1"/>
  <c r="AJ21" i="96" s="1"/>
  <c r="AK21" i="96" s="1"/>
  <c r="AD27" i="96"/>
  <c r="AG27" i="96" s="1"/>
  <c r="AH27" i="96" s="1"/>
  <c r="AI27" i="96" s="1"/>
  <c r="AJ27" i="96" s="1"/>
  <c r="AK27" i="96" s="1"/>
  <c r="AD55" i="96"/>
  <c r="AG55" i="96" s="1"/>
  <c r="AH55" i="96" s="1"/>
  <c r="AI55" i="96" s="1"/>
  <c r="AJ55" i="96" s="1"/>
  <c r="AK55" i="96" s="1"/>
  <c r="AD65" i="96"/>
  <c r="AG65" i="96" s="1"/>
  <c r="AH65" i="96" s="1"/>
  <c r="AI65" i="96" s="1"/>
  <c r="AJ65" i="96" s="1"/>
  <c r="AK65" i="96" s="1"/>
  <c r="AD69" i="96"/>
  <c r="AG69" i="96" s="1"/>
  <c r="AH69" i="96" s="1"/>
  <c r="AI69" i="96" s="1"/>
  <c r="AJ69" i="96" s="1"/>
  <c r="AK69" i="96" s="1"/>
  <c r="AD80" i="96"/>
  <c r="AG80" i="96" s="1"/>
  <c r="AH80" i="96" s="1"/>
  <c r="AI80" i="96" s="1"/>
  <c r="AJ80" i="96" s="1"/>
  <c r="AK80" i="96" s="1"/>
  <c r="AD120" i="96"/>
  <c r="AG120" i="96" s="1"/>
  <c r="AH120" i="96" s="1"/>
  <c r="AI120" i="96" s="1"/>
  <c r="AJ120" i="96" s="1"/>
  <c r="AK120" i="96" s="1"/>
  <c r="AD137" i="96"/>
  <c r="AG137" i="96" s="1"/>
  <c r="AH137" i="96" s="1"/>
  <c r="AI137" i="96" s="1"/>
  <c r="AJ137" i="96" s="1"/>
  <c r="AK137" i="96" s="1"/>
  <c r="AD141" i="96"/>
  <c r="AG141" i="96" s="1"/>
  <c r="AH141" i="96" s="1"/>
  <c r="AI141" i="96" s="1"/>
  <c r="AJ141" i="96" s="1"/>
  <c r="AK141" i="96" s="1"/>
  <c r="AD169" i="96"/>
  <c r="AG169" i="96" s="1"/>
  <c r="AH169" i="96" s="1"/>
  <c r="AI169" i="96" s="1"/>
  <c r="AJ169" i="96" s="1"/>
  <c r="AK169" i="96" s="1"/>
  <c r="AD173" i="96"/>
  <c r="AG173" i="96" s="1"/>
  <c r="AH173" i="96" s="1"/>
  <c r="AI173" i="96" s="1"/>
  <c r="AJ173" i="96" s="1"/>
  <c r="AK173" i="96" s="1"/>
  <c r="AD177" i="96"/>
  <c r="AG177" i="96" s="1"/>
  <c r="AH177" i="96" s="1"/>
  <c r="AI177" i="96" s="1"/>
  <c r="AJ177" i="96" s="1"/>
  <c r="AK177" i="96" s="1"/>
  <c r="AD186" i="96"/>
  <c r="AG186" i="96" s="1"/>
  <c r="AH186" i="96" s="1"/>
  <c r="AI186" i="96" s="1"/>
  <c r="AJ186" i="96" s="1"/>
  <c r="AK186" i="96" s="1"/>
  <c r="AD191" i="96"/>
  <c r="AG191" i="96" s="1"/>
  <c r="AH191" i="96" s="1"/>
  <c r="AI191" i="96" s="1"/>
  <c r="AJ191" i="96" s="1"/>
  <c r="AK191" i="96" s="1"/>
  <c r="AD204" i="96"/>
  <c r="AG204" i="96" s="1"/>
  <c r="AH204" i="96" s="1"/>
  <c r="AI204" i="96" s="1"/>
  <c r="AJ204" i="96" s="1"/>
  <c r="AK204" i="96" s="1"/>
  <c r="AD208" i="96"/>
  <c r="AG208" i="96" s="1"/>
  <c r="AH208" i="96" s="1"/>
  <c r="AI208" i="96" s="1"/>
  <c r="AJ208" i="96" s="1"/>
  <c r="AK208" i="96" s="1"/>
  <c r="AD249" i="103"/>
  <c r="AG249" i="103" s="1"/>
  <c r="AH249" i="103" s="1"/>
  <c r="AI249" i="103" s="1"/>
  <c r="AJ249" i="103" s="1"/>
  <c r="AK249" i="103" s="1"/>
  <c r="AD253" i="103"/>
  <c r="AG253" i="103" s="1"/>
  <c r="AH253" i="103" s="1"/>
  <c r="AI253" i="103" s="1"/>
  <c r="AJ253" i="103" s="1"/>
  <c r="AK253" i="103" s="1"/>
  <c r="AD14" i="96"/>
  <c r="AG14" i="96" s="1"/>
  <c r="AH14" i="96" s="1"/>
  <c r="AI14" i="96" s="1"/>
  <c r="AJ14" i="96" s="1"/>
  <c r="AK14" i="96" s="1"/>
  <c r="AD81" i="96"/>
  <c r="AG81" i="96" s="1"/>
  <c r="AH81" i="96" s="1"/>
  <c r="AI81" i="96" s="1"/>
  <c r="AJ81" i="96" s="1"/>
  <c r="AK81" i="96" s="1"/>
  <c r="AD98" i="96"/>
  <c r="AG98" i="96" s="1"/>
  <c r="AH98" i="96" s="1"/>
  <c r="AI98" i="96" s="1"/>
  <c r="AJ98" i="96" s="1"/>
  <c r="AK98" i="96" s="1"/>
  <c r="AD117" i="96"/>
  <c r="AG117" i="96" s="1"/>
  <c r="AH117" i="96" s="1"/>
  <c r="AI117" i="96" s="1"/>
  <c r="AJ117" i="96" s="1"/>
  <c r="AK117" i="96" s="1"/>
  <c r="AD121" i="96"/>
  <c r="AG121" i="96" s="1"/>
  <c r="AH121" i="96" s="1"/>
  <c r="AI121" i="96" s="1"/>
  <c r="AJ121" i="96" s="1"/>
  <c r="AK121" i="96" s="1"/>
  <c r="AD138" i="96"/>
  <c r="AG138" i="96" s="1"/>
  <c r="AH138" i="96" s="1"/>
  <c r="AI138" i="96" s="1"/>
  <c r="AJ138" i="96" s="1"/>
  <c r="AK138" i="96" s="1"/>
  <c r="AD147" i="96"/>
  <c r="AG147" i="96" s="1"/>
  <c r="AH147" i="96" s="1"/>
  <c r="AI147" i="96" s="1"/>
  <c r="AJ147" i="96" s="1"/>
  <c r="AK147" i="96" s="1"/>
  <c r="AD151" i="96"/>
  <c r="AG151" i="96" s="1"/>
  <c r="AH151" i="96" s="1"/>
  <c r="AI151" i="96" s="1"/>
  <c r="AJ151" i="96" s="1"/>
  <c r="AK151" i="96" s="1"/>
  <c r="AD155" i="96"/>
  <c r="AG155" i="96" s="1"/>
  <c r="AH155" i="96" s="1"/>
  <c r="AI155" i="96" s="1"/>
  <c r="AJ155" i="96" s="1"/>
  <c r="AK155" i="96" s="1"/>
  <c r="AD170" i="96"/>
  <c r="AG170" i="96" s="1"/>
  <c r="AH170" i="96" s="1"/>
  <c r="AI170" i="96" s="1"/>
  <c r="AJ170" i="96" s="1"/>
  <c r="AK170" i="96" s="1"/>
  <c r="AD174" i="96"/>
  <c r="AG174" i="96" s="1"/>
  <c r="AH174" i="96" s="1"/>
  <c r="AI174" i="96" s="1"/>
  <c r="AJ174" i="96" s="1"/>
  <c r="AK174" i="96" s="1"/>
  <c r="AD183" i="96"/>
  <c r="AG183" i="96" s="1"/>
  <c r="AH183" i="96" s="1"/>
  <c r="AI183" i="96" s="1"/>
  <c r="AJ183" i="96" s="1"/>
  <c r="AK183" i="96" s="1"/>
  <c r="AD187" i="96"/>
  <c r="AG187" i="96" s="1"/>
  <c r="AH187" i="96" s="1"/>
  <c r="AI187" i="96" s="1"/>
  <c r="AJ187" i="96" s="1"/>
  <c r="AK187" i="96" s="1"/>
  <c r="AD192" i="96"/>
  <c r="AG192" i="96" s="1"/>
  <c r="AH192" i="96" s="1"/>
  <c r="AI192" i="96" s="1"/>
  <c r="AJ192" i="96" s="1"/>
  <c r="AK192" i="96" s="1"/>
  <c r="AM153" i="112"/>
  <c r="AQ153" i="112" s="1"/>
  <c r="AR153" i="112" s="1"/>
  <c r="AS153" i="112" s="1"/>
  <c r="AT153" i="112" s="1"/>
  <c r="AU153" i="112" s="1"/>
  <c r="AM173" i="112"/>
  <c r="AQ173" i="112" s="1"/>
  <c r="AR173" i="112" s="1"/>
  <c r="AS173" i="112" s="1"/>
  <c r="AT173" i="112" s="1"/>
  <c r="AU173" i="112" s="1"/>
  <c r="AM178" i="112"/>
  <c r="AQ178" i="112" s="1"/>
  <c r="AR178" i="112" s="1"/>
  <c r="AS178" i="112" s="1"/>
  <c r="AT178" i="112" s="1"/>
  <c r="AU178" i="112" s="1"/>
  <c r="AM182" i="112"/>
  <c r="AQ182" i="112" s="1"/>
  <c r="AR182" i="112" s="1"/>
  <c r="AS182" i="112" s="1"/>
  <c r="AT182" i="112" s="1"/>
  <c r="AU182" i="112" s="1"/>
  <c r="AD57" i="96"/>
  <c r="AG57" i="96" s="1"/>
  <c r="AH57" i="96" s="1"/>
  <c r="AI57" i="96" s="1"/>
  <c r="AJ57" i="96" s="1"/>
  <c r="AK57" i="96" s="1"/>
  <c r="AD12" i="102"/>
  <c r="AJ12" i="102" s="1"/>
  <c r="AK12" i="102" s="1"/>
  <c r="AL12" i="102" s="1"/>
  <c r="AD22" i="102"/>
  <c r="AJ22" i="102" s="1"/>
  <c r="AK22" i="102" s="1"/>
  <c r="AL22" i="102" s="1"/>
  <c r="AD40" i="102"/>
  <c r="AJ40" i="102" s="1"/>
  <c r="AK40" i="102" s="1"/>
  <c r="AL40" i="102" s="1"/>
  <c r="AD55" i="102"/>
  <c r="AJ55" i="102" s="1"/>
  <c r="AK55" i="102" s="1"/>
  <c r="AL55" i="102" s="1"/>
  <c r="AD93" i="102"/>
  <c r="AJ93" i="102" s="1"/>
  <c r="AK93" i="102" s="1"/>
  <c r="AL93" i="102" s="1"/>
  <c r="AD134" i="102"/>
  <c r="AJ134" i="102" s="1"/>
  <c r="AK134" i="102" s="1"/>
  <c r="AL134" i="102" s="1"/>
  <c r="AD175" i="102"/>
  <c r="AJ175" i="102" s="1"/>
  <c r="AK175" i="102" s="1"/>
  <c r="AL175" i="102" s="1"/>
  <c r="AD222" i="102"/>
  <c r="AJ222" i="102" s="1"/>
  <c r="AK222" i="102" s="1"/>
  <c r="AL222" i="102" s="1"/>
  <c r="AD16" i="103"/>
  <c r="AG16" i="103" s="1"/>
  <c r="AH16" i="103" s="1"/>
  <c r="AI16" i="103" s="1"/>
  <c r="AJ16" i="103" s="1"/>
  <c r="AK16" i="103" s="1"/>
  <c r="AD18" i="103"/>
  <c r="AG18" i="103" s="1"/>
  <c r="AH18" i="103" s="1"/>
  <c r="AI18" i="103" s="1"/>
  <c r="AJ18" i="103" s="1"/>
  <c r="AK18" i="103" s="1"/>
  <c r="AD38" i="103"/>
  <c r="AG38" i="103" s="1"/>
  <c r="AH38" i="103" s="1"/>
  <c r="AI38" i="103" s="1"/>
  <c r="AJ38" i="103" s="1"/>
  <c r="AK38" i="103" s="1"/>
  <c r="AD40" i="103"/>
  <c r="AG40" i="103" s="1"/>
  <c r="AH40" i="103" s="1"/>
  <c r="AI40" i="103" s="1"/>
  <c r="AJ40" i="103" s="1"/>
  <c r="AK40" i="103" s="1"/>
  <c r="AD42" i="103"/>
  <c r="AG42" i="103" s="1"/>
  <c r="AH42" i="103" s="1"/>
  <c r="AI42" i="103" s="1"/>
  <c r="AJ42" i="103" s="1"/>
  <c r="AK42" i="103" s="1"/>
  <c r="AD55" i="103"/>
  <c r="AG55" i="103" s="1"/>
  <c r="AH55" i="103" s="1"/>
  <c r="AI55" i="103" s="1"/>
  <c r="AJ55" i="103" s="1"/>
  <c r="AK55" i="103" s="1"/>
  <c r="AD67" i="103"/>
  <c r="AG67" i="103" s="1"/>
  <c r="AH67" i="103" s="1"/>
  <c r="AI67" i="103" s="1"/>
  <c r="AJ67" i="103" s="1"/>
  <c r="AK67" i="103" s="1"/>
  <c r="AD91" i="103"/>
  <c r="AG91" i="103" s="1"/>
  <c r="AH91" i="103" s="1"/>
  <c r="AI91" i="103" s="1"/>
  <c r="AJ91" i="103" s="1"/>
  <c r="AK91" i="103" s="1"/>
  <c r="AD60" i="103"/>
  <c r="AG60" i="103" s="1"/>
  <c r="AH60" i="103" s="1"/>
  <c r="AI60" i="103" s="1"/>
  <c r="AJ60" i="103" s="1"/>
  <c r="AK60" i="103" s="1"/>
  <c r="AD47" i="103"/>
  <c r="AG47" i="103" s="1"/>
  <c r="AH47" i="103" s="1"/>
  <c r="AI47" i="103" s="1"/>
  <c r="AJ47" i="103" s="1"/>
  <c r="AK47" i="103" s="1"/>
  <c r="AD52" i="103"/>
  <c r="AG52" i="103" s="1"/>
  <c r="AH52" i="103" s="1"/>
  <c r="AI52" i="103" s="1"/>
  <c r="AJ52" i="103" s="1"/>
  <c r="AK52" i="103" s="1"/>
  <c r="AD56" i="103"/>
  <c r="AG56" i="103" s="1"/>
  <c r="AH56" i="103" s="1"/>
  <c r="AI56" i="103" s="1"/>
  <c r="AJ56" i="103" s="1"/>
  <c r="AK56" i="103" s="1"/>
  <c r="AD63" i="103"/>
  <c r="AG63" i="103" s="1"/>
  <c r="AH63" i="103" s="1"/>
  <c r="AI63" i="103" s="1"/>
  <c r="AJ63" i="103" s="1"/>
  <c r="AK63" i="103" s="1"/>
  <c r="AD71" i="103"/>
  <c r="AG71" i="103" s="1"/>
  <c r="AH71" i="103" s="1"/>
  <c r="AI71" i="103" s="1"/>
  <c r="AJ71" i="103" s="1"/>
  <c r="AK71" i="103" s="1"/>
  <c r="AD79" i="103"/>
  <c r="AG79" i="103" s="1"/>
  <c r="AH79" i="103" s="1"/>
  <c r="AI79" i="103" s="1"/>
  <c r="AJ79" i="103" s="1"/>
  <c r="AK79" i="103" s="1"/>
  <c r="AD174" i="103"/>
  <c r="AG174" i="103" s="1"/>
  <c r="AH174" i="103" s="1"/>
  <c r="AI174" i="103" s="1"/>
  <c r="AJ174" i="103" s="1"/>
  <c r="AK174" i="103" s="1"/>
  <c r="AD178" i="103"/>
  <c r="AG178" i="103" s="1"/>
  <c r="AH178" i="103" s="1"/>
  <c r="AI178" i="103" s="1"/>
  <c r="AJ178" i="103" s="1"/>
  <c r="AK178" i="103" s="1"/>
  <c r="AD9" i="102"/>
  <c r="AJ9" i="102" s="1"/>
  <c r="AK9" i="102" s="1"/>
  <c r="AL9" i="102" s="1"/>
  <c r="AD11" i="102"/>
  <c r="AJ11" i="102" s="1"/>
  <c r="AK11" i="102" s="1"/>
  <c r="AL11" i="102" s="1"/>
  <c r="AD16" i="102"/>
  <c r="AJ16" i="102" s="1"/>
  <c r="AK16" i="102" s="1"/>
  <c r="AL16" i="102" s="1"/>
  <c r="AD25" i="102"/>
  <c r="AJ25" i="102" s="1"/>
  <c r="AK25" i="102" s="1"/>
  <c r="AL25" i="102" s="1"/>
  <c r="AD36" i="102"/>
  <c r="AJ36" i="102" s="1"/>
  <c r="AK36" i="102" s="1"/>
  <c r="AL36" i="102" s="1"/>
  <c r="AD52" i="102"/>
  <c r="AJ52" i="102" s="1"/>
  <c r="AK52" i="102" s="1"/>
  <c r="AL52" i="102" s="1"/>
  <c r="AD63" i="102"/>
  <c r="AJ63" i="102" s="1"/>
  <c r="AK63" i="102" s="1"/>
  <c r="AL63" i="102" s="1"/>
  <c r="AD83" i="102"/>
  <c r="AJ83" i="102" s="1"/>
  <c r="AK83" i="102" s="1"/>
  <c r="AL83" i="102" s="1"/>
  <c r="AD123" i="102"/>
  <c r="AJ123" i="102" s="1"/>
  <c r="AK123" i="102" s="1"/>
  <c r="AL123" i="102" s="1"/>
  <c r="AD145" i="102"/>
  <c r="AJ145" i="102" s="1"/>
  <c r="AK145" i="102" s="1"/>
  <c r="AL145" i="102" s="1"/>
  <c r="AD165" i="102"/>
  <c r="AJ165" i="102" s="1"/>
  <c r="AK165" i="102" s="1"/>
  <c r="AL165" i="102" s="1"/>
  <c r="AD210" i="102"/>
  <c r="AJ210" i="102" s="1"/>
  <c r="AK210" i="102" s="1"/>
  <c r="AL210" i="102" s="1"/>
  <c r="AD59" i="103"/>
  <c r="AG59" i="103" s="1"/>
  <c r="AH59" i="103" s="1"/>
  <c r="AI59" i="103" s="1"/>
  <c r="AJ59" i="103" s="1"/>
  <c r="AK59" i="103" s="1"/>
  <c r="AD85" i="103"/>
  <c r="AG85" i="103" s="1"/>
  <c r="AH85" i="103" s="1"/>
  <c r="AI85" i="103" s="1"/>
  <c r="AJ85" i="103" s="1"/>
  <c r="AK85" i="103" s="1"/>
  <c r="D6" i="102"/>
  <c r="AK6" i="102" s="1"/>
  <c r="AL6" i="102" s="1"/>
  <c r="AR5" i="102" a="1"/>
  <c r="AD31" i="103"/>
  <c r="AG31" i="103" s="1"/>
  <c r="AH31" i="103" s="1"/>
  <c r="AI31" i="103" s="1"/>
  <c r="AJ31" i="103" s="1"/>
  <c r="AK31" i="103" s="1"/>
  <c r="AD34" i="103"/>
  <c r="AG34" i="103" s="1"/>
  <c r="AH34" i="103" s="1"/>
  <c r="AI34" i="103" s="1"/>
  <c r="AJ34" i="103" s="1"/>
  <c r="AK34" i="103" s="1"/>
  <c r="AD224" i="103"/>
  <c r="AG224" i="103" s="1"/>
  <c r="AH224" i="103" s="1"/>
  <c r="AI224" i="103" s="1"/>
  <c r="AJ224" i="103" s="1"/>
  <c r="AK224" i="103" s="1"/>
  <c r="AD228" i="103"/>
  <c r="AG228" i="103" s="1"/>
  <c r="AH228" i="103" s="1"/>
  <c r="AI228" i="103" s="1"/>
  <c r="AJ228" i="103" s="1"/>
  <c r="AK228" i="103" s="1"/>
  <c r="AA170" i="103"/>
  <c r="AA174" i="103"/>
  <c r="AA176" i="103"/>
  <c r="AA178" i="103"/>
  <c r="AA188" i="103"/>
  <c r="AA192" i="103"/>
  <c r="AA194" i="103"/>
  <c r="AA198" i="103"/>
  <c r="AD219" i="103"/>
  <c r="AG219" i="103" s="1"/>
  <c r="AH219" i="103" s="1"/>
  <c r="AI219" i="103" s="1"/>
  <c r="AJ219" i="103" s="1"/>
  <c r="AK219" i="103" s="1"/>
  <c r="AD225" i="103"/>
  <c r="AG225" i="103" s="1"/>
  <c r="AH225" i="103" s="1"/>
  <c r="AI225" i="103" s="1"/>
  <c r="AJ225" i="103" s="1"/>
  <c r="AK225" i="103" s="1"/>
  <c r="AD233" i="103"/>
  <c r="AG233" i="103" s="1"/>
  <c r="AH233" i="103" s="1"/>
  <c r="AI233" i="103" s="1"/>
  <c r="AJ233" i="103" s="1"/>
  <c r="AK233" i="103" s="1"/>
  <c r="AD237" i="103"/>
  <c r="AG237" i="103" s="1"/>
  <c r="AH237" i="103" s="1"/>
  <c r="AI237" i="103" s="1"/>
  <c r="AJ237" i="103" s="1"/>
  <c r="AK237" i="103" s="1"/>
  <c r="AD241" i="103"/>
  <c r="AG241" i="103" s="1"/>
  <c r="AH241" i="103" s="1"/>
  <c r="AI241" i="103" s="1"/>
  <c r="AJ241" i="103" s="1"/>
  <c r="AK241" i="103" s="1"/>
  <c r="AD11" i="96"/>
  <c r="AG11" i="96" s="1"/>
  <c r="AH11" i="96" s="1"/>
  <c r="AI11" i="96" s="1"/>
  <c r="AJ11" i="96" s="1"/>
  <c r="AK11" i="96" s="1"/>
  <c r="AD282" i="103"/>
  <c r="AG282" i="103" s="1"/>
  <c r="AH282" i="103" s="1"/>
  <c r="AI282" i="103" s="1"/>
  <c r="AJ282" i="103" s="1"/>
  <c r="AK282" i="103" s="1"/>
  <c r="AD46" i="96"/>
  <c r="AG46" i="96" s="1"/>
  <c r="AH46" i="96" s="1"/>
  <c r="AI46" i="96" s="1"/>
  <c r="AJ46" i="96" s="1"/>
  <c r="AK46" i="96" s="1"/>
  <c r="AD48" i="96"/>
  <c r="AG48" i="96" s="1"/>
  <c r="AH48" i="96" s="1"/>
  <c r="AI48" i="96" s="1"/>
  <c r="AJ48" i="96" s="1"/>
  <c r="AK48" i="96" s="1"/>
  <c r="AD50" i="96"/>
  <c r="AG50" i="96" s="1"/>
  <c r="AH50" i="96" s="1"/>
  <c r="AI50" i="96" s="1"/>
  <c r="AJ50" i="96" s="1"/>
  <c r="AK50" i="96" s="1"/>
  <c r="AD54" i="96"/>
  <c r="AG54" i="96" s="1"/>
  <c r="AH54" i="96" s="1"/>
  <c r="AI54" i="96" s="1"/>
  <c r="AJ54" i="96" s="1"/>
  <c r="AK54" i="96" s="1"/>
  <c r="AD56" i="96"/>
  <c r="AG56" i="96" s="1"/>
  <c r="AH56" i="96" s="1"/>
  <c r="AI56" i="96" s="1"/>
  <c r="AJ56" i="96" s="1"/>
  <c r="AK56" i="96" s="1"/>
  <c r="AD66" i="96"/>
  <c r="AG66" i="96" s="1"/>
  <c r="AH66" i="96" s="1"/>
  <c r="AI66" i="96" s="1"/>
  <c r="AJ66" i="96" s="1"/>
  <c r="AK66" i="96" s="1"/>
  <c r="AD68" i="96"/>
  <c r="AG68" i="96" s="1"/>
  <c r="AH68" i="96" s="1"/>
  <c r="AI68" i="96" s="1"/>
  <c r="AJ68" i="96" s="1"/>
  <c r="AK68" i="96" s="1"/>
  <c r="AD70" i="96"/>
  <c r="AG70" i="96" s="1"/>
  <c r="AH70" i="96" s="1"/>
  <c r="AI70" i="96" s="1"/>
  <c r="AJ70" i="96" s="1"/>
  <c r="AK70" i="96" s="1"/>
  <c r="AD75" i="96"/>
  <c r="AG75" i="96" s="1"/>
  <c r="AH75" i="96" s="1"/>
  <c r="AI75" i="96" s="1"/>
  <c r="AJ75" i="96" s="1"/>
  <c r="AK75" i="96" s="1"/>
  <c r="AD77" i="96"/>
  <c r="AG77" i="96" s="1"/>
  <c r="AH77" i="96" s="1"/>
  <c r="AI77" i="96" s="1"/>
  <c r="AJ77" i="96" s="1"/>
  <c r="AK77" i="96" s="1"/>
  <c r="AD111" i="96"/>
  <c r="AG111" i="96" s="1"/>
  <c r="AH111" i="96" s="1"/>
  <c r="AI111" i="96" s="1"/>
  <c r="AJ111" i="96" s="1"/>
  <c r="AK111" i="96" s="1"/>
  <c r="AD119" i="96"/>
  <c r="AG119" i="96" s="1"/>
  <c r="AH119" i="96" s="1"/>
  <c r="AI119" i="96" s="1"/>
  <c r="AJ119" i="96" s="1"/>
  <c r="AK119" i="96" s="1"/>
  <c r="AD136" i="96"/>
  <c r="AG136" i="96" s="1"/>
  <c r="AH136" i="96" s="1"/>
  <c r="AI136" i="96" s="1"/>
  <c r="AJ136" i="96" s="1"/>
  <c r="AK136" i="96" s="1"/>
  <c r="AD153" i="96"/>
  <c r="AG153" i="96" s="1"/>
  <c r="AH153" i="96" s="1"/>
  <c r="AI153" i="96" s="1"/>
  <c r="AJ153" i="96" s="1"/>
  <c r="AK153" i="96" s="1"/>
  <c r="AD172" i="96"/>
  <c r="AG172" i="96" s="1"/>
  <c r="AH172" i="96" s="1"/>
  <c r="AI172" i="96" s="1"/>
  <c r="AJ172" i="96" s="1"/>
  <c r="AK172" i="96" s="1"/>
  <c r="AD182" i="96"/>
  <c r="AG182" i="96" s="1"/>
  <c r="AH182" i="96" s="1"/>
  <c r="AI182" i="96" s="1"/>
  <c r="AJ182" i="96" s="1"/>
  <c r="AK182" i="96" s="1"/>
  <c r="AD190" i="96"/>
  <c r="AG190" i="96" s="1"/>
  <c r="AH190" i="96" s="1"/>
  <c r="AI190" i="96" s="1"/>
  <c r="AJ190" i="96" s="1"/>
  <c r="AK190" i="96" s="1"/>
  <c r="AD199" i="96"/>
  <c r="AG199" i="96" s="1"/>
  <c r="AH199" i="96" s="1"/>
  <c r="AI199" i="96" s="1"/>
  <c r="AJ199" i="96" s="1"/>
  <c r="AK199" i="96" s="1"/>
  <c r="AD12" i="96"/>
  <c r="AG12" i="96" s="1"/>
  <c r="AH12" i="96" s="1"/>
  <c r="AI12" i="96" s="1"/>
  <c r="AJ12" i="96" s="1"/>
  <c r="AK12" i="96" s="1"/>
  <c r="AD24" i="96"/>
  <c r="AG24" i="96" s="1"/>
  <c r="AH24" i="96" s="1"/>
  <c r="AI24" i="96" s="1"/>
  <c r="AJ24" i="96" s="1"/>
  <c r="AK24" i="96" s="1"/>
  <c r="AD30" i="96"/>
  <c r="AG30" i="96" s="1"/>
  <c r="AH30" i="96" s="1"/>
  <c r="AI30" i="96" s="1"/>
  <c r="AJ30" i="96" s="1"/>
  <c r="AK30" i="96" s="1"/>
  <c r="AD96" i="96"/>
  <c r="AG96" i="96" s="1"/>
  <c r="AH96" i="96" s="1"/>
  <c r="AI96" i="96" s="1"/>
  <c r="AJ96" i="96" s="1"/>
  <c r="AK96" i="96" s="1"/>
  <c r="AD107" i="96"/>
  <c r="AG107" i="96" s="1"/>
  <c r="AH107" i="96" s="1"/>
  <c r="AI107" i="96" s="1"/>
  <c r="AJ107" i="96" s="1"/>
  <c r="AK107" i="96" s="1"/>
  <c r="AD114" i="96"/>
  <c r="AG114" i="96" s="1"/>
  <c r="AH114" i="96" s="1"/>
  <c r="AI114" i="96" s="1"/>
  <c r="AJ114" i="96" s="1"/>
  <c r="AK114" i="96" s="1"/>
  <c r="AD90" i="96"/>
  <c r="AG90" i="96" s="1"/>
  <c r="AH90" i="96" s="1"/>
  <c r="AI90" i="96" s="1"/>
  <c r="AJ90" i="96" s="1"/>
  <c r="AK90" i="96" s="1"/>
  <c r="AD103" i="96"/>
  <c r="AG103" i="96" s="1"/>
  <c r="AH103" i="96" s="1"/>
  <c r="AI103" i="96" s="1"/>
  <c r="AJ103" i="96" s="1"/>
  <c r="AK103" i="96" s="1"/>
  <c r="AD112" i="96"/>
  <c r="AG112" i="96" s="1"/>
  <c r="AH112" i="96" s="1"/>
  <c r="AI112" i="96" s="1"/>
  <c r="AJ112" i="96" s="1"/>
  <c r="AK112" i="96" s="1"/>
  <c r="AD88" i="96"/>
  <c r="AG88" i="96" s="1"/>
  <c r="AH88" i="96" s="1"/>
  <c r="AI88" i="96" s="1"/>
  <c r="AJ88" i="96" s="1"/>
  <c r="AK88" i="96" s="1"/>
  <c r="AD99" i="96"/>
  <c r="AG99" i="96" s="1"/>
  <c r="AH99" i="96" s="1"/>
  <c r="AI99" i="96" s="1"/>
  <c r="AJ99" i="96" s="1"/>
  <c r="AK99" i="96" s="1"/>
  <c r="AD108" i="96"/>
  <c r="AG108" i="96" s="1"/>
  <c r="AH108" i="96" s="1"/>
  <c r="AI108" i="96" s="1"/>
  <c r="AJ108" i="96" s="1"/>
  <c r="AK108" i="96" s="1"/>
  <c r="AD118" i="96"/>
  <c r="AG118" i="96" s="1"/>
  <c r="AH118" i="96" s="1"/>
  <c r="AI118" i="96" s="1"/>
  <c r="AJ118" i="96" s="1"/>
  <c r="AK118" i="96" s="1"/>
  <c r="AD125" i="96"/>
  <c r="AG125" i="96" s="1"/>
  <c r="AH125" i="96" s="1"/>
  <c r="AI125" i="96" s="1"/>
  <c r="AJ125" i="96" s="1"/>
  <c r="AK125" i="96" s="1"/>
  <c r="AD142" i="96"/>
  <c r="AG142" i="96" s="1"/>
  <c r="AH142" i="96" s="1"/>
  <c r="AI142" i="96" s="1"/>
  <c r="AJ142" i="96" s="1"/>
  <c r="AK142" i="96" s="1"/>
  <c r="AD171" i="96"/>
  <c r="AG171" i="96" s="1"/>
  <c r="AH171" i="96" s="1"/>
  <c r="AI171" i="96" s="1"/>
  <c r="AJ171" i="96" s="1"/>
  <c r="AK171" i="96" s="1"/>
  <c r="AD179" i="96"/>
  <c r="AG179" i="96" s="1"/>
  <c r="AH179" i="96" s="1"/>
  <c r="AI179" i="96" s="1"/>
  <c r="AJ179" i="96" s="1"/>
  <c r="AK179" i="96" s="1"/>
  <c r="AD189" i="96"/>
  <c r="AG189" i="96" s="1"/>
  <c r="AH189" i="96" s="1"/>
  <c r="AI189" i="96" s="1"/>
  <c r="AJ189" i="96" s="1"/>
  <c r="AK189" i="96" s="1"/>
  <c r="AD206" i="96"/>
  <c r="AG206" i="96" s="1"/>
  <c r="AH206" i="96" s="1"/>
  <c r="AI206" i="96" s="1"/>
  <c r="AJ206" i="96" s="1"/>
  <c r="AK206" i="96" s="1"/>
  <c r="AD13" i="96"/>
  <c r="AG13" i="96" s="1"/>
  <c r="AH13" i="96" s="1"/>
  <c r="AI13" i="96" s="1"/>
  <c r="AJ13" i="96" s="1"/>
  <c r="AK13" i="96" s="1"/>
  <c r="AD31" i="96"/>
  <c r="AG31" i="96" s="1"/>
  <c r="AH31" i="96" s="1"/>
  <c r="AI31" i="96" s="1"/>
  <c r="AJ31" i="96" s="1"/>
  <c r="AK31" i="96" s="1"/>
  <c r="AD35" i="96"/>
  <c r="AG35" i="96" s="1"/>
  <c r="AH35" i="96" s="1"/>
  <c r="AI35" i="96" s="1"/>
  <c r="AJ35" i="96" s="1"/>
  <c r="AK35" i="96" s="1"/>
  <c r="AD37" i="96"/>
  <c r="AG37" i="96" s="1"/>
  <c r="AH37" i="96" s="1"/>
  <c r="AI37" i="96" s="1"/>
  <c r="AJ37" i="96" s="1"/>
  <c r="AK37" i="96" s="1"/>
  <c r="AD39" i="96"/>
  <c r="AG39" i="96" s="1"/>
  <c r="AH39" i="96" s="1"/>
  <c r="AI39" i="96" s="1"/>
  <c r="AJ39" i="96" s="1"/>
  <c r="AK39" i="96" s="1"/>
  <c r="AD84" i="96"/>
  <c r="AG84" i="96" s="1"/>
  <c r="AH84" i="96" s="1"/>
  <c r="AI84" i="96" s="1"/>
  <c r="AJ84" i="96" s="1"/>
  <c r="AK84" i="96" s="1"/>
  <c r="AD97" i="96"/>
  <c r="AG97" i="96" s="1"/>
  <c r="AH97" i="96" s="1"/>
  <c r="AI97" i="96" s="1"/>
  <c r="AJ97" i="96" s="1"/>
  <c r="AK97" i="96" s="1"/>
  <c r="AD104" i="96"/>
  <c r="AG104" i="96" s="1"/>
  <c r="AH104" i="96" s="1"/>
  <c r="AI104" i="96" s="1"/>
  <c r="AJ104" i="96" s="1"/>
  <c r="AK104" i="96" s="1"/>
  <c r="AD115" i="96"/>
  <c r="AG115" i="96" s="1"/>
  <c r="AH115" i="96" s="1"/>
  <c r="AI115" i="96" s="1"/>
  <c r="AJ115" i="96" s="1"/>
  <c r="AK115" i="96" s="1"/>
  <c r="AD238" i="96"/>
  <c r="AG238" i="96" s="1"/>
  <c r="AH238" i="96" s="1"/>
  <c r="AI238" i="96" s="1"/>
  <c r="AJ238" i="96" s="1"/>
  <c r="AK238" i="96" s="1"/>
  <c r="AM36" i="112"/>
  <c r="AQ36" i="112" s="1"/>
  <c r="AR36" i="112" s="1"/>
  <c r="AS36" i="112" s="1"/>
  <c r="AT36" i="112" s="1"/>
  <c r="AU36" i="112" s="1"/>
  <c r="AM101" i="112"/>
  <c r="AQ101" i="112" s="1"/>
  <c r="AR101" i="112" s="1"/>
  <c r="AS101" i="112" s="1"/>
  <c r="AT101" i="112" s="1"/>
  <c r="AU101" i="112" s="1"/>
  <c r="AM148" i="112"/>
  <c r="AQ148" i="112" s="1"/>
  <c r="AR148" i="112" s="1"/>
  <c r="AS148" i="112" s="1"/>
  <c r="AT148" i="112" s="1"/>
  <c r="AU148" i="112" s="1"/>
  <c r="AM165" i="112"/>
  <c r="AQ165" i="112" s="1"/>
  <c r="AR165" i="112" s="1"/>
  <c r="AS165" i="112" s="1"/>
  <c r="AT165" i="112" s="1"/>
  <c r="AU165" i="112" s="1"/>
  <c r="AM174" i="112"/>
  <c r="AQ174" i="112" s="1"/>
  <c r="AR174" i="112" s="1"/>
  <c r="AS174" i="112" s="1"/>
  <c r="AT174" i="112" s="1"/>
  <c r="AU174" i="112" s="1"/>
  <c r="AM220" i="112"/>
  <c r="AQ220" i="112" s="1"/>
  <c r="AR220" i="112" s="1"/>
  <c r="AS220" i="112" s="1"/>
  <c r="AT220" i="112" s="1"/>
  <c r="AU220" i="112" s="1"/>
  <c r="AM223" i="112"/>
  <c r="AQ223" i="112" s="1"/>
  <c r="AR223" i="112" s="1"/>
  <c r="AS223" i="112" s="1"/>
  <c r="AT223" i="112" s="1"/>
  <c r="AU223" i="112" s="1"/>
  <c r="AD234" i="96"/>
  <c r="AG234" i="96" s="1"/>
  <c r="AH234" i="96" s="1"/>
  <c r="AI234" i="96" s="1"/>
  <c r="AJ234" i="96" s="1"/>
  <c r="AK234" i="96" s="1"/>
  <c r="AM37" i="112"/>
  <c r="AQ37" i="112" s="1"/>
  <c r="AR37" i="112" s="1"/>
  <c r="AS37" i="112" s="1"/>
  <c r="AT37" i="112" s="1"/>
  <c r="AU37" i="112" s="1"/>
  <c r="AM168" i="112"/>
  <c r="AQ168" i="112" s="1"/>
  <c r="AR168" i="112" s="1"/>
  <c r="AS168" i="112" s="1"/>
  <c r="AT168" i="112" s="1"/>
  <c r="AU168" i="112" s="1"/>
  <c r="AM221" i="112"/>
  <c r="AQ221" i="112" s="1"/>
  <c r="AR221" i="112" s="1"/>
  <c r="AS221" i="112" s="1"/>
  <c r="AT221" i="112" s="1"/>
  <c r="AU221" i="112" s="1"/>
  <c r="AM24" i="112"/>
  <c r="AQ24" i="112" s="1"/>
  <c r="AR24" i="112" s="1"/>
  <c r="AS24" i="112" s="1"/>
  <c r="AT24" i="112" s="1"/>
  <c r="AU24" i="112" s="1"/>
  <c r="AM105" i="112"/>
  <c r="AQ105" i="112" s="1"/>
  <c r="AR105" i="112" s="1"/>
  <c r="AS105" i="112" s="1"/>
  <c r="AT105" i="112" s="1"/>
  <c r="AU105" i="112" s="1"/>
  <c r="AM162" i="112"/>
  <c r="AQ162" i="112" s="1"/>
  <c r="AR162" i="112" s="1"/>
  <c r="AS162" i="112" s="1"/>
  <c r="AT162" i="112" s="1"/>
  <c r="AU162" i="112" s="1"/>
  <c r="AM169" i="112"/>
  <c r="AQ169" i="112" s="1"/>
  <c r="AR169" i="112" s="1"/>
  <c r="AS169" i="112" s="1"/>
  <c r="AT169" i="112" s="1"/>
  <c r="AU169" i="112" s="1"/>
  <c r="AM189" i="112"/>
  <c r="AQ189" i="112" s="1"/>
  <c r="AR189" i="112" s="1"/>
  <c r="AS189" i="112" s="1"/>
  <c r="AT189" i="112" s="1"/>
  <c r="AU189" i="112" s="1"/>
  <c r="AD240" i="96"/>
  <c r="AG240" i="96" s="1"/>
  <c r="AH240" i="96" s="1"/>
  <c r="AI240" i="96" s="1"/>
  <c r="AJ240" i="96" s="1"/>
  <c r="AK240" i="96" s="1"/>
  <c r="AM51" i="112"/>
  <c r="AQ51" i="112" s="1"/>
  <c r="AR51" i="112" s="1"/>
  <c r="AS51" i="112" s="1"/>
  <c r="AT51" i="112" s="1"/>
  <c r="AU51" i="112" s="1"/>
  <c r="AM103" i="112"/>
  <c r="AQ103" i="112" s="1"/>
  <c r="AR103" i="112" s="1"/>
  <c r="AS103" i="112" s="1"/>
  <c r="AT103" i="112" s="1"/>
  <c r="AU103" i="112" s="1"/>
  <c r="AM209" i="112"/>
  <c r="AQ209" i="112" s="1"/>
  <c r="AR209" i="112" s="1"/>
  <c r="AS209" i="112" s="1"/>
  <c r="AT209" i="112" s="1"/>
  <c r="AU209" i="112" s="1"/>
  <c r="AM230" i="112"/>
  <c r="AQ230" i="112" s="1"/>
  <c r="AR230" i="112" s="1"/>
  <c r="AS230" i="112" s="1"/>
  <c r="AT230" i="112" s="1"/>
  <c r="AU230" i="112" s="1"/>
  <c r="AM23" i="112"/>
  <c r="AQ23" i="112" s="1"/>
  <c r="AR23" i="112" s="1"/>
  <c r="AS23" i="112" s="1"/>
  <c r="AT23" i="112" s="1"/>
  <c r="AU23" i="112" s="1"/>
  <c r="AM25" i="112"/>
  <c r="AQ25" i="112" s="1"/>
  <c r="AR25" i="112" s="1"/>
  <c r="AS25" i="112" s="1"/>
  <c r="AT25" i="112" s="1"/>
  <c r="AU25" i="112" s="1"/>
  <c r="AM232" i="112"/>
  <c r="AQ232" i="112" s="1"/>
  <c r="AR232" i="112" s="1"/>
  <c r="AS232" i="112" s="1"/>
  <c r="AT232" i="112" s="1"/>
  <c r="AU232" i="112" s="1"/>
  <c r="AM245" i="112"/>
  <c r="AQ245" i="112" s="1"/>
  <c r="AR245" i="112" s="1"/>
  <c r="AS245" i="112" s="1"/>
  <c r="AT245" i="112" s="1"/>
  <c r="AU245" i="112" s="1"/>
  <c r="AM198" i="112"/>
  <c r="AQ198" i="112" s="1"/>
  <c r="AR198" i="112" s="1"/>
  <c r="AS198" i="112" s="1"/>
  <c r="AT198" i="112" s="1"/>
  <c r="AU198" i="112" s="1"/>
  <c r="AM228" i="112"/>
  <c r="AQ228" i="112" s="1"/>
  <c r="AR228" i="112" s="1"/>
  <c r="AS228" i="112" s="1"/>
  <c r="AT228" i="112" s="1"/>
  <c r="AU228" i="112" s="1"/>
  <c r="AM231" i="112"/>
  <c r="AQ231" i="112" s="1"/>
  <c r="AR231" i="112" s="1"/>
  <c r="AS231" i="112" s="1"/>
  <c r="AT231" i="112" s="1"/>
  <c r="AU231" i="112" s="1"/>
  <c r="AM233" i="112"/>
  <c r="AQ233" i="112" s="1"/>
  <c r="AR233" i="112" s="1"/>
  <c r="AS233" i="112" s="1"/>
  <c r="AT233" i="112" s="1"/>
  <c r="AU233" i="112" s="1"/>
  <c r="AM248" i="112"/>
  <c r="AQ248" i="112" s="1"/>
  <c r="AR248" i="112" s="1"/>
  <c r="AS248" i="112" s="1"/>
  <c r="AT248" i="112" s="1"/>
  <c r="AU248" i="112" s="1"/>
  <c r="AM193" i="112"/>
  <c r="AQ193" i="112" s="1"/>
  <c r="AR193" i="112" s="1"/>
  <c r="AS193" i="112" s="1"/>
  <c r="AT193" i="112" s="1"/>
  <c r="AU193" i="112" s="1"/>
  <c r="AM199" i="112"/>
  <c r="AQ199" i="112" s="1"/>
  <c r="AR199" i="112" s="1"/>
  <c r="AS199" i="112" s="1"/>
  <c r="AT199" i="112" s="1"/>
  <c r="AU199" i="112" s="1"/>
  <c r="AQ21" i="112"/>
  <c r="AR21" i="112" s="1"/>
  <c r="AS21" i="112" s="1"/>
  <c r="AT21" i="112" s="1"/>
  <c r="AU21" i="112" s="1"/>
  <c r="AA190" i="103"/>
  <c r="AA200" i="103"/>
  <c r="AA164" i="103"/>
  <c r="E8" i="146"/>
  <c r="AA309" i="103"/>
  <c r="AM146" i="112"/>
  <c r="AQ146" i="112" s="1"/>
  <c r="AR146" i="112" s="1"/>
  <c r="AS146" i="112" s="1"/>
  <c r="AT146" i="112" s="1"/>
  <c r="AU146" i="112" s="1"/>
  <c r="AK283" i="112"/>
  <c r="AM98" i="112"/>
  <c r="AQ98" i="112" s="1"/>
  <c r="AR98" i="112" s="1"/>
  <c r="AS98" i="112" s="1"/>
  <c r="AT98" i="112" s="1"/>
  <c r="AU98" i="112" s="1"/>
  <c r="AM102" i="112"/>
  <c r="AQ102" i="112" s="1"/>
  <c r="AR102" i="112" s="1"/>
  <c r="AS102" i="112" s="1"/>
  <c r="AT102" i="112" s="1"/>
  <c r="AU102" i="112" s="1"/>
  <c r="AM106" i="112"/>
  <c r="AQ106" i="112" s="1"/>
  <c r="AR106" i="112" s="1"/>
  <c r="AS106" i="112" s="1"/>
  <c r="AT106" i="112" s="1"/>
  <c r="AU106" i="112" s="1"/>
  <c r="AM118" i="112"/>
  <c r="AQ118" i="112" s="1"/>
  <c r="AR118" i="112" s="1"/>
  <c r="AS118" i="112" s="1"/>
  <c r="AT118" i="112" s="1"/>
  <c r="AU118" i="112" s="1"/>
  <c r="AM164" i="112"/>
  <c r="AQ164" i="112" s="1"/>
  <c r="AR164" i="112" s="1"/>
  <c r="AS164" i="112" s="1"/>
  <c r="AT164" i="112" s="1"/>
  <c r="AU164" i="112" s="1"/>
  <c r="AM192" i="112"/>
  <c r="AQ192" i="112" s="1"/>
  <c r="AR192" i="112" s="1"/>
  <c r="AS192" i="112" s="1"/>
  <c r="AT192" i="112" s="1"/>
  <c r="AU192" i="112" s="1"/>
  <c r="AM240" i="112"/>
  <c r="AQ240" i="112" s="1"/>
  <c r="AR240" i="112" s="1"/>
  <c r="AS240" i="112" s="1"/>
  <c r="AT240" i="112" s="1"/>
  <c r="AU240" i="112" s="1"/>
  <c r="AM242" i="112"/>
  <c r="AQ242" i="112" s="1"/>
  <c r="AR242" i="112" s="1"/>
  <c r="AS242" i="112" s="1"/>
  <c r="AT242" i="112" s="1"/>
  <c r="AU242" i="112" s="1"/>
  <c r="AM166" i="112"/>
  <c r="AQ166" i="112" s="1"/>
  <c r="AR166" i="112" s="1"/>
  <c r="AS166" i="112" s="1"/>
  <c r="AT166" i="112" s="1"/>
  <c r="AU166" i="112" s="1"/>
  <c r="AM170" i="112"/>
  <c r="AQ170" i="112" s="1"/>
  <c r="AR170" i="112" s="1"/>
  <c r="AS170" i="112" s="1"/>
  <c r="AT170" i="112" s="1"/>
  <c r="AU170" i="112" s="1"/>
  <c r="AM211" i="112"/>
  <c r="AQ211" i="112" s="1"/>
  <c r="AR211" i="112" s="1"/>
  <c r="AS211" i="112" s="1"/>
  <c r="AT211" i="112" s="1"/>
  <c r="AU211" i="112" s="1"/>
  <c r="AM247" i="112"/>
  <c r="AQ247" i="112" s="1"/>
  <c r="AR247" i="112" s="1"/>
  <c r="AS247" i="112" s="1"/>
  <c r="AT247" i="112" s="1"/>
  <c r="AU247" i="112" s="1"/>
  <c r="AM8" i="112"/>
  <c r="AQ8" i="112" s="1"/>
  <c r="AR8" i="112" s="1"/>
  <c r="AS8" i="112" s="1"/>
  <c r="AT8" i="112" s="1"/>
  <c r="AU8" i="112" s="1"/>
  <c r="AM100" i="112"/>
  <c r="AQ100" i="112" s="1"/>
  <c r="AR100" i="112" s="1"/>
  <c r="AS100" i="112" s="1"/>
  <c r="AT100" i="112" s="1"/>
  <c r="AU100" i="112" s="1"/>
  <c r="AM104" i="112"/>
  <c r="AQ104" i="112" s="1"/>
  <c r="AR104" i="112" s="1"/>
  <c r="AS104" i="112" s="1"/>
  <c r="AT104" i="112" s="1"/>
  <c r="AU104" i="112" s="1"/>
  <c r="AM150" i="112"/>
  <c r="AQ150" i="112" s="1"/>
  <c r="AR150" i="112" s="1"/>
  <c r="AS150" i="112" s="1"/>
  <c r="AT150" i="112" s="1"/>
  <c r="AU150" i="112" s="1"/>
  <c r="AM210" i="112"/>
  <c r="AQ210" i="112" s="1"/>
  <c r="AR210" i="112" s="1"/>
  <c r="AS210" i="112" s="1"/>
  <c r="AT210" i="112" s="1"/>
  <c r="AU210" i="112" s="1"/>
  <c r="AM239" i="112"/>
  <c r="AQ239" i="112" s="1"/>
  <c r="AR239" i="112" s="1"/>
  <c r="AS239" i="112" s="1"/>
  <c r="AT239" i="112" s="1"/>
  <c r="AU239" i="112" s="1"/>
  <c r="AM241" i="112"/>
  <c r="AQ241" i="112" s="1"/>
  <c r="AR241" i="112" s="1"/>
  <c r="AS241" i="112" s="1"/>
  <c r="AT241" i="112" s="1"/>
  <c r="AU241" i="112" s="1"/>
  <c r="AM246" i="112"/>
  <c r="AQ246" i="112" s="1"/>
  <c r="AR246" i="112" s="1"/>
  <c r="AS246" i="112" s="1"/>
  <c r="AT246" i="112" s="1"/>
  <c r="AU246" i="112" s="1"/>
  <c r="AD22" i="96"/>
  <c r="AG22" i="96" s="1"/>
  <c r="AH22" i="96" s="1"/>
  <c r="AI22" i="96" s="1"/>
  <c r="AJ22" i="96" s="1"/>
  <c r="AK22" i="96" s="1"/>
  <c r="AD49" i="96"/>
  <c r="AG49" i="96" s="1"/>
  <c r="AH49" i="96" s="1"/>
  <c r="AI49" i="96" s="1"/>
  <c r="AJ49" i="96" s="1"/>
  <c r="AK49" i="96" s="1"/>
  <c r="AD85" i="96"/>
  <c r="AG85" i="96" s="1"/>
  <c r="AH85" i="96" s="1"/>
  <c r="AI85" i="96" s="1"/>
  <c r="AJ85" i="96" s="1"/>
  <c r="AK85" i="96" s="1"/>
  <c r="AD42" i="96"/>
  <c r="AG42" i="96" s="1"/>
  <c r="AH42" i="96" s="1"/>
  <c r="AI42" i="96" s="1"/>
  <c r="AJ42" i="96" s="1"/>
  <c r="AK42" i="96" s="1"/>
  <c r="AD61" i="96"/>
  <c r="AG61" i="96" s="1"/>
  <c r="AH61" i="96" s="1"/>
  <c r="AI61" i="96" s="1"/>
  <c r="AJ61" i="96" s="1"/>
  <c r="AK61" i="96" s="1"/>
  <c r="AD10" i="96"/>
  <c r="AG10" i="96" s="1"/>
  <c r="AH10" i="96" s="1"/>
  <c r="AI10" i="96" s="1"/>
  <c r="AJ10" i="96" s="1"/>
  <c r="AK10" i="96" s="1"/>
  <c r="AD29" i="96"/>
  <c r="AG29" i="96" s="1"/>
  <c r="AH29" i="96" s="1"/>
  <c r="AI29" i="96" s="1"/>
  <c r="AJ29" i="96" s="1"/>
  <c r="AK29" i="96" s="1"/>
  <c r="AD32" i="96"/>
  <c r="AG32" i="96" s="1"/>
  <c r="AH32" i="96" s="1"/>
  <c r="AI32" i="96" s="1"/>
  <c r="AJ32" i="96" s="1"/>
  <c r="AK32" i="96" s="1"/>
  <c r="AD47" i="96"/>
  <c r="AG47" i="96" s="1"/>
  <c r="AH47" i="96" s="1"/>
  <c r="AI47" i="96" s="1"/>
  <c r="AJ47" i="96" s="1"/>
  <c r="AK47" i="96" s="1"/>
  <c r="AB252" i="96"/>
  <c r="AD9" i="96"/>
  <c r="AG9" i="96" s="1"/>
  <c r="AH9" i="96" s="1"/>
  <c r="AI9" i="96" s="1"/>
  <c r="AJ9" i="96" s="1"/>
  <c r="AK9" i="96" s="1"/>
  <c r="AD28" i="96"/>
  <c r="AG28" i="96" s="1"/>
  <c r="AH28" i="96" s="1"/>
  <c r="AI28" i="96" s="1"/>
  <c r="AJ28" i="96" s="1"/>
  <c r="AK28" i="96" s="1"/>
  <c r="AD79" i="96"/>
  <c r="AG79" i="96" s="1"/>
  <c r="AH79" i="96" s="1"/>
  <c r="AI79" i="96" s="1"/>
  <c r="AJ79" i="96" s="1"/>
  <c r="AK79" i="96" s="1"/>
  <c r="AD83" i="96"/>
  <c r="AG83" i="96" s="1"/>
  <c r="AH83" i="96" s="1"/>
  <c r="AI83" i="96" s="1"/>
  <c r="AJ83" i="96" s="1"/>
  <c r="AK83" i="96" s="1"/>
  <c r="AD36" i="96"/>
  <c r="AG36" i="96" s="1"/>
  <c r="AH36" i="96" s="1"/>
  <c r="AI36" i="96" s="1"/>
  <c r="AJ36" i="96" s="1"/>
  <c r="AK36" i="96" s="1"/>
  <c r="AD40" i="96"/>
  <c r="AG40" i="96" s="1"/>
  <c r="AH40" i="96" s="1"/>
  <c r="AI40" i="96" s="1"/>
  <c r="AJ40" i="96" s="1"/>
  <c r="AK40" i="96" s="1"/>
  <c r="AD100" i="96"/>
  <c r="AG100" i="96" s="1"/>
  <c r="AH100" i="96" s="1"/>
  <c r="AI100" i="96" s="1"/>
  <c r="AJ100" i="96" s="1"/>
  <c r="AK100" i="96" s="1"/>
  <c r="AD159" i="96"/>
  <c r="AG159" i="96" s="1"/>
  <c r="AH159" i="96" s="1"/>
  <c r="AI159" i="96" s="1"/>
  <c r="AJ159" i="96" s="1"/>
  <c r="AK159" i="96" s="1"/>
  <c r="AD161" i="96"/>
  <c r="AG161" i="96" s="1"/>
  <c r="AH161" i="96" s="1"/>
  <c r="AI161" i="96" s="1"/>
  <c r="AJ161" i="96" s="1"/>
  <c r="AK161" i="96" s="1"/>
  <c r="AD163" i="96"/>
  <c r="AG163" i="96" s="1"/>
  <c r="AH163" i="96" s="1"/>
  <c r="AI163" i="96" s="1"/>
  <c r="AJ163" i="96" s="1"/>
  <c r="AK163" i="96" s="1"/>
  <c r="AD165" i="96"/>
  <c r="AG165" i="96" s="1"/>
  <c r="AH165" i="96" s="1"/>
  <c r="AI165" i="96" s="1"/>
  <c r="AJ165" i="96" s="1"/>
  <c r="AK165" i="96" s="1"/>
  <c r="AD214" i="96"/>
  <c r="AG214" i="96" s="1"/>
  <c r="AH214" i="96" s="1"/>
  <c r="AI214" i="96" s="1"/>
  <c r="AJ214" i="96" s="1"/>
  <c r="AK214" i="96" s="1"/>
  <c r="AD216" i="96"/>
  <c r="AG216" i="96" s="1"/>
  <c r="AH216" i="96" s="1"/>
  <c r="AI216" i="96" s="1"/>
  <c r="AJ216" i="96" s="1"/>
  <c r="AK216" i="96" s="1"/>
  <c r="AD218" i="96"/>
  <c r="AG218" i="96" s="1"/>
  <c r="AH218" i="96" s="1"/>
  <c r="AI218" i="96" s="1"/>
  <c r="AJ218" i="96" s="1"/>
  <c r="AK218" i="96" s="1"/>
  <c r="AD220" i="96"/>
  <c r="AG220" i="96" s="1"/>
  <c r="AH220" i="96" s="1"/>
  <c r="AI220" i="96" s="1"/>
  <c r="AJ220" i="96" s="1"/>
  <c r="AK220" i="96" s="1"/>
  <c r="AD232" i="96"/>
  <c r="AG232" i="96" s="1"/>
  <c r="AH232" i="96" s="1"/>
  <c r="AI232" i="96" s="1"/>
  <c r="AJ232" i="96" s="1"/>
  <c r="AK232" i="96" s="1"/>
  <c r="AD146" i="96"/>
  <c r="AG146" i="96" s="1"/>
  <c r="AH146" i="96" s="1"/>
  <c r="AI146" i="96" s="1"/>
  <c r="AJ146" i="96" s="1"/>
  <c r="AK146" i="96" s="1"/>
  <c r="AD150" i="96"/>
  <c r="AG150" i="96" s="1"/>
  <c r="AH150" i="96" s="1"/>
  <c r="AI150" i="96" s="1"/>
  <c r="AJ150" i="96" s="1"/>
  <c r="AK150" i="96" s="1"/>
  <c r="AD154" i="96"/>
  <c r="AG154" i="96" s="1"/>
  <c r="AH154" i="96" s="1"/>
  <c r="AI154" i="96" s="1"/>
  <c r="AJ154" i="96" s="1"/>
  <c r="AK154" i="96" s="1"/>
  <c r="AD205" i="96"/>
  <c r="AG205" i="96" s="1"/>
  <c r="AH205" i="96" s="1"/>
  <c r="AI205" i="96" s="1"/>
  <c r="AJ205" i="96" s="1"/>
  <c r="AK205" i="96" s="1"/>
  <c r="AD209" i="96"/>
  <c r="AG209" i="96" s="1"/>
  <c r="AH209" i="96" s="1"/>
  <c r="AI209" i="96" s="1"/>
  <c r="AJ209" i="96" s="1"/>
  <c r="AK209" i="96" s="1"/>
  <c r="AD122" i="96"/>
  <c r="AG122" i="96" s="1"/>
  <c r="AH122" i="96" s="1"/>
  <c r="AI122" i="96" s="1"/>
  <c r="AJ122" i="96" s="1"/>
  <c r="AK122" i="96" s="1"/>
  <c r="AD133" i="96"/>
  <c r="AG133" i="96" s="1"/>
  <c r="AH133" i="96" s="1"/>
  <c r="AI133" i="96" s="1"/>
  <c r="AJ133" i="96" s="1"/>
  <c r="AK133" i="96" s="1"/>
  <c r="AD38" i="96"/>
  <c r="AG38" i="96" s="1"/>
  <c r="AH38" i="96" s="1"/>
  <c r="AI38" i="96" s="1"/>
  <c r="AJ38" i="96" s="1"/>
  <c r="AK38" i="96" s="1"/>
  <c r="AD44" i="96"/>
  <c r="AG44" i="96" s="1"/>
  <c r="AH44" i="96" s="1"/>
  <c r="AI44" i="96" s="1"/>
  <c r="AJ44" i="96" s="1"/>
  <c r="AK44" i="96" s="1"/>
  <c r="AD59" i="96"/>
  <c r="AG59" i="96" s="1"/>
  <c r="AH59" i="96" s="1"/>
  <c r="AI59" i="96" s="1"/>
  <c r="AJ59" i="96" s="1"/>
  <c r="AK59" i="96" s="1"/>
  <c r="AD158" i="96"/>
  <c r="AG158" i="96" s="1"/>
  <c r="AH158" i="96" s="1"/>
  <c r="AI158" i="96" s="1"/>
  <c r="AJ158" i="96" s="1"/>
  <c r="AK158" i="96" s="1"/>
  <c r="AD160" i="96"/>
  <c r="AG160" i="96" s="1"/>
  <c r="AH160" i="96" s="1"/>
  <c r="AI160" i="96" s="1"/>
  <c r="AJ160" i="96" s="1"/>
  <c r="AK160" i="96" s="1"/>
  <c r="AD162" i="96"/>
  <c r="AG162" i="96" s="1"/>
  <c r="AH162" i="96" s="1"/>
  <c r="AI162" i="96" s="1"/>
  <c r="AJ162" i="96" s="1"/>
  <c r="AK162" i="96" s="1"/>
  <c r="AD164" i="96"/>
  <c r="AG164" i="96" s="1"/>
  <c r="AH164" i="96" s="1"/>
  <c r="AI164" i="96" s="1"/>
  <c r="AJ164" i="96" s="1"/>
  <c r="AK164" i="96" s="1"/>
  <c r="AD166" i="96"/>
  <c r="AG166" i="96" s="1"/>
  <c r="AH166" i="96" s="1"/>
  <c r="AI166" i="96" s="1"/>
  <c r="AJ166" i="96" s="1"/>
  <c r="AK166" i="96" s="1"/>
  <c r="AD213" i="96"/>
  <c r="AG213" i="96" s="1"/>
  <c r="AH213" i="96" s="1"/>
  <c r="AI213" i="96" s="1"/>
  <c r="AJ213" i="96" s="1"/>
  <c r="AK213" i="96" s="1"/>
  <c r="AD215" i="96"/>
  <c r="AG215" i="96" s="1"/>
  <c r="AH215" i="96" s="1"/>
  <c r="AI215" i="96" s="1"/>
  <c r="AJ215" i="96" s="1"/>
  <c r="AK215" i="96" s="1"/>
  <c r="AD217" i="96"/>
  <c r="AG217" i="96" s="1"/>
  <c r="AH217" i="96" s="1"/>
  <c r="AI217" i="96" s="1"/>
  <c r="AJ217" i="96" s="1"/>
  <c r="AK217" i="96" s="1"/>
  <c r="AD219" i="96"/>
  <c r="AG219" i="96" s="1"/>
  <c r="AH219" i="96" s="1"/>
  <c r="AI219" i="96" s="1"/>
  <c r="AJ219" i="96" s="1"/>
  <c r="AK219" i="96" s="1"/>
  <c r="AD221" i="96"/>
  <c r="AG221" i="96" s="1"/>
  <c r="AH221" i="96" s="1"/>
  <c r="AI221" i="96" s="1"/>
  <c r="AJ221" i="96" s="1"/>
  <c r="AK221" i="96" s="1"/>
  <c r="AD231" i="96"/>
  <c r="AG231" i="96" s="1"/>
  <c r="AH231" i="96" s="1"/>
  <c r="AI231" i="96" s="1"/>
  <c r="AJ231" i="96" s="1"/>
  <c r="AK231" i="96" s="1"/>
  <c r="AD95" i="96"/>
  <c r="AG95" i="96" s="1"/>
  <c r="AH95" i="96" s="1"/>
  <c r="AI95" i="96" s="1"/>
  <c r="AJ95" i="96" s="1"/>
  <c r="AK95" i="96" s="1"/>
  <c r="AD102" i="96"/>
  <c r="AG102" i="96" s="1"/>
  <c r="AH102" i="96" s="1"/>
  <c r="AI102" i="96" s="1"/>
  <c r="AJ102" i="96" s="1"/>
  <c r="AK102" i="96" s="1"/>
  <c r="AD129" i="96"/>
  <c r="AG129" i="96" s="1"/>
  <c r="AH129" i="96" s="1"/>
  <c r="AI129" i="96" s="1"/>
  <c r="AJ129" i="96" s="1"/>
  <c r="AK129" i="96" s="1"/>
  <c r="AD148" i="96"/>
  <c r="AG148" i="96" s="1"/>
  <c r="AH148" i="96" s="1"/>
  <c r="AI148" i="96" s="1"/>
  <c r="AJ148" i="96" s="1"/>
  <c r="AK148" i="96" s="1"/>
  <c r="AD152" i="96"/>
  <c r="AG152" i="96" s="1"/>
  <c r="AH152" i="96" s="1"/>
  <c r="AI152" i="96" s="1"/>
  <c r="AJ152" i="96" s="1"/>
  <c r="AK152" i="96" s="1"/>
  <c r="AD156" i="96"/>
  <c r="AG156" i="96" s="1"/>
  <c r="AH156" i="96" s="1"/>
  <c r="AI156" i="96" s="1"/>
  <c r="AJ156" i="96" s="1"/>
  <c r="AK156" i="96" s="1"/>
  <c r="AD194" i="96"/>
  <c r="AG194" i="96" s="1"/>
  <c r="AH194" i="96" s="1"/>
  <c r="AI194" i="96" s="1"/>
  <c r="AJ194" i="96" s="1"/>
  <c r="AK194" i="96" s="1"/>
  <c r="AD203" i="96"/>
  <c r="AG203" i="96" s="1"/>
  <c r="AH203" i="96" s="1"/>
  <c r="AI203" i="96" s="1"/>
  <c r="AJ203" i="96" s="1"/>
  <c r="AK203" i="96" s="1"/>
  <c r="AD207" i="96"/>
  <c r="AG207" i="96" s="1"/>
  <c r="AH207" i="96" s="1"/>
  <c r="AI207" i="96" s="1"/>
  <c r="AJ207" i="96" s="1"/>
  <c r="AK207" i="96" s="1"/>
  <c r="AD211" i="96"/>
  <c r="AG211" i="96" s="1"/>
  <c r="AH211" i="96" s="1"/>
  <c r="AI211" i="96" s="1"/>
  <c r="AJ211" i="96" s="1"/>
  <c r="AK211" i="96" s="1"/>
  <c r="AD101" i="96"/>
  <c r="AG101" i="96" s="1"/>
  <c r="AH101" i="96" s="1"/>
  <c r="AI101" i="96" s="1"/>
  <c r="AJ101" i="96" s="1"/>
  <c r="AK101" i="96" s="1"/>
  <c r="AD126" i="96"/>
  <c r="AG126" i="96" s="1"/>
  <c r="AH126" i="96" s="1"/>
  <c r="AI126" i="96" s="1"/>
  <c r="AJ126" i="96" s="1"/>
  <c r="AK126" i="96" s="1"/>
  <c r="AD180" i="96"/>
  <c r="AG180" i="96" s="1"/>
  <c r="AH180" i="96" s="1"/>
  <c r="AI180" i="96" s="1"/>
  <c r="AJ180" i="96" s="1"/>
  <c r="AK180" i="96" s="1"/>
  <c r="AC317" i="103"/>
  <c r="AD7" i="103"/>
  <c r="AG7" i="103" s="1"/>
  <c r="AH7" i="103" s="1"/>
  <c r="AI7" i="103" s="1"/>
  <c r="AJ7" i="103" s="1"/>
  <c r="AK7" i="103" s="1"/>
  <c r="AD9" i="103"/>
  <c r="AG9" i="103" s="1"/>
  <c r="AH9" i="103" s="1"/>
  <c r="AI9" i="103" s="1"/>
  <c r="AJ9" i="103" s="1"/>
  <c r="AK9" i="103" s="1"/>
  <c r="AD12" i="103"/>
  <c r="AG12" i="103" s="1"/>
  <c r="AH12" i="103" s="1"/>
  <c r="AI12" i="103" s="1"/>
  <c r="AJ12" i="103" s="1"/>
  <c r="AK12" i="103" s="1"/>
  <c r="AD25" i="103"/>
  <c r="AG25" i="103" s="1"/>
  <c r="AH25" i="103" s="1"/>
  <c r="AI25" i="103" s="1"/>
  <c r="AJ25" i="103" s="1"/>
  <c r="AK25" i="103" s="1"/>
  <c r="AD14" i="103"/>
  <c r="AG14" i="103" s="1"/>
  <c r="AH14" i="103" s="1"/>
  <c r="AI14" i="103" s="1"/>
  <c r="AJ14" i="103" s="1"/>
  <c r="AK14" i="103" s="1"/>
  <c r="AD6" i="103"/>
  <c r="AG6" i="103" s="1"/>
  <c r="AH6" i="103" s="1"/>
  <c r="AI6" i="103" s="1"/>
  <c r="AJ6" i="103" s="1"/>
  <c r="AK6" i="103" s="1"/>
  <c r="AD11" i="103"/>
  <c r="AG11" i="103" s="1"/>
  <c r="AH11" i="103" s="1"/>
  <c r="AI11" i="103" s="1"/>
  <c r="AJ11" i="103" s="1"/>
  <c r="AK11" i="103" s="1"/>
  <c r="AD23" i="103"/>
  <c r="AG23" i="103" s="1"/>
  <c r="AH23" i="103" s="1"/>
  <c r="AI23" i="103" s="1"/>
  <c r="AJ23" i="103" s="1"/>
  <c r="AK23" i="103" s="1"/>
  <c r="AD32" i="103"/>
  <c r="AG32" i="103" s="1"/>
  <c r="AH32" i="103" s="1"/>
  <c r="AI32" i="103" s="1"/>
  <c r="AJ32" i="103" s="1"/>
  <c r="AK32" i="103" s="1"/>
  <c r="AD35" i="103"/>
  <c r="AG35" i="103" s="1"/>
  <c r="AH35" i="103" s="1"/>
  <c r="AI35" i="103" s="1"/>
  <c r="AJ35" i="103" s="1"/>
  <c r="AK35" i="103" s="1"/>
  <c r="AD37" i="103"/>
  <c r="AG37" i="103" s="1"/>
  <c r="AH37" i="103" s="1"/>
  <c r="AI37" i="103" s="1"/>
  <c r="AJ37" i="103" s="1"/>
  <c r="AK37" i="103" s="1"/>
  <c r="AD39" i="103"/>
  <c r="AG39" i="103" s="1"/>
  <c r="AH39" i="103" s="1"/>
  <c r="AI39" i="103" s="1"/>
  <c r="AJ39" i="103" s="1"/>
  <c r="AK39" i="103" s="1"/>
  <c r="AD41" i="103"/>
  <c r="AG41" i="103" s="1"/>
  <c r="AH41" i="103" s="1"/>
  <c r="AI41" i="103" s="1"/>
  <c r="AJ41" i="103" s="1"/>
  <c r="AK41" i="103" s="1"/>
  <c r="AD43" i="103"/>
  <c r="AG43" i="103" s="1"/>
  <c r="AH43" i="103" s="1"/>
  <c r="AI43" i="103" s="1"/>
  <c r="AJ43" i="103" s="1"/>
  <c r="AK43" i="103" s="1"/>
  <c r="AD45" i="103"/>
  <c r="AG45" i="103" s="1"/>
  <c r="AH45" i="103" s="1"/>
  <c r="AI45" i="103" s="1"/>
  <c r="AJ45" i="103" s="1"/>
  <c r="AK45" i="103" s="1"/>
  <c r="AD54" i="103"/>
  <c r="AG54" i="103" s="1"/>
  <c r="AH54" i="103" s="1"/>
  <c r="AI54" i="103" s="1"/>
  <c r="AJ54" i="103" s="1"/>
  <c r="AK54" i="103" s="1"/>
  <c r="AD13" i="103"/>
  <c r="AG13" i="103" s="1"/>
  <c r="AH13" i="103" s="1"/>
  <c r="AI13" i="103" s="1"/>
  <c r="AJ13" i="103" s="1"/>
  <c r="AK13" i="103" s="1"/>
  <c r="AD53" i="103"/>
  <c r="AG53" i="103" s="1"/>
  <c r="AH53" i="103" s="1"/>
  <c r="AI53" i="103" s="1"/>
  <c r="AJ53" i="103" s="1"/>
  <c r="AK53" i="103" s="1"/>
  <c r="AD65" i="103"/>
  <c r="AG65" i="103" s="1"/>
  <c r="AH65" i="103" s="1"/>
  <c r="AI65" i="103" s="1"/>
  <c r="AJ65" i="103" s="1"/>
  <c r="AK65" i="103" s="1"/>
  <c r="AD69" i="103"/>
  <c r="AG69" i="103" s="1"/>
  <c r="AH69" i="103" s="1"/>
  <c r="AI69" i="103" s="1"/>
  <c r="AJ69" i="103" s="1"/>
  <c r="AK69" i="103" s="1"/>
  <c r="AD77" i="103"/>
  <c r="AG77" i="103" s="1"/>
  <c r="AH77" i="103" s="1"/>
  <c r="AI77" i="103" s="1"/>
  <c r="AJ77" i="103" s="1"/>
  <c r="AK77" i="103" s="1"/>
  <c r="AD88" i="103"/>
  <c r="AG88" i="103" s="1"/>
  <c r="AH88" i="103" s="1"/>
  <c r="AI88" i="103" s="1"/>
  <c r="AJ88" i="103" s="1"/>
  <c r="AK88" i="103" s="1"/>
  <c r="AD96" i="103"/>
  <c r="AG96" i="103" s="1"/>
  <c r="AH96" i="103" s="1"/>
  <c r="AI96" i="103" s="1"/>
  <c r="AJ96" i="103" s="1"/>
  <c r="AK96" i="103" s="1"/>
  <c r="AD98" i="103"/>
  <c r="AG98" i="103" s="1"/>
  <c r="AH98" i="103" s="1"/>
  <c r="AI98" i="103" s="1"/>
  <c r="AJ98" i="103" s="1"/>
  <c r="AK98" i="103" s="1"/>
  <c r="AD100" i="103"/>
  <c r="AG100" i="103" s="1"/>
  <c r="AH100" i="103" s="1"/>
  <c r="AI100" i="103" s="1"/>
  <c r="AJ100" i="103" s="1"/>
  <c r="AK100" i="103" s="1"/>
  <c r="AD102" i="103"/>
  <c r="AG102" i="103" s="1"/>
  <c r="AH102" i="103" s="1"/>
  <c r="AI102" i="103" s="1"/>
  <c r="AJ102" i="103" s="1"/>
  <c r="AK102" i="103" s="1"/>
  <c r="AD105" i="103"/>
  <c r="AG105" i="103" s="1"/>
  <c r="AH105" i="103" s="1"/>
  <c r="AI105" i="103" s="1"/>
  <c r="AJ105" i="103" s="1"/>
  <c r="AK105" i="103" s="1"/>
  <c r="AD107" i="103"/>
  <c r="AG107" i="103" s="1"/>
  <c r="AH107" i="103" s="1"/>
  <c r="AI107" i="103" s="1"/>
  <c r="AJ107" i="103" s="1"/>
  <c r="AK107" i="103" s="1"/>
  <c r="AD109" i="103"/>
  <c r="AG109" i="103" s="1"/>
  <c r="AH109" i="103" s="1"/>
  <c r="AI109" i="103" s="1"/>
  <c r="AJ109" i="103" s="1"/>
  <c r="AK109" i="103" s="1"/>
  <c r="AD114" i="103"/>
  <c r="AG114" i="103" s="1"/>
  <c r="AH114" i="103" s="1"/>
  <c r="AI114" i="103" s="1"/>
  <c r="AJ114" i="103" s="1"/>
  <c r="AK114" i="103" s="1"/>
  <c r="AD135" i="103"/>
  <c r="AG135" i="103" s="1"/>
  <c r="AH135" i="103" s="1"/>
  <c r="AI135" i="103" s="1"/>
  <c r="AJ135" i="103" s="1"/>
  <c r="AK135" i="103" s="1"/>
  <c r="AD137" i="103"/>
  <c r="AG137" i="103" s="1"/>
  <c r="AH137" i="103" s="1"/>
  <c r="AI137" i="103" s="1"/>
  <c r="AJ137" i="103" s="1"/>
  <c r="AK137" i="103" s="1"/>
  <c r="AD139" i="103"/>
  <c r="AG139" i="103" s="1"/>
  <c r="AH139" i="103" s="1"/>
  <c r="AI139" i="103" s="1"/>
  <c r="AJ139" i="103" s="1"/>
  <c r="AK139" i="103" s="1"/>
  <c r="AD141" i="103"/>
  <c r="AG141" i="103" s="1"/>
  <c r="AH141" i="103" s="1"/>
  <c r="AI141" i="103" s="1"/>
  <c r="AJ141" i="103" s="1"/>
  <c r="AK141" i="103" s="1"/>
  <c r="AD145" i="103"/>
  <c r="AG145" i="103" s="1"/>
  <c r="AH145" i="103" s="1"/>
  <c r="AI145" i="103" s="1"/>
  <c r="AJ145" i="103" s="1"/>
  <c r="AK145" i="103" s="1"/>
  <c r="AD147" i="103"/>
  <c r="AG147" i="103" s="1"/>
  <c r="AH147" i="103" s="1"/>
  <c r="AI147" i="103" s="1"/>
  <c r="AJ147" i="103" s="1"/>
  <c r="AK147" i="103" s="1"/>
  <c r="AD149" i="103"/>
  <c r="AG149" i="103" s="1"/>
  <c r="AH149" i="103" s="1"/>
  <c r="AI149" i="103" s="1"/>
  <c r="AJ149" i="103" s="1"/>
  <c r="AK149" i="103" s="1"/>
  <c r="AD151" i="103"/>
  <c r="AG151" i="103" s="1"/>
  <c r="AH151" i="103" s="1"/>
  <c r="AI151" i="103" s="1"/>
  <c r="AJ151" i="103" s="1"/>
  <c r="AK151" i="103" s="1"/>
  <c r="AD158" i="103"/>
  <c r="AG158" i="103" s="1"/>
  <c r="AH158" i="103" s="1"/>
  <c r="AI158" i="103" s="1"/>
  <c r="AJ158" i="103" s="1"/>
  <c r="AK158" i="103" s="1"/>
  <c r="AD166" i="103"/>
  <c r="AG166" i="103" s="1"/>
  <c r="AH166" i="103" s="1"/>
  <c r="AI166" i="103" s="1"/>
  <c r="AJ166" i="103" s="1"/>
  <c r="AK166" i="103" s="1"/>
  <c r="AD93" i="103"/>
  <c r="AG93" i="103" s="1"/>
  <c r="AH93" i="103" s="1"/>
  <c r="AI93" i="103" s="1"/>
  <c r="AJ93" i="103" s="1"/>
  <c r="AK93" i="103" s="1"/>
  <c r="AD160" i="103"/>
  <c r="AG160" i="103" s="1"/>
  <c r="AH160" i="103" s="1"/>
  <c r="AI160" i="103" s="1"/>
  <c r="AJ160" i="103" s="1"/>
  <c r="AK160" i="103" s="1"/>
  <c r="AD82" i="103"/>
  <c r="AG82" i="103" s="1"/>
  <c r="AH82" i="103" s="1"/>
  <c r="AI82" i="103" s="1"/>
  <c r="AJ82" i="103" s="1"/>
  <c r="AK82" i="103" s="1"/>
  <c r="AD64" i="103"/>
  <c r="AG64" i="103" s="1"/>
  <c r="AH64" i="103" s="1"/>
  <c r="AI64" i="103" s="1"/>
  <c r="AJ64" i="103" s="1"/>
  <c r="AK64" i="103" s="1"/>
  <c r="AD76" i="103"/>
  <c r="AG76" i="103" s="1"/>
  <c r="AH76" i="103" s="1"/>
  <c r="AI76" i="103" s="1"/>
  <c r="AJ76" i="103" s="1"/>
  <c r="AK76" i="103" s="1"/>
  <c r="AD168" i="103"/>
  <c r="AG168" i="103" s="1"/>
  <c r="AH168" i="103" s="1"/>
  <c r="AI168" i="103" s="1"/>
  <c r="AJ168" i="103" s="1"/>
  <c r="AK168" i="103" s="1"/>
  <c r="AD73" i="103"/>
  <c r="AG73" i="103" s="1"/>
  <c r="AH73" i="103" s="1"/>
  <c r="AI73" i="103" s="1"/>
  <c r="AJ73" i="103" s="1"/>
  <c r="AK73" i="103" s="1"/>
  <c r="AD81" i="103"/>
  <c r="AG81" i="103" s="1"/>
  <c r="AH81" i="103" s="1"/>
  <c r="AI81" i="103" s="1"/>
  <c r="AJ81" i="103" s="1"/>
  <c r="AK81" i="103" s="1"/>
  <c r="AD95" i="103"/>
  <c r="AG95" i="103" s="1"/>
  <c r="AH95" i="103" s="1"/>
  <c r="AI95" i="103" s="1"/>
  <c r="AJ95" i="103" s="1"/>
  <c r="AK95" i="103" s="1"/>
  <c r="AD97" i="103"/>
  <c r="AG97" i="103" s="1"/>
  <c r="AH97" i="103" s="1"/>
  <c r="AI97" i="103" s="1"/>
  <c r="AJ97" i="103" s="1"/>
  <c r="AK97" i="103" s="1"/>
  <c r="AD99" i="103"/>
  <c r="AG99" i="103" s="1"/>
  <c r="AH99" i="103" s="1"/>
  <c r="AI99" i="103" s="1"/>
  <c r="AJ99" i="103" s="1"/>
  <c r="AK99" i="103" s="1"/>
  <c r="AD101" i="103"/>
  <c r="AG101" i="103" s="1"/>
  <c r="AH101" i="103" s="1"/>
  <c r="AI101" i="103" s="1"/>
  <c r="AJ101" i="103" s="1"/>
  <c r="AK101" i="103" s="1"/>
  <c r="AD104" i="103"/>
  <c r="AG104" i="103" s="1"/>
  <c r="AH104" i="103" s="1"/>
  <c r="AI104" i="103" s="1"/>
  <c r="AJ104" i="103" s="1"/>
  <c r="AK104" i="103" s="1"/>
  <c r="AD106" i="103"/>
  <c r="AG106" i="103" s="1"/>
  <c r="AH106" i="103" s="1"/>
  <c r="AI106" i="103" s="1"/>
  <c r="AJ106" i="103" s="1"/>
  <c r="AK106" i="103" s="1"/>
  <c r="AD108" i="103"/>
  <c r="AG108" i="103" s="1"/>
  <c r="AH108" i="103" s="1"/>
  <c r="AI108" i="103" s="1"/>
  <c r="AJ108" i="103" s="1"/>
  <c r="AK108" i="103" s="1"/>
  <c r="AD110" i="103"/>
  <c r="AG110" i="103" s="1"/>
  <c r="AH110" i="103" s="1"/>
  <c r="AI110" i="103" s="1"/>
  <c r="AJ110" i="103" s="1"/>
  <c r="AK110" i="103" s="1"/>
  <c r="AD134" i="103"/>
  <c r="AG134" i="103" s="1"/>
  <c r="AH134" i="103" s="1"/>
  <c r="AI134" i="103" s="1"/>
  <c r="AJ134" i="103" s="1"/>
  <c r="AK134" i="103" s="1"/>
  <c r="AD136" i="103"/>
  <c r="AG136" i="103" s="1"/>
  <c r="AH136" i="103" s="1"/>
  <c r="AI136" i="103" s="1"/>
  <c r="AJ136" i="103" s="1"/>
  <c r="AK136" i="103" s="1"/>
  <c r="AD138" i="103"/>
  <c r="AG138" i="103" s="1"/>
  <c r="AH138" i="103" s="1"/>
  <c r="AI138" i="103" s="1"/>
  <c r="AJ138" i="103" s="1"/>
  <c r="AK138" i="103" s="1"/>
  <c r="AD140" i="103"/>
  <c r="AG140" i="103" s="1"/>
  <c r="AH140" i="103" s="1"/>
  <c r="AI140" i="103" s="1"/>
  <c r="AJ140" i="103" s="1"/>
  <c r="AK140" i="103" s="1"/>
  <c r="AD144" i="103"/>
  <c r="AG144" i="103" s="1"/>
  <c r="AH144" i="103" s="1"/>
  <c r="AI144" i="103" s="1"/>
  <c r="AJ144" i="103" s="1"/>
  <c r="AK144" i="103" s="1"/>
  <c r="AD146" i="103"/>
  <c r="AG146" i="103" s="1"/>
  <c r="AH146" i="103" s="1"/>
  <c r="AI146" i="103" s="1"/>
  <c r="AJ146" i="103" s="1"/>
  <c r="AK146" i="103" s="1"/>
  <c r="AD148" i="103"/>
  <c r="AG148" i="103" s="1"/>
  <c r="AH148" i="103" s="1"/>
  <c r="AI148" i="103" s="1"/>
  <c r="AJ148" i="103" s="1"/>
  <c r="AK148" i="103" s="1"/>
  <c r="AD150" i="103"/>
  <c r="AG150" i="103" s="1"/>
  <c r="AH150" i="103" s="1"/>
  <c r="AI150" i="103" s="1"/>
  <c r="AJ150" i="103" s="1"/>
  <c r="AK150" i="103" s="1"/>
  <c r="AD154" i="103"/>
  <c r="AG154" i="103" s="1"/>
  <c r="AH154" i="103" s="1"/>
  <c r="AI154" i="103" s="1"/>
  <c r="AJ154" i="103" s="1"/>
  <c r="AK154" i="103" s="1"/>
  <c r="AA172" i="103"/>
  <c r="AD182" i="103"/>
  <c r="AG182" i="103" s="1"/>
  <c r="AH182" i="103" s="1"/>
  <c r="AI182" i="103" s="1"/>
  <c r="AJ182" i="103" s="1"/>
  <c r="AK182" i="103" s="1"/>
  <c r="AD164" i="103"/>
  <c r="AG164" i="103" s="1"/>
  <c r="AH164" i="103" s="1"/>
  <c r="AI164" i="103" s="1"/>
  <c r="AJ164" i="103" s="1"/>
  <c r="AK164" i="103" s="1"/>
  <c r="AD176" i="103"/>
  <c r="AG176" i="103" s="1"/>
  <c r="AH176" i="103" s="1"/>
  <c r="AI176" i="103" s="1"/>
  <c r="AJ176" i="103" s="1"/>
  <c r="AK176" i="103" s="1"/>
  <c r="AD190" i="103"/>
  <c r="AG190" i="103" s="1"/>
  <c r="AH190" i="103" s="1"/>
  <c r="AI190" i="103" s="1"/>
  <c r="AJ190" i="103" s="1"/>
  <c r="AK190" i="103" s="1"/>
  <c r="AD204" i="103"/>
  <c r="AG204" i="103" s="1"/>
  <c r="AH204" i="103" s="1"/>
  <c r="AI204" i="103" s="1"/>
  <c r="AJ204" i="103" s="1"/>
  <c r="AK204" i="103" s="1"/>
  <c r="AD75" i="103"/>
  <c r="AG75" i="103" s="1"/>
  <c r="AH75" i="103" s="1"/>
  <c r="AI75" i="103" s="1"/>
  <c r="AJ75" i="103" s="1"/>
  <c r="AK75" i="103" s="1"/>
  <c r="AD156" i="103"/>
  <c r="AG156" i="103" s="1"/>
  <c r="AH156" i="103" s="1"/>
  <c r="AI156" i="103" s="1"/>
  <c r="AJ156" i="103" s="1"/>
  <c r="AK156" i="103" s="1"/>
  <c r="AA180" i="103"/>
  <c r="AB317" i="103"/>
  <c r="AD5" i="103"/>
  <c r="AG5" i="103" s="1"/>
  <c r="AH5" i="103" s="1"/>
  <c r="AI5" i="103" s="1"/>
  <c r="AJ5" i="103" s="1"/>
  <c r="AK5" i="103" s="1"/>
  <c r="AD72" i="103"/>
  <c r="AG72" i="103" s="1"/>
  <c r="AH72" i="103" s="1"/>
  <c r="AI72" i="103" s="1"/>
  <c r="AJ72" i="103" s="1"/>
  <c r="AK72" i="103" s="1"/>
  <c r="AD80" i="103"/>
  <c r="AG80" i="103" s="1"/>
  <c r="AH80" i="103" s="1"/>
  <c r="AI80" i="103" s="1"/>
  <c r="AJ80" i="103" s="1"/>
  <c r="AK80" i="103" s="1"/>
  <c r="AD170" i="103"/>
  <c r="AG170" i="103" s="1"/>
  <c r="AH170" i="103" s="1"/>
  <c r="AI170" i="103" s="1"/>
  <c r="AJ170" i="103" s="1"/>
  <c r="AK170" i="103" s="1"/>
  <c r="AD172" i="103"/>
  <c r="AG172" i="103" s="1"/>
  <c r="AH172" i="103" s="1"/>
  <c r="AI172" i="103" s="1"/>
  <c r="AJ172" i="103" s="1"/>
  <c r="AK172" i="103" s="1"/>
  <c r="AD184" i="103"/>
  <c r="AG184" i="103" s="1"/>
  <c r="AH184" i="103" s="1"/>
  <c r="AI184" i="103" s="1"/>
  <c r="AJ184" i="103" s="1"/>
  <c r="AK184" i="103" s="1"/>
  <c r="AD192" i="103"/>
  <c r="AG192" i="103" s="1"/>
  <c r="AH192" i="103" s="1"/>
  <c r="AI192" i="103" s="1"/>
  <c r="AJ192" i="103" s="1"/>
  <c r="AK192" i="103" s="1"/>
  <c r="AA210" i="103"/>
  <c r="AD296" i="103"/>
  <c r="AG296" i="103" s="1"/>
  <c r="AH296" i="103" s="1"/>
  <c r="AI296" i="103" s="1"/>
  <c r="AJ296" i="103" s="1"/>
  <c r="AK296" i="103" s="1"/>
  <c r="AA202" i="103"/>
  <c r="AD210" i="103"/>
  <c r="AG210" i="103" s="1"/>
  <c r="AH210" i="103" s="1"/>
  <c r="AI210" i="103" s="1"/>
  <c r="AJ210" i="103" s="1"/>
  <c r="AK210" i="103" s="1"/>
  <c r="AD202" i="103"/>
  <c r="AG202" i="103" s="1"/>
  <c r="AH202" i="103" s="1"/>
  <c r="AI202" i="103" s="1"/>
  <c r="AJ202" i="103" s="1"/>
  <c r="AK202" i="103" s="1"/>
  <c r="AD256" i="103"/>
  <c r="AG256" i="103" s="1"/>
  <c r="AH256" i="103" s="1"/>
  <c r="AI256" i="103" s="1"/>
  <c r="AJ256" i="103" s="1"/>
  <c r="AK256" i="103" s="1"/>
  <c r="AD290" i="103"/>
  <c r="AG290" i="103" s="1"/>
  <c r="AH290" i="103" s="1"/>
  <c r="AI290" i="103" s="1"/>
  <c r="AJ290" i="103" s="1"/>
  <c r="AK290" i="103" s="1"/>
  <c r="AA208" i="103"/>
  <c r="AD255" i="103"/>
  <c r="AG255" i="103" s="1"/>
  <c r="AH255" i="103" s="1"/>
  <c r="AI255" i="103" s="1"/>
  <c r="AJ255" i="103" s="1"/>
  <c r="AK255" i="103" s="1"/>
  <c r="AD292" i="103"/>
  <c r="AG292" i="103" s="1"/>
  <c r="AH292" i="103" s="1"/>
  <c r="AI292" i="103" s="1"/>
  <c r="AJ292" i="103" s="1"/>
  <c r="AK292" i="103" s="1"/>
  <c r="AD10" i="102"/>
  <c r="AJ10" i="102" s="1"/>
  <c r="AK10" i="102" s="1"/>
  <c r="AL10" i="102" s="1"/>
  <c r="AD30" i="102"/>
  <c r="AJ30" i="102" s="1"/>
  <c r="AK30" i="102" s="1"/>
  <c r="AL30" i="102" s="1"/>
  <c r="AD73" i="102"/>
  <c r="AJ73" i="102" s="1"/>
  <c r="AK73" i="102" s="1"/>
  <c r="AL73" i="102" s="1"/>
  <c r="AD155" i="102"/>
  <c r="AJ155" i="102" s="1"/>
  <c r="AK155" i="102" s="1"/>
  <c r="AL155" i="102" s="1"/>
  <c r="AD14" i="102"/>
  <c r="AJ14" i="102" s="1"/>
  <c r="AK14" i="102" s="1"/>
  <c r="AL14" i="102" s="1"/>
  <c r="AD46" i="102"/>
  <c r="AJ46" i="102" s="1"/>
  <c r="AK46" i="102" s="1"/>
  <c r="AL46" i="102" s="1"/>
  <c r="AD115" i="102"/>
  <c r="AJ115" i="102" s="1"/>
  <c r="AK115" i="102" s="1"/>
  <c r="AL115" i="102" s="1"/>
  <c r="AD198" i="102"/>
  <c r="AJ198" i="102" s="1"/>
  <c r="AK198" i="102" s="1"/>
  <c r="AL198" i="102" s="1"/>
  <c r="AA235" i="102"/>
  <c r="AD5" i="102"/>
  <c r="AJ5" i="102" s="1"/>
  <c r="AK5" i="102" s="1"/>
  <c r="AL5" i="102" s="1"/>
  <c r="AD13" i="102"/>
  <c r="AJ13" i="102" s="1"/>
  <c r="AK13" i="102" s="1"/>
  <c r="AL13" i="102" s="1"/>
  <c r="AD43" i="102"/>
  <c r="AJ43" i="102" s="1"/>
  <c r="AK43" i="102" s="1"/>
  <c r="AL43" i="102" s="1"/>
  <c r="AD103" i="102"/>
  <c r="AJ103" i="102" s="1"/>
  <c r="AK103" i="102" s="1"/>
  <c r="AL103" i="102" s="1"/>
  <c r="AD186" i="102"/>
  <c r="AJ186" i="102" s="1"/>
  <c r="AK186" i="102" s="1"/>
  <c r="AL186" i="102" s="1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E5" i="112" s="1" a="1"/>
  <c r="BE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AT5" i="96" s="1" a="1"/>
  <c r="AT5" i="96" s="1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T5" i="103" s="1" a="1"/>
  <c r="AT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H35" i="102"/>
  <c r="AH34" i="102"/>
  <c r="AH33" i="102"/>
  <c r="AH32" i="102"/>
  <c r="AH31" i="102"/>
  <c r="I30" i="102"/>
  <c r="H30" i="102"/>
  <c r="AH24" i="102"/>
  <c r="AH23" i="102"/>
  <c r="I22" i="102"/>
  <c r="H22" i="102"/>
  <c r="AH29" i="102"/>
  <c r="AH28" i="102"/>
  <c r="AH27" i="102"/>
  <c r="AH26" i="102"/>
  <c r="I25" i="102"/>
  <c r="H25" i="102"/>
  <c r="AH21" i="102"/>
  <c r="AH20" i="102"/>
  <c r="AH19" i="102"/>
  <c r="AH18" i="102"/>
  <c r="AH17" i="102"/>
  <c r="I16" i="102"/>
  <c r="H16" i="102"/>
  <c r="AH39" i="102"/>
  <c r="AH38" i="102"/>
  <c r="AH37" i="102"/>
  <c r="I36" i="102"/>
  <c r="H36" i="102"/>
  <c r="AH45" i="102"/>
  <c r="AH44" i="102"/>
  <c r="I43" i="102"/>
  <c r="H43" i="102"/>
  <c r="AH42" i="102"/>
  <c r="AH41" i="102"/>
  <c r="I40" i="102"/>
  <c r="H40" i="102"/>
  <c r="AH51" i="102"/>
  <c r="AH50" i="102"/>
  <c r="AH49" i="102"/>
  <c r="AH48" i="102"/>
  <c r="AH47" i="102"/>
  <c r="I46" i="102"/>
  <c r="H46" i="102"/>
  <c r="AH54" i="102"/>
  <c r="AH53" i="102"/>
  <c r="I52" i="102"/>
  <c r="H52" i="102"/>
  <c r="AH62" i="102"/>
  <c r="AH61" i="102"/>
  <c r="AH60" i="102"/>
  <c r="AH59" i="102"/>
  <c r="AH58" i="102"/>
  <c r="AH57" i="102"/>
  <c r="AH56" i="102"/>
  <c r="I55" i="102"/>
  <c r="H55" i="102"/>
  <c r="AH72" i="102"/>
  <c r="AH71" i="102"/>
  <c r="AH70" i="102"/>
  <c r="AH69" i="102"/>
  <c r="AH68" i="102"/>
  <c r="AH67" i="102"/>
  <c r="AH66" i="102"/>
  <c r="AH65" i="102"/>
  <c r="AH64" i="102"/>
  <c r="I63" i="102"/>
  <c r="H63" i="102"/>
  <c r="AH82" i="102"/>
  <c r="AH81" i="102"/>
  <c r="AH80" i="102"/>
  <c r="AH79" i="102"/>
  <c r="AH78" i="102"/>
  <c r="AH77" i="102"/>
  <c r="AH76" i="102"/>
  <c r="AH75" i="102"/>
  <c r="AH74" i="102"/>
  <c r="I73" i="102"/>
  <c r="H73" i="102"/>
  <c r="AH92" i="102"/>
  <c r="AH91" i="102"/>
  <c r="AH90" i="102"/>
  <c r="AH89" i="102"/>
  <c r="AH88" i="102"/>
  <c r="AH87" i="102"/>
  <c r="AH86" i="102"/>
  <c r="AH85" i="102"/>
  <c r="AH84" i="102"/>
  <c r="I83" i="102"/>
  <c r="H83" i="102"/>
  <c r="AH102" i="102"/>
  <c r="AH101" i="102"/>
  <c r="AH100" i="102"/>
  <c r="AH99" i="102"/>
  <c r="AH98" i="102"/>
  <c r="AH97" i="102"/>
  <c r="AH96" i="102"/>
  <c r="AH95" i="102"/>
  <c r="AH94" i="102"/>
  <c r="I93" i="102"/>
  <c r="H93" i="102"/>
  <c r="AH114" i="102"/>
  <c r="AH113" i="102"/>
  <c r="AH112" i="102"/>
  <c r="AH111" i="102"/>
  <c r="AH110" i="102"/>
  <c r="AH109" i="102"/>
  <c r="AH108" i="102"/>
  <c r="AH107" i="102"/>
  <c r="AH106" i="102"/>
  <c r="AH105" i="102"/>
  <c r="AH104" i="102"/>
  <c r="I103" i="102"/>
  <c r="H103" i="102"/>
  <c r="AH122" i="102"/>
  <c r="AH121" i="102"/>
  <c r="AH120" i="102"/>
  <c r="AH119" i="102"/>
  <c r="AH118" i="102"/>
  <c r="AH117" i="102"/>
  <c r="AH116" i="102"/>
  <c r="I115" i="102"/>
  <c r="H115" i="102"/>
  <c r="AH133" i="102"/>
  <c r="AH132" i="102"/>
  <c r="AH131" i="102"/>
  <c r="AH130" i="102"/>
  <c r="AH129" i="102"/>
  <c r="AH128" i="102"/>
  <c r="AH127" i="102"/>
  <c r="AH126" i="102"/>
  <c r="AH125" i="102"/>
  <c r="AH124" i="102"/>
  <c r="I123" i="102"/>
  <c r="H123" i="102"/>
  <c r="AH144" i="102"/>
  <c r="AH143" i="102"/>
  <c r="AH142" i="102"/>
  <c r="AH141" i="102"/>
  <c r="AH140" i="102"/>
  <c r="AH139" i="102"/>
  <c r="AH138" i="102"/>
  <c r="AH137" i="102"/>
  <c r="AH136" i="102"/>
  <c r="AH135" i="102"/>
  <c r="I134" i="102"/>
  <c r="H134" i="102"/>
  <c r="AH154" i="102"/>
  <c r="AH153" i="102"/>
  <c r="AH152" i="102"/>
  <c r="AH151" i="102"/>
  <c r="AH150" i="102"/>
  <c r="AH149" i="102"/>
  <c r="AH148" i="102"/>
  <c r="AH147" i="102"/>
  <c r="AH146" i="102"/>
  <c r="I145" i="102"/>
  <c r="H145" i="102"/>
  <c r="AH164" i="102"/>
  <c r="AH163" i="102"/>
  <c r="AH162" i="102"/>
  <c r="AH161" i="102"/>
  <c r="AH160" i="102"/>
  <c r="AH159" i="102"/>
  <c r="AH158" i="102"/>
  <c r="AH157" i="102"/>
  <c r="AH156" i="102"/>
  <c r="I155" i="102"/>
  <c r="H155" i="102"/>
  <c r="AH174" i="102"/>
  <c r="AH173" i="102"/>
  <c r="AH172" i="102"/>
  <c r="AH171" i="102"/>
  <c r="AH170" i="102"/>
  <c r="AH169" i="102"/>
  <c r="AH168" i="102"/>
  <c r="AH167" i="102"/>
  <c r="AH166" i="102"/>
  <c r="I165" i="102"/>
  <c r="H165" i="102"/>
  <c r="AH185" i="102"/>
  <c r="AH184" i="102"/>
  <c r="AH183" i="102"/>
  <c r="AH182" i="102"/>
  <c r="AH181" i="102"/>
  <c r="AH180" i="102"/>
  <c r="AH179" i="102"/>
  <c r="AH178" i="102"/>
  <c r="AH177" i="102"/>
  <c r="AH176" i="102"/>
  <c r="I175" i="102"/>
  <c r="H175" i="102"/>
  <c r="AH197" i="102"/>
  <c r="AH196" i="102"/>
  <c r="AH195" i="102"/>
  <c r="AH194" i="102"/>
  <c r="AH193" i="102"/>
  <c r="AH192" i="102"/>
  <c r="AH191" i="102"/>
  <c r="AH190" i="102"/>
  <c r="AH189" i="102"/>
  <c r="AH188" i="102"/>
  <c r="AH187" i="102"/>
  <c r="I186" i="102"/>
  <c r="H186" i="102"/>
  <c r="AH209" i="102"/>
  <c r="AH208" i="102"/>
  <c r="AH207" i="102"/>
  <c r="AH206" i="102"/>
  <c r="AH205" i="102"/>
  <c r="AH204" i="102"/>
  <c r="AH203" i="102"/>
  <c r="AH202" i="102"/>
  <c r="AH201" i="102"/>
  <c r="AH200" i="102"/>
  <c r="AH199" i="102"/>
  <c r="I198" i="102"/>
  <c r="H198" i="102"/>
  <c r="AH221" i="102"/>
  <c r="AH220" i="102"/>
  <c r="AH219" i="102"/>
  <c r="AH218" i="102"/>
  <c r="AH217" i="102"/>
  <c r="AH216" i="102"/>
  <c r="AH215" i="102"/>
  <c r="AH214" i="102"/>
  <c r="AH213" i="102"/>
  <c r="AH212" i="102"/>
  <c r="AH211" i="102"/>
  <c r="I210" i="102"/>
  <c r="H210" i="102"/>
  <c r="AH233" i="102"/>
  <c r="AH232" i="102"/>
  <c r="AH231" i="102"/>
  <c r="AH230" i="102"/>
  <c r="AH229" i="102"/>
  <c r="AH228" i="102"/>
  <c r="AH227" i="102"/>
  <c r="AH226" i="102"/>
  <c r="AH225" i="102"/>
  <c r="AH224" i="102"/>
  <c r="AH223" i="102"/>
  <c r="I222" i="102"/>
  <c r="H222" i="102"/>
  <c r="AH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V5" i="102" s="1" a="1"/>
  <c r="AV5" i="102" s="1"/>
  <c r="AO4" i="102" l="1"/>
  <c r="AM4" i="102"/>
  <c r="AN4" i="102"/>
  <c r="AR5" i="102"/>
  <c r="BA2" i="102"/>
  <c r="AM211" i="103"/>
  <c r="AM4" i="96"/>
  <c r="AL4" i="96"/>
  <c r="AJ4" i="96"/>
  <c r="AM4" i="103"/>
  <c r="AL4" i="103"/>
  <c r="AJ4" i="103"/>
  <c r="AW4" i="112"/>
  <c r="AV4" i="112"/>
  <c r="AT4" i="112"/>
  <c r="B8" i="146" l="1"/>
  <c r="H2" i="146" s="1"/>
  <c r="AL211" i="103"/>
  <c r="AN211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Z55" i="102" s="1"/>
  <c r="AH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F21" i="144" a="1"/>
  <c r="F21" i="144" s="1"/>
  <c r="X134" i="102" s="1"/>
  <c r="P12" i="144" a="1"/>
  <c r="P12" i="144" s="1"/>
  <c r="X198" i="102" s="1"/>
  <c r="Z198" i="102" s="1"/>
  <c r="AH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H10" i="102" s="1"/>
  <c r="P6" i="144" a="1"/>
  <c r="P6" i="144" s="1"/>
  <c r="F6" i="144" a="1"/>
  <c r="F6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Z83" i="102" s="1"/>
  <c r="AH83" i="102" s="1"/>
  <c r="O23" i="144" a="1"/>
  <c r="O23" i="144" s="1"/>
  <c r="X43" i="102" s="1"/>
  <c r="Z43" i="102" s="1"/>
  <c r="AH43" i="102" s="1"/>
  <c r="E23" i="144" a="1"/>
  <c r="E23" i="144" s="1"/>
  <c r="X115" i="102" s="1"/>
  <c r="Z115" i="102" s="1"/>
  <c r="AH115" i="102" s="1"/>
  <c r="O20" i="144" a="1"/>
  <c r="O20" i="144" s="1"/>
  <c r="X16" i="102" s="1"/>
  <c r="E20" i="144" a="1"/>
  <c r="E20" i="144" s="1"/>
  <c r="X145" i="102" s="1"/>
  <c r="Z145" i="102" s="1"/>
  <c r="AH145" i="102" s="1"/>
  <c r="O14" i="144" a="1"/>
  <c r="O14" i="144" s="1"/>
  <c r="E14" i="144" a="1"/>
  <c r="E14" i="144" s="1"/>
  <c r="O11" i="144" a="1"/>
  <c r="O11" i="144" s="1"/>
  <c r="X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D64" i="144" a="1"/>
  <c r="D64" i="144" s="1"/>
  <c r="Y46" i="102" s="1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N36" i="144" a="1"/>
  <c r="N36" i="144" s="1"/>
  <c r="Y12" i="102" s="1"/>
  <c r="D36" i="144" a="1"/>
  <c r="D36" i="144" s="1"/>
  <c r="X7" i="102" s="1"/>
  <c r="Z7" i="102" s="1"/>
  <c r="AH7" i="102" s="1"/>
  <c r="N35" i="144" a="1"/>
  <c r="N35" i="144" s="1"/>
  <c r="D35" i="144" a="1"/>
  <c r="D35" i="144" s="1"/>
  <c r="N28" i="144" a="1"/>
  <c r="N28" i="144" s="1"/>
  <c r="X52" i="102" s="1"/>
  <c r="D28" i="144" a="1"/>
  <c r="D28" i="144" s="1"/>
  <c r="X63" i="102" s="1"/>
  <c r="Z63" i="102" s="1"/>
  <c r="AH63" i="102" s="1"/>
  <c r="N25" i="144" a="1"/>
  <c r="N25" i="144" s="1"/>
  <c r="X36" i="102" s="1"/>
  <c r="Z36" i="102" s="1"/>
  <c r="AH36" i="102" s="1"/>
  <c r="D25" i="144" a="1"/>
  <c r="D25" i="144" s="1"/>
  <c r="X93" i="102" s="1"/>
  <c r="Z93" i="102" s="1"/>
  <c r="AH93" i="102" s="1"/>
  <c r="N22" i="144" a="1"/>
  <c r="N22" i="144" s="1"/>
  <c r="X25" i="102" s="1"/>
  <c r="Z25" i="102" s="1"/>
  <c r="AH25" i="102" s="1"/>
  <c r="D22" i="144" a="1"/>
  <c r="D22" i="144" s="1"/>
  <c r="X123" i="102" s="1"/>
  <c r="Z123" i="102" s="1"/>
  <c r="AH123" i="102" s="1"/>
  <c r="N19" i="144" a="1"/>
  <c r="N19" i="144" s="1"/>
  <c r="X46" i="102" s="1"/>
  <c r="D19" i="144" a="1"/>
  <c r="D19" i="144" s="1"/>
  <c r="X155" i="102" s="1"/>
  <c r="Z155" i="102" s="1"/>
  <c r="AH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D7" i="144" a="1"/>
  <c r="D7" i="144" s="1"/>
  <c r="X12" i="102" s="1"/>
  <c r="N6" i="144" a="1"/>
  <c r="N6" i="144" s="1"/>
  <c r="D6" i="144" a="1"/>
  <c r="D6" i="144" s="1"/>
  <c r="X5" i="102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AA215" i="103" s="1"/>
  <c r="F167" i="143" a="1"/>
  <c r="F167" i="143" s="1"/>
  <c r="Y137" i="103" s="1"/>
  <c r="AA137" i="103" s="1"/>
  <c r="P164" i="143" a="1"/>
  <c r="P164" i="143" s="1"/>
  <c r="Y212" i="103" s="1"/>
  <c r="F164" i="143" a="1"/>
  <c r="F164" i="143" s="1"/>
  <c r="Y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AA80" i="103" s="1"/>
  <c r="P108" i="143" a="1"/>
  <c r="P108" i="143" s="1"/>
  <c r="Y75" i="103" s="1"/>
  <c r="AA75" i="103" s="1"/>
  <c r="F108" i="143" a="1"/>
  <c r="F108" i="143" s="1"/>
  <c r="Y84" i="103" s="1"/>
  <c r="P105" i="143" a="1"/>
  <c r="P105" i="143" s="1"/>
  <c r="Y72" i="103" s="1"/>
  <c r="F105" i="143" a="1"/>
  <c r="F105" i="143" s="1"/>
  <c r="Y114" i="103" s="1"/>
  <c r="P102" i="143" a="1"/>
  <c r="P102" i="143" s="1"/>
  <c r="Y101" i="103" s="1"/>
  <c r="AA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AA265" i="103" s="1"/>
  <c r="P96" i="143" a="1"/>
  <c r="P96" i="143" s="1"/>
  <c r="Y95" i="103" s="1"/>
  <c r="AA95" i="103" s="1"/>
  <c r="F96" i="143" a="1"/>
  <c r="F96" i="143" s="1"/>
  <c r="Y110" i="103" s="1"/>
  <c r="AA110" i="103" s="1"/>
  <c r="P93" i="143" a="1"/>
  <c r="P93" i="143" s="1"/>
  <c r="Y89" i="103" s="1"/>
  <c r="F93" i="143" a="1"/>
  <c r="F93" i="143" s="1"/>
  <c r="Y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P69" i="143" a="1"/>
  <c r="P69" i="143" s="1"/>
  <c r="Z279" i="103" s="1"/>
  <c r="AA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AA243" i="103" s="1"/>
  <c r="P42" i="143" a="1"/>
  <c r="P42" i="143" s="1"/>
  <c r="Y282" i="103" s="1"/>
  <c r="AA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P36" i="143" a="1"/>
  <c r="P36" i="143" s="1"/>
  <c r="Y276" i="103" s="1"/>
  <c r="AA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AA237" i="103" s="1"/>
  <c r="P30" i="143" a="1"/>
  <c r="P30" i="143" s="1"/>
  <c r="Y257" i="103" s="1"/>
  <c r="AA257" i="103" s="1"/>
  <c r="F30" i="143" a="1"/>
  <c r="F30" i="143" s="1"/>
  <c r="Y234" i="103" s="1"/>
  <c r="AA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E347" i="143" a="1"/>
  <c r="E347" i="143" s="1"/>
  <c r="Y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E227" i="143" a="1"/>
  <c r="E227" i="143" s="1"/>
  <c r="Y12" i="103" s="1"/>
  <c r="AA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AA156" i="103" s="1"/>
  <c r="O181" i="143" a="1"/>
  <c r="O181" i="143" s="1"/>
  <c r="Y229" i="103" s="1"/>
  <c r="E181" i="143" a="1"/>
  <c r="E181" i="143" s="1"/>
  <c r="Y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AA146" i="103" s="1"/>
  <c r="O172" i="143" a="1"/>
  <c r="O172" i="143" s="1"/>
  <c r="Y222" i="103" s="1"/>
  <c r="AA222" i="103" s="1"/>
  <c r="E172" i="143" a="1"/>
  <c r="E172" i="143" s="1"/>
  <c r="O169" i="143" a="1"/>
  <c r="O169" i="143" s="1"/>
  <c r="Y217" i="103" s="1"/>
  <c r="E169" i="143" a="1"/>
  <c r="E169" i="143" s="1"/>
  <c r="Y139" i="103" s="1"/>
  <c r="O166" i="143" a="1"/>
  <c r="O166" i="143" s="1"/>
  <c r="Y214" i="103" s="1"/>
  <c r="AA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AA77" i="103" s="1"/>
  <c r="E110" i="143" a="1"/>
  <c r="E110" i="143" s="1"/>
  <c r="Y90" i="103" s="1"/>
  <c r="O107" i="143" a="1"/>
  <c r="O107" i="143" s="1"/>
  <c r="Y74" i="103" s="1"/>
  <c r="E107" i="143" a="1"/>
  <c r="E107" i="143" s="1"/>
  <c r="Y94" i="103" s="1"/>
  <c r="O104" i="143" a="1"/>
  <c r="O104" i="143" s="1"/>
  <c r="Y71" i="103" s="1"/>
  <c r="AA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AA267" i="103" s="1"/>
  <c r="O98" i="143" a="1"/>
  <c r="O98" i="143" s="1"/>
  <c r="Y97" i="103" s="1"/>
  <c r="AA97" i="103" s="1"/>
  <c r="E98" i="143" a="1"/>
  <c r="E98" i="143" s="1"/>
  <c r="Y264" i="103" s="1"/>
  <c r="AA264" i="103" s="1"/>
  <c r="O95" i="143" a="1"/>
  <c r="O95" i="143" s="1"/>
  <c r="Y93" i="103" s="1"/>
  <c r="E95" i="143" a="1"/>
  <c r="E95" i="143" s="1"/>
  <c r="Y109" i="103" s="1"/>
  <c r="O92" i="143" a="1"/>
  <c r="O92" i="143" s="1"/>
  <c r="Y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AA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AA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AA245" i="103" s="1"/>
  <c r="O44" i="143" a="1"/>
  <c r="O44" i="143" s="1"/>
  <c r="Y284" i="103" s="1"/>
  <c r="AA284" i="103" s="1"/>
  <c r="E44" i="143" a="1"/>
  <c r="E44" i="143" s="1"/>
  <c r="Y242" i="103" s="1"/>
  <c r="AA242" i="103" s="1"/>
  <c r="O41" i="143" a="1"/>
  <c r="O41" i="143" s="1"/>
  <c r="Y281" i="103" s="1"/>
  <c r="E41" i="143" a="1"/>
  <c r="E41" i="143" s="1"/>
  <c r="Y291" i="103" s="1"/>
  <c r="O38" i="143" a="1"/>
  <c r="O38" i="143" s="1"/>
  <c r="Y278" i="103" s="1"/>
  <c r="AA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AA239" i="103" s="1"/>
  <c r="O32" i="143" a="1"/>
  <c r="O32" i="143" s="1"/>
  <c r="Y258" i="103" s="1"/>
  <c r="AA258" i="103" s="1"/>
  <c r="E32" i="143" a="1"/>
  <c r="E32" i="143" s="1"/>
  <c r="Y236" i="103" s="1"/>
  <c r="AA236" i="103" s="1"/>
  <c r="O29" i="143" a="1"/>
  <c r="O29" i="143" s="1"/>
  <c r="Y256" i="103" s="1"/>
  <c r="E29" i="143" a="1"/>
  <c r="E29" i="143" s="1"/>
  <c r="Y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AA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Y311" i="103" s="1"/>
  <c r="D356" i="143" a="1"/>
  <c r="D356" i="143" s="1"/>
  <c r="Y310" i="103" s="1"/>
  <c r="AA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AA62" i="103" s="1"/>
  <c r="D346" i="143" a="1"/>
  <c r="D346" i="143" s="1"/>
  <c r="Y49" i="103" s="1"/>
  <c r="AA49" i="103" s="1"/>
  <c r="N343" i="143" a="1"/>
  <c r="N343" i="143" s="1"/>
  <c r="Y60" i="103" s="1"/>
  <c r="AA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AA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AA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AA36" i="103" s="1"/>
  <c r="D320" i="143" a="1"/>
  <c r="D320" i="143" s="1"/>
  <c r="Y7" i="103" s="1"/>
  <c r="AA7" i="103" s="1"/>
  <c r="N317" i="143" a="1"/>
  <c r="N317" i="143" s="1"/>
  <c r="D317" i="143" a="1"/>
  <c r="D317" i="143" s="1"/>
  <c r="Y5" i="103" s="1"/>
  <c r="AA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AA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AA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AA145" i="103" s="1"/>
  <c r="N171" i="143" a="1"/>
  <c r="N171" i="143" s="1"/>
  <c r="Y219" i="103" s="1"/>
  <c r="AA219" i="103" s="1"/>
  <c r="D171" i="143" a="1"/>
  <c r="D171" i="143" s="1"/>
  <c r="Y141" i="103" s="1"/>
  <c r="AA141" i="103" s="1"/>
  <c r="N168" i="143" a="1"/>
  <c r="N168" i="143" s="1"/>
  <c r="Y216" i="103" s="1"/>
  <c r="AA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AA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AA79" i="103" s="1"/>
  <c r="D112" i="143" a="1"/>
  <c r="D112" i="143" s="1"/>
  <c r="Y81" i="103" s="1"/>
  <c r="N109" i="143" a="1"/>
  <c r="N109" i="143" s="1"/>
  <c r="Y76" i="103" s="1"/>
  <c r="AA76" i="103" s="1"/>
  <c r="D109" i="143" a="1"/>
  <c r="D109" i="143" s="1"/>
  <c r="Y87" i="103" s="1"/>
  <c r="N106" i="143" a="1"/>
  <c r="N106" i="143" s="1"/>
  <c r="Y73" i="103" s="1"/>
  <c r="AA73" i="103" s="1"/>
  <c r="D106" i="143" a="1"/>
  <c r="D106" i="143" s="1"/>
  <c r="Y92" i="103" s="1"/>
  <c r="N103" i="143" a="1"/>
  <c r="N103" i="143" s="1"/>
  <c r="Y70" i="103" s="1"/>
  <c r="D103" i="143" a="1"/>
  <c r="D103" i="143" s="1"/>
  <c r="Y269" i="103" s="1"/>
  <c r="N100" i="143" a="1"/>
  <c r="N100" i="143" s="1"/>
  <c r="Y99" i="103" s="1"/>
  <c r="AA99" i="103" s="1"/>
  <c r="D100" i="143" a="1"/>
  <c r="D100" i="143" s="1"/>
  <c r="Y266" i="103" s="1"/>
  <c r="N97" i="143" a="1"/>
  <c r="N97" i="143" s="1"/>
  <c r="Y96" i="103" s="1"/>
  <c r="AA96" i="103" s="1"/>
  <c r="D97" i="143" a="1"/>
  <c r="D97" i="143" s="1"/>
  <c r="N94" i="143" a="1"/>
  <c r="N94" i="143" s="1"/>
  <c r="Y91" i="103" s="1"/>
  <c r="D94" i="143" a="1"/>
  <c r="D94" i="143" s="1"/>
  <c r="Y108" i="103" s="1"/>
  <c r="AA108" i="103" s="1"/>
  <c r="N91" i="143" a="1"/>
  <c r="N91" i="143" s="1"/>
  <c r="Y86" i="103" s="1"/>
  <c r="D91" i="143" a="1"/>
  <c r="D91" i="143" s="1"/>
  <c r="Y105" i="103" s="1"/>
  <c r="N88" i="143" a="1"/>
  <c r="N88" i="143" s="1"/>
  <c r="Y82" i="103" s="1"/>
  <c r="AA82" i="103" s="1"/>
  <c r="D88" i="143" a="1"/>
  <c r="D88" i="143" s="1"/>
  <c r="Y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AA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AA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AA261" i="103" s="1"/>
  <c r="D52" i="143" a="1"/>
  <c r="D52" i="143" s="1"/>
  <c r="Y288" i="103" s="1"/>
  <c r="N49" i="143" a="1"/>
  <c r="N49" i="143" s="1"/>
  <c r="Y255" i="103" s="1"/>
  <c r="AA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AA244" i="103" s="1"/>
  <c r="N43" i="143" a="1"/>
  <c r="N43" i="143" s="1"/>
  <c r="Y283" i="103" s="1"/>
  <c r="D43" i="143" a="1"/>
  <c r="D43" i="143" s="1"/>
  <c r="Y241" i="103" s="1"/>
  <c r="N40" i="143" a="1"/>
  <c r="N40" i="143" s="1"/>
  <c r="Y280" i="103" s="1"/>
  <c r="AA280" i="103" s="1"/>
  <c r="D40" i="143" a="1"/>
  <c r="D40" i="143" s="1"/>
  <c r="Y253" i="103" s="1"/>
  <c r="N37" i="143" a="1"/>
  <c r="N37" i="143" s="1"/>
  <c r="Y277" i="103" s="1"/>
  <c r="AA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AA238" i="103" s="1"/>
  <c r="N31" i="143" a="1"/>
  <c r="N31" i="143" s="1"/>
  <c r="Y290" i="103" s="1"/>
  <c r="D31" i="143" a="1"/>
  <c r="D31" i="143" s="1"/>
  <c r="Y235" i="103" s="1"/>
  <c r="N28" i="143" a="1"/>
  <c r="N28" i="143" s="1"/>
  <c r="Y289" i="103" s="1"/>
  <c r="AA289" i="103" s="1"/>
  <c r="D28" i="143" a="1"/>
  <c r="D28" i="143" s="1"/>
  <c r="Y232" i="103" s="1"/>
  <c r="N27" i="143" a="1"/>
  <c r="N27" i="143" s="1"/>
  <c r="Y262" i="103" s="1"/>
  <c r="AA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 s="1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 s="1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AA14" i="96" s="1"/>
  <c r="F408" i="141" a="1"/>
  <c r="F408" i="141" s="1"/>
  <c r="Y58" i="96" s="1"/>
  <c r="N405" i="141" a="1"/>
  <c r="N405" i="141" s="1"/>
  <c r="Y11" i="96" s="1"/>
  <c r="AA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AA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F344" i="141" a="1"/>
  <c r="F344" i="141" s="1"/>
  <c r="Y121" i="96" s="1"/>
  <c r="AA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AA143" i="96" s="1"/>
  <c r="F338" i="141" a="1"/>
  <c r="F338" i="141" s="1"/>
  <c r="Y80" i="96" s="1"/>
  <c r="AA80" i="96" s="1"/>
  <c r="N335" i="141" a="1"/>
  <c r="N335" i="141" s="1"/>
  <c r="Y140" i="96" s="1"/>
  <c r="AA140" i="96" s="1"/>
  <c r="F335" i="141" a="1"/>
  <c r="F335" i="141" s="1"/>
  <c r="Y76" i="96" s="1"/>
  <c r="N332" i="141" a="1"/>
  <c r="N332" i="141" s="1"/>
  <c r="Y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AA151" i="96" s="1"/>
  <c r="F326" i="141" a="1"/>
  <c r="F326" i="141" s="1"/>
  <c r="Y66" i="96" s="1"/>
  <c r="AA66" i="96" s="1"/>
  <c r="N323" i="141" a="1"/>
  <c r="N323" i="141" s="1"/>
  <c r="Y148" i="96" s="1"/>
  <c r="AA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AA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AA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AA13" i="96" s="1"/>
  <c r="E407" i="141" a="1"/>
  <c r="E407" i="141" s="1"/>
  <c r="Y60" i="96" s="1"/>
  <c r="M404" i="141" a="1"/>
  <c r="M404" i="141" s="1"/>
  <c r="Y10" i="96" s="1"/>
  <c r="AA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AA30" i="96" s="1"/>
  <c r="E392" i="141" a="1"/>
  <c r="E392" i="141" s="1"/>
  <c r="M389" i="141" a="1"/>
  <c r="M389" i="141" s="1"/>
  <c r="Y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AA32" i="96" s="1"/>
  <c r="E346" i="141" a="1"/>
  <c r="E346" i="141" s="1"/>
  <c r="Y125" i="96" s="1"/>
  <c r="M343" i="141" a="1"/>
  <c r="M343" i="141" s="1"/>
  <c r="Y161" i="96" s="1"/>
  <c r="E343" i="141" a="1"/>
  <c r="E343" i="141" s="1"/>
  <c r="Y120" i="96" s="1"/>
  <c r="AA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AA142" i="96" s="1"/>
  <c r="E337" i="141" a="1"/>
  <c r="E337" i="141" s="1"/>
  <c r="Y79" i="96" s="1"/>
  <c r="AA79" i="96" s="1"/>
  <c r="M334" i="141" a="1"/>
  <c r="M334" i="141" s="1"/>
  <c r="Y139" i="96" s="1"/>
  <c r="AA139" i="96" s="1"/>
  <c r="E334" i="141" a="1"/>
  <c r="E334" i="141" s="1"/>
  <c r="Y75" i="96" s="1"/>
  <c r="M331" i="141" a="1"/>
  <c r="M331" i="141" s="1"/>
  <c r="Y136" i="96" s="1"/>
  <c r="E331" i="141" a="1"/>
  <c r="E331" i="141" s="1"/>
  <c r="Y71" i="96" s="1"/>
  <c r="AA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AA150" i="96" s="1"/>
  <c r="E325" i="141" a="1"/>
  <c r="E325" i="141" s="1"/>
  <c r="Y65" i="96" s="1"/>
  <c r="AA65" i="96" s="1"/>
  <c r="M322" i="141" a="1"/>
  <c r="M322" i="141" s="1"/>
  <c r="Y147" i="96" s="1"/>
  <c r="AA147" i="96" s="1"/>
  <c r="E322" i="141" a="1"/>
  <c r="E322" i="141" s="1"/>
  <c r="Y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AA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AA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AA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AA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AA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AA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AA144" i="96" s="1"/>
  <c r="D339" i="141" a="1"/>
  <c r="D339" i="141" s="1"/>
  <c r="Y81" i="96" s="1"/>
  <c r="L336" i="141" a="1"/>
  <c r="L336" i="141" s="1"/>
  <c r="Y141" i="96" s="1"/>
  <c r="AA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AA152" i="96" s="1"/>
  <c r="D327" i="141" a="1"/>
  <c r="D327" i="141" s="1"/>
  <c r="Y67" i="96" s="1"/>
  <c r="AA67" i="96" s="1"/>
  <c r="L324" i="141" a="1"/>
  <c r="L324" i="141" s="1"/>
  <c r="Y149" i="96" s="1"/>
  <c r="AA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AA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AA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AA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AA98" i="96" s="1"/>
  <c r="L214" i="141" a="1"/>
  <c r="L214" i="141" s="1"/>
  <c r="Y114" i="96" s="1"/>
  <c r="AA114" i="96" s="1"/>
  <c r="D214" i="141" a="1"/>
  <c r="D214" i="141" s="1"/>
  <c r="Y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AA236" i="96" s="1"/>
  <c r="D205" i="141" a="1"/>
  <c r="D205" i="141" s="1"/>
  <c r="L202" i="141" a="1"/>
  <c r="L202" i="141" s="1"/>
  <c r="Y231" i="96" s="1"/>
  <c r="AA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AA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AA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AA241" i="96" s="1"/>
  <c r="L150" i="141" a="1"/>
  <c r="L150" i="141" s="1"/>
  <c r="Y185" i="96" s="1"/>
  <c r="AA185" i="96" s="1"/>
  <c r="D150" i="141" a="1"/>
  <c r="D150" i="141" s="1"/>
  <c r="Y175" i="96" s="1"/>
  <c r="L147" i="141" a="1"/>
  <c r="L147" i="141" s="1"/>
  <c r="Y182" i="96" s="1"/>
  <c r="D147" i="141" a="1"/>
  <c r="D147" i="141" s="1"/>
  <c r="Y172" i="96" s="1"/>
  <c r="AA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AA219" i="96" s="1"/>
  <c r="D99" i="141" a="1"/>
  <c r="D99" i="141" s="1"/>
  <c r="Z175" i="96" s="1"/>
  <c r="L96" i="141" a="1"/>
  <c r="L96" i="141" s="1"/>
  <c r="Y216" i="96" s="1"/>
  <c r="AA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AA206" i="96" s="1"/>
  <c r="D87" i="141" a="1"/>
  <c r="D87" i="141" s="1"/>
  <c r="Y194" i="96" s="1"/>
  <c r="AA194" i="96" s="1"/>
  <c r="L84" i="141" a="1"/>
  <c r="L84" i="141" s="1"/>
  <c r="Y203" i="96" s="1"/>
  <c r="AA203" i="96" s="1"/>
  <c r="D84" i="141" a="1"/>
  <c r="D84" i="141" s="1"/>
  <c r="Y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 s="1"/>
  <c r="E389" i="131" a="1"/>
  <c r="E389" i="131" s="1"/>
  <c r="F390" i="131" a="1"/>
  <c r="F390" i="131" s="1"/>
  <c r="D391" i="131" a="1"/>
  <c r="D391" i="131" s="1"/>
  <c r="E392" i="131" a="1"/>
  <c r="E392" i="131" s="1"/>
  <c r="F393" i="131" a="1"/>
  <c r="F393" i="131" s="1"/>
  <c r="D394" i="131" a="1"/>
  <c r="D394" i="131" s="1"/>
  <c r="E395" i="131" a="1"/>
  <c r="E395" i="131" s="1"/>
  <c r="F396" i="131" a="1"/>
  <c r="F396" i="131" s="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 s="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 s="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 s="1"/>
  <c r="M118" i="131" a="1"/>
  <c r="M118" i="131" s="1"/>
  <c r="N119" i="131" a="1"/>
  <c r="N119" i="131" s="1"/>
  <c r="L120" i="131" a="1"/>
  <c r="L120" i="131" s="1"/>
  <c r="M121" i="131" a="1"/>
  <c r="M121" i="131" s="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AJ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F85" i="139" a="1"/>
  <c r="F85" i="139" s="1"/>
  <c r="P82" i="139" a="1"/>
  <c r="P82" i="139" s="1"/>
  <c r="AH104" i="112" s="1"/>
  <c r="AJ104" i="112" s="1"/>
  <c r="F82" i="139" a="1"/>
  <c r="F82" i="139" s="1"/>
  <c r="AH233" i="112" s="1"/>
  <c r="AJ233" i="112" s="1"/>
  <c r="P79" i="139" a="1"/>
  <c r="P79" i="139" s="1"/>
  <c r="AH226" i="112" s="1"/>
  <c r="F79" i="139" a="1"/>
  <c r="F79" i="139" s="1"/>
  <c r="AH231" i="112" s="1"/>
  <c r="AJ231" i="112" s="1"/>
  <c r="P76" i="139" a="1"/>
  <c r="P76" i="139" s="1"/>
  <c r="AH103" i="112" s="1"/>
  <c r="AJ103" i="112" s="1"/>
  <c r="F76" i="139" a="1"/>
  <c r="F76" i="139" s="1"/>
  <c r="AH166" i="112" s="1"/>
  <c r="P73" i="139" a="1"/>
  <c r="P73" i="139" s="1"/>
  <c r="AH100" i="112" s="1"/>
  <c r="F73" i="139" a="1"/>
  <c r="F73" i="139" s="1"/>
  <c r="AH168" i="112" s="1"/>
  <c r="P70" i="139" a="1"/>
  <c r="P70" i="139" s="1"/>
  <c r="AH119" i="112" s="1"/>
  <c r="AJ119" i="112" s="1"/>
  <c r="F70" i="139" a="1"/>
  <c r="F70" i="139" s="1"/>
  <c r="AH228" i="112" s="1"/>
  <c r="AJ228" i="112" s="1"/>
  <c r="P67" i="139" a="1"/>
  <c r="P67" i="139" s="1"/>
  <c r="AH222" i="112" s="1"/>
  <c r="F67" i="139" a="1"/>
  <c r="F67" i="139" s="1"/>
  <c r="AH36" i="112" s="1"/>
  <c r="AJ36" i="112" s="1"/>
  <c r="P64" i="139" a="1"/>
  <c r="P64" i="139" s="1"/>
  <c r="AH216" i="112" s="1"/>
  <c r="AJ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AJ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AJ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E124" i="139" a="1"/>
  <c r="E124" i="139" s="1"/>
  <c r="AH242" i="112" s="1"/>
  <c r="O121" i="139" a="1"/>
  <c r="O121" i="139" s="1"/>
  <c r="E121" i="139" a="1"/>
  <c r="E121" i="139" s="1"/>
  <c r="AH247" i="112" s="1"/>
  <c r="AJ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AJ174" i="112" s="1"/>
  <c r="E84" i="139" a="1"/>
  <c r="E84" i="139" s="1"/>
  <c r="O81" i="139" a="1"/>
  <c r="O81" i="139" s="1"/>
  <c r="AH105" i="112" s="1"/>
  <c r="E81" i="139" a="1"/>
  <c r="E81" i="139" s="1"/>
  <c r="AH8" i="112" s="1"/>
  <c r="AJ8" i="112" s="1"/>
  <c r="O78" i="139" a="1"/>
  <c r="O78" i="139" s="1"/>
  <c r="AH171" i="112" s="1"/>
  <c r="AJ171" i="112" s="1"/>
  <c r="E78" i="139" a="1"/>
  <c r="E78" i="139" s="1"/>
  <c r="AH232" i="112" s="1"/>
  <c r="O75" i="139" a="1"/>
  <c r="O75" i="139" s="1"/>
  <c r="AH102" i="112" s="1"/>
  <c r="E75" i="139" a="1"/>
  <c r="E75" i="139" s="1"/>
  <c r="AH170" i="112" s="1"/>
  <c r="O72" i="139" a="1"/>
  <c r="O72" i="139" s="1"/>
  <c r="AH99" i="112" s="1"/>
  <c r="AJ99" i="112" s="1"/>
  <c r="E72" i="139" a="1"/>
  <c r="E72" i="139" s="1"/>
  <c r="AH167" i="112" s="1"/>
  <c r="AJ167" i="112" s="1"/>
  <c r="O69" i="139" a="1"/>
  <c r="O69" i="139" s="1"/>
  <c r="AH118" i="112" s="1"/>
  <c r="E69" i="139" a="1"/>
  <c r="E69" i="139" s="1"/>
  <c r="AH163" i="112" s="1"/>
  <c r="AJ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E63" i="139" a="1"/>
  <c r="E63" i="139" s="1"/>
  <c r="AH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AI6" i="112" s="1"/>
  <c r="AJ6" i="112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AH5" i="112" s="1"/>
  <c r="AJ5" i="112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D123" i="139" a="1"/>
  <c r="D123" i="139" s="1"/>
  <c r="AH245" i="112" s="1"/>
  <c r="AJ245" i="112" s="1"/>
  <c r="N120" i="139" a="1"/>
  <c r="N120" i="139" s="1"/>
  <c r="AH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AJ51" i="112" s="1"/>
  <c r="D86" i="139" a="1"/>
  <c r="D86" i="139" s="1"/>
  <c r="N83" i="139" a="1"/>
  <c r="N83" i="139" s="1"/>
  <c r="AH223" i="112" s="1"/>
  <c r="D83" i="139" a="1"/>
  <c r="D83" i="139" s="1"/>
  <c r="AH172" i="112" s="1"/>
  <c r="N80" i="139" a="1"/>
  <c r="N80" i="139" s="1"/>
  <c r="AH106" i="112" s="1"/>
  <c r="AJ106" i="112" s="1"/>
  <c r="D80" i="139" a="1"/>
  <c r="D80" i="139" s="1"/>
  <c r="AH230" i="112" s="1"/>
  <c r="AJ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AJ101" i="112" s="1"/>
  <c r="D74" i="139" a="1"/>
  <c r="D74" i="139" s="1"/>
  <c r="AH169" i="112" s="1"/>
  <c r="N71" i="139" a="1"/>
  <c r="N71" i="139" s="1"/>
  <c r="AH98" i="112" s="1"/>
  <c r="D71" i="139" a="1"/>
  <c r="D71" i="139" s="1"/>
  <c r="AH165" i="112" s="1"/>
  <c r="N68" i="139" a="1"/>
  <c r="N68" i="139" s="1"/>
  <c r="AH182" i="112" s="1"/>
  <c r="AJ182" i="112" s="1"/>
  <c r="D68" i="139" a="1"/>
  <c r="D68" i="139" s="1"/>
  <c r="AH164" i="112" s="1"/>
  <c r="AJ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AJ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AJ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 s="1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 s="1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 s="1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Z222" i="102" l="1"/>
  <c r="AH222" i="102" s="1"/>
  <c r="Z22" i="102"/>
  <c r="AH22" i="102" s="1"/>
  <c r="Z16" i="102"/>
  <c r="AH16" i="102" s="1"/>
  <c r="Z30" i="102"/>
  <c r="AH30" i="102" s="1"/>
  <c r="Z11" i="102"/>
  <c r="AH11" i="102" s="1"/>
  <c r="Z186" i="102"/>
  <c r="AH186" i="102" s="1"/>
  <c r="Z52" i="102"/>
  <c r="AH52" i="102" s="1"/>
  <c r="Z9" i="102"/>
  <c r="AH9" i="102" s="1"/>
  <c r="AJ98" i="112"/>
  <c r="AJ223" i="112"/>
  <c r="AJ175" i="112"/>
  <c r="AJ102" i="112"/>
  <c r="AJ190" i="112"/>
  <c r="AJ100" i="112"/>
  <c r="AJ177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213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Z12" i="102"/>
  <c r="AH12" i="102" s="1"/>
  <c r="Z165" i="102"/>
  <c r="AH165" i="102" s="1"/>
  <c r="Z134" i="102"/>
  <c r="AH134" i="102" s="1"/>
  <c r="AJ169" i="112"/>
  <c r="AJ37" i="112"/>
  <c r="AJ232" i="112"/>
  <c r="AJ199" i="112"/>
  <c r="AJ242" i="112"/>
  <c r="AJ220" i="112"/>
  <c r="AJ192" i="112"/>
  <c r="AA44" i="96"/>
  <c r="AA110" i="96"/>
  <c r="AA232" i="103"/>
  <c r="AA288" i="103"/>
  <c r="AA271" i="103"/>
  <c r="AA266" i="103"/>
  <c r="AA81" i="103"/>
  <c r="AA312" i="103"/>
  <c r="AA148" i="103"/>
  <c r="AA9" i="103"/>
  <c r="AA50" i="103"/>
  <c r="Y154" i="103"/>
  <c r="Z154" i="103"/>
  <c r="AA59" i="103"/>
  <c r="Z13" i="102"/>
  <c r="AH13" i="102" s="1"/>
  <c r="Z210" i="102"/>
  <c r="AH210" i="102" s="1"/>
  <c r="Z40" i="102"/>
  <c r="AH40" i="102" s="1"/>
  <c r="AJ150" i="112"/>
  <c r="AJ210" i="112"/>
  <c r="AJ241" i="112"/>
  <c r="AA88" i="103"/>
  <c r="AA37" i="103"/>
  <c r="AA63" i="103"/>
  <c r="AA85" i="103"/>
  <c r="AA47" i="103"/>
  <c r="X8" i="102"/>
  <c r="Z8" i="102" s="1"/>
  <c r="AH8" i="102" s="1"/>
  <c r="F15" i="144"/>
  <c r="Z103" i="102"/>
  <c r="AH103" i="102" s="1"/>
  <c r="AJ25" i="112"/>
  <c r="BG5" i="112" a="1"/>
  <c r="AJ248" i="112"/>
  <c r="AJ187" i="112"/>
  <c r="AJ153" i="112"/>
  <c r="AJ179" i="112"/>
  <c r="AA213" i="96"/>
  <c r="AA182" i="96"/>
  <c r="AA111" i="96"/>
  <c r="AA48" i="96"/>
  <c r="AA138" i="96"/>
  <c r="AA109" i="96"/>
  <c r="AA29" i="96"/>
  <c r="AA9" i="96"/>
  <c r="AA136" i="96"/>
  <c r="AA161" i="96"/>
  <c r="AA27" i="96"/>
  <c r="AA42" i="96"/>
  <c r="AA57" i="96"/>
  <c r="AA137" i="96"/>
  <c r="AA162" i="96"/>
  <c r="AA28" i="96"/>
  <c r="AA241" i="103"/>
  <c r="AA105" i="103"/>
  <c r="AA269" i="103"/>
  <c r="AA155" i="103"/>
  <c r="AA11" i="103"/>
  <c r="AA233" i="103"/>
  <c r="AA291" i="103"/>
  <c r="AA109" i="103"/>
  <c r="AA139" i="103"/>
  <c r="AA151" i="103"/>
  <c r="AA19" i="103"/>
  <c r="AA252" i="103"/>
  <c r="AA249" i="103"/>
  <c r="AA107" i="103"/>
  <c r="AA114" i="103"/>
  <c r="AA134" i="103"/>
  <c r="AA159" i="103"/>
  <c r="AA35" i="103"/>
  <c r="O67" i="144"/>
  <c r="AJ211" i="112"/>
  <c r="AJ162" i="112"/>
  <c r="AJ193" i="112"/>
  <c r="AJ213" i="112"/>
  <c r="N172" i="139"/>
  <c r="AH253" i="112"/>
  <c r="AJ253" i="112" s="1"/>
  <c r="AJ24" i="112"/>
  <c r="AJ283" i="112" s="1"/>
  <c r="AJ118" i="112"/>
  <c r="AJ105" i="112"/>
  <c r="AJ222" i="112"/>
  <c r="AJ226" i="112"/>
  <c r="AJ198" i="112"/>
  <c r="AA189" i="96"/>
  <c r="AA175" i="96"/>
  <c r="AA95" i="96"/>
  <c r="AA77" i="96"/>
  <c r="AA59" i="96"/>
  <c r="AA75" i="96"/>
  <c r="AA125" i="96"/>
  <c r="AA191" i="96"/>
  <c r="AA61" i="96"/>
  <c r="AA76" i="96"/>
  <c r="AA290" i="103"/>
  <c r="AA283" i="103"/>
  <c r="AA70" i="103"/>
  <c r="AA14" i="103"/>
  <c r="AA256" i="103"/>
  <c r="AA281" i="103"/>
  <c r="AA93" i="103"/>
  <c r="AA74" i="103"/>
  <c r="AA217" i="103"/>
  <c r="AA229" i="103"/>
  <c r="AA40" i="103"/>
  <c r="AA55" i="103"/>
  <c r="AA68" i="103"/>
  <c r="AA65" i="103"/>
  <c r="AA72" i="103"/>
  <c r="AA212" i="103"/>
  <c r="AA224" i="103"/>
  <c r="AA52" i="103"/>
  <c r="Z73" i="102"/>
  <c r="AH73" i="102" s="1"/>
  <c r="AA24" i="103"/>
  <c r="AA42" i="103"/>
  <c r="AA149" i="103"/>
  <c r="AA64" i="103"/>
  <c r="AJ239" i="112"/>
  <c r="AJ180" i="112"/>
  <c r="AA81" i="96"/>
  <c r="AV5" i="96" a="1"/>
  <c r="AA131" i="96"/>
  <c r="AA274" i="103"/>
  <c r="AA286" i="103"/>
  <c r="AA91" i="103"/>
  <c r="AA16" i="103"/>
  <c r="AA58" i="103"/>
  <c r="AA227" i="103"/>
  <c r="AA22" i="103"/>
  <c r="AA53" i="103"/>
  <c r="AV5" i="103" a="1"/>
  <c r="AA20" i="103"/>
  <c r="P44" i="133"/>
  <c r="Z5" i="102"/>
  <c r="AX5" i="102" a="1"/>
  <c r="Z175" i="102"/>
  <c r="AH175" i="102" s="1"/>
  <c r="AJ165" i="112"/>
  <c r="AJ172" i="112"/>
  <c r="AJ181" i="112"/>
  <c r="AJ170" i="112"/>
  <c r="AJ168" i="112"/>
  <c r="AA232" i="96"/>
  <c r="AA158" i="103"/>
  <c r="AA6" i="103"/>
  <c r="AA28" i="103"/>
  <c r="AA45" i="103"/>
  <c r="AA292" i="103"/>
  <c r="AA140" i="103"/>
  <c r="AA41" i="103"/>
  <c r="AA56" i="103"/>
  <c r="AA69" i="103"/>
  <c r="AA46" i="103"/>
  <c r="Z46" i="102"/>
  <c r="AH46" i="102" s="1"/>
  <c r="Y6" i="102"/>
  <c r="Z6" i="102" s="1"/>
  <c r="AH6" i="102" s="1"/>
  <c r="Z14" i="102"/>
  <c r="AH14" i="102" s="1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75" i="142" s="1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AA317" i="103" l="1"/>
  <c r="AZ2" i="96"/>
  <c r="AV5" i="96"/>
  <c r="AX5" i="102"/>
  <c r="BB2" i="102"/>
  <c r="Z235" i="102"/>
  <c r="AH5" i="102"/>
  <c r="AH234" i="102" s="1"/>
  <c r="AA154" i="103"/>
  <c r="BG5" i="112"/>
  <c r="BJ2" i="112"/>
  <c r="Y294" i="103"/>
  <c r="AA294" i="103" s="1"/>
  <c r="D560" i="132"/>
  <c r="D560" i="143"/>
  <c r="AA252" i="96"/>
  <c r="AV5" i="103"/>
  <c r="AZ2" i="103"/>
  <c r="Z295" i="103"/>
  <c r="AA295" i="103" s="1"/>
  <c r="L16" i="141"/>
  <c r="N16" i="141" s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C7" i="146" l="1"/>
  <c r="BA2" i="103"/>
  <c r="BB2" i="103" s="1"/>
  <c r="C8" i="146"/>
  <c r="BC2" i="102"/>
  <c r="BD2" i="102" s="1"/>
  <c r="C5" i="146"/>
  <c r="BK2" i="112"/>
  <c r="BL2" i="112" s="1"/>
  <c r="C6" i="146"/>
  <c r="BA2" i="96"/>
  <c r="BB2" i="96" s="1"/>
  <c r="N579" i="143"/>
  <c r="N579" i="142"/>
  <c r="Q579" i="142" s="1"/>
  <c r="Q581" i="142" s="1"/>
  <c r="Q579" i="143"/>
  <c r="Q581" i="143" s="1"/>
  <c r="F82" i="145"/>
  <c r="F79" i="145"/>
  <c r="F83" i="145" s="1"/>
  <c r="F79" i="144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I2" i="146" l="1"/>
  <c r="J2" i="146" s="1"/>
  <c r="K2" i="146" s="1"/>
  <c r="F83" i="144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F66" i="95"/>
  <c r="F65" i="95"/>
  <c r="F64" i="95"/>
  <c r="F63" i="95"/>
  <c r="F62" i="95"/>
  <c r="G61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F7" i="95"/>
  <c r="F6" i="95"/>
  <c r="F5" i="95"/>
  <c r="G4" i="95"/>
  <c r="F4" i="95"/>
  <c r="G44" i="95" l="1"/>
  <c r="G22" i="95"/>
  <c r="G7" i="95"/>
  <c r="G59" i="95"/>
  <c r="G66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<sst xmlns="http://schemas.openxmlformats.org/spreadsheetml/2006/main" count="61737" uniqueCount="9551">
  <si>
    <t>7층 전송 및 고객 랙별 부하 사용내역</t>
    <phoneticPr fontId="13" type="noConversion"/>
  </si>
  <si>
    <t>2023년 기준</t>
    <phoneticPr fontId="13" type="noConversion"/>
  </si>
  <si>
    <t>구분</t>
  </si>
  <si>
    <t>DEKR
NO.</t>
    <phoneticPr fontId="13" type="noConversion"/>
  </si>
  <si>
    <t>BAY
NAME</t>
  </si>
  <si>
    <t>RACK
NAME</t>
  </si>
  <si>
    <t>전원구성</t>
  </si>
  <si>
    <t>차단기 정보(수정)</t>
    <phoneticPr fontId="13" type="noConversion"/>
  </si>
  <si>
    <t>Fuse/차단기 정보</t>
    <phoneticPr fontId="13" type="noConversion"/>
  </si>
  <si>
    <t>IPD/2차분전반
사용정보</t>
    <phoneticPr fontId="13" type="noConversion"/>
  </si>
  <si>
    <t>2차 분전반/정류기
정보</t>
    <phoneticPr fontId="13" type="noConversion"/>
  </si>
  <si>
    <t>1차 분전반 사용정보</t>
    <phoneticPr fontId="13" type="noConversion"/>
  </si>
  <si>
    <t>1차 분전반 정보</t>
    <phoneticPr fontId="13" type="noConversion"/>
  </si>
  <si>
    <t>배전반 정보</t>
    <phoneticPr fontId="13" type="noConversion"/>
  </si>
  <si>
    <t>TR 정보</t>
    <phoneticPr fontId="13" type="noConversion"/>
  </si>
  <si>
    <t>RACK별 장비명</t>
  </si>
  <si>
    <t>비고</t>
  </si>
  <si>
    <t>AC</t>
  </si>
  <si>
    <t>DC</t>
  </si>
  <si>
    <t>A</t>
    <phoneticPr fontId="13" type="noConversion"/>
  </si>
  <si>
    <t>B</t>
    <phoneticPr fontId="13" type="noConversion"/>
  </si>
  <si>
    <t>A전원</t>
    <phoneticPr fontId="13" type="noConversion"/>
  </si>
  <si>
    <t>B전원</t>
    <phoneticPr fontId="13" type="noConversion"/>
  </si>
  <si>
    <t>합계</t>
    <phoneticPr fontId="13" type="noConversion"/>
  </si>
  <si>
    <t>SJT</t>
    <phoneticPr fontId="13" type="noConversion"/>
  </si>
  <si>
    <t>정류기실</t>
    <phoneticPr fontId="13" type="noConversion"/>
  </si>
  <si>
    <t>SJT 정류기1</t>
    <phoneticPr fontId="13" type="noConversion"/>
  </si>
  <si>
    <t>○</t>
  </si>
  <si>
    <t>7-1-A4-06 / 4P 225A</t>
    <phoneticPr fontId="13" type="noConversion"/>
  </si>
  <si>
    <t>7-1-A4
(4P 400A)</t>
    <phoneticPr fontId="13" type="noConversion"/>
  </si>
  <si>
    <t>LV-7A #06 / 3P 320A
(U7-6A)</t>
    <phoneticPr fontId="13" type="noConversion"/>
  </si>
  <si>
    <t>TR-7A 1000kVA</t>
    <phoneticPr fontId="13" type="noConversion"/>
  </si>
  <si>
    <t>SJT 정류기2</t>
    <phoneticPr fontId="13" type="noConversion"/>
  </si>
  <si>
    <t>7-1-B4-01 / 3P 150A</t>
    <phoneticPr fontId="13" type="noConversion"/>
  </si>
  <si>
    <t>7-1-B4
(4P 400A)</t>
    <phoneticPr fontId="13" type="noConversion"/>
  </si>
  <si>
    <t>LV-7B #07 / 3P 320A
(U7-7B)</t>
    <phoneticPr fontId="13" type="noConversion"/>
  </si>
  <si>
    <t>TR-7B 1000kVA</t>
    <phoneticPr fontId="13" type="noConversion"/>
  </si>
  <si>
    <t>1열</t>
  </si>
  <si>
    <t>B625</t>
    <phoneticPr fontId="13" type="noConversion"/>
  </si>
  <si>
    <t>111 BAY</t>
  </si>
  <si>
    <t>111B_ZTE325</t>
  </si>
  <si>
    <t>A-2</t>
  </si>
  <si>
    <t>B-2</t>
  </si>
  <si>
    <t>IPD A-2-57 / 35A</t>
    <phoneticPr fontId="13" type="noConversion"/>
  </si>
  <si>
    <t>IPD B-2-57 / 35A</t>
    <phoneticPr fontId="13" type="noConversion"/>
  </si>
  <si>
    <t>IPD A-2</t>
    <phoneticPr fontId="13" type="noConversion"/>
  </si>
  <si>
    <t>IPD B-2</t>
    <phoneticPr fontId="13" type="noConversion"/>
  </si>
  <si>
    <t>정류기 A
-48V 1400A</t>
    <phoneticPr fontId="13" type="noConversion"/>
  </si>
  <si>
    <t>정류기 B
-48V 1400A</t>
    <phoneticPr fontId="13" type="noConversion"/>
  </si>
  <si>
    <t>UPS 출력
배전반A,
#06 
4P 225A</t>
    <phoneticPr fontId="13" type="noConversion"/>
  </si>
  <si>
    <t>UPS 출력
배전반B,
 #01
3P 150A</t>
    <phoneticPr fontId="13" type="noConversion"/>
  </si>
  <si>
    <t>UPS 출력
배전반A,
4P 400A</t>
    <phoneticPr fontId="13" type="noConversion"/>
  </si>
  <si>
    <t>UPS 출력
배전반B,
4P 400A</t>
    <phoneticPr fontId="13" type="noConversion"/>
  </si>
  <si>
    <t>B624</t>
    <phoneticPr fontId="13" type="noConversion"/>
  </si>
  <si>
    <t>112 BAY</t>
  </si>
  <si>
    <t>112B_ZTE325</t>
  </si>
  <si>
    <t>IPD A-2-54 / 35A</t>
    <phoneticPr fontId="13" type="noConversion"/>
  </si>
  <si>
    <t>IPD B-2-54 / 35A</t>
    <phoneticPr fontId="13" type="noConversion"/>
  </si>
  <si>
    <t>B623</t>
    <phoneticPr fontId="13" type="noConversion"/>
  </si>
  <si>
    <t>113 BAY</t>
  </si>
  <si>
    <t>113B_ZTE325</t>
  </si>
  <si>
    <t>IPD A-2-55 / 35A</t>
    <phoneticPr fontId="13" type="noConversion"/>
  </si>
  <si>
    <t>IPD B-2-55 / 35A</t>
    <phoneticPr fontId="13" type="noConversion"/>
  </si>
  <si>
    <t>B622</t>
    <phoneticPr fontId="13" type="noConversion"/>
  </si>
  <si>
    <t>114 BAY</t>
  </si>
  <si>
    <t>114B_ZTE325</t>
  </si>
  <si>
    <t>IPD A-2-56 / 35A</t>
    <phoneticPr fontId="13" type="noConversion"/>
  </si>
  <si>
    <t>IPD B-2-56 / 35A</t>
    <phoneticPr fontId="13" type="noConversion"/>
  </si>
  <si>
    <t>B621</t>
    <phoneticPr fontId="13" type="noConversion"/>
  </si>
  <si>
    <t>115 BAY</t>
  </si>
  <si>
    <t>115B_ZTE325</t>
  </si>
  <si>
    <t>IPD A-2-59 / 35A</t>
    <phoneticPr fontId="13" type="noConversion"/>
  </si>
  <si>
    <t>IPD B-2-59 / 35A</t>
    <phoneticPr fontId="13" type="noConversion"/>
  </si>
  <si>
    <t>B620</t>
    <phoneticPr fontId="13" type="noConversion"/>
  </si>
  <si>
    <t>116 BAY</t>
  </si>
  <si>
    <t>116B_ZTE385</t>
  </si>
  <si>
    <t>IPD A-2-61 / 35A</t>
    <phoneticPr fontId="13" type="noConversion"/>
  </si>
  <si>
    <t>IPD B-2-61 / 35A</t>
    <phoneticPr fontId="13" type="noConversion"/>
  </si>
  <si>
    <t>B619</t>
    <phoneticPr fontId="13" type="noConversion"/>
  </si>
  <si>
    <t>117 BAY</t>
  </si>
  <si>
    <t>117B_ZTE385</t>
  </si>
  <si>
    <t>IPD A-2-60 / 35A</t>
    <phoneticPr fontId="13" type="noConversion"/>
  </si>
  <si>
    <t>IPD B-2-60 / 35A</t>
    <phoneticPr fontId="13" type="noConversion"/>
  </si>
  <si>
    <t>B618</t>
    <phoneticPr fontId="13" type="noConversion"/>
  </si>
  <si>
    <t>118 BAY</t>
  </si>
  <si>
    <t>118B_ZTE385</t>
  </si>
  <si>
    <t>IPD A-2-64 / 50A</t>
    <phoneticPr fontId="13" type="noConversion"/>
  </si>
  <si>
    <t>IPD B-2-64 / 50A</t>
    <phoneticPr fontId="13" type="noConversion"/>
  </si>
  <si>
    <t>B617</t>
    <phoneticPr fontId="13" type="noConversion"/>
  </si>
  <si>
    <t>119 BAY</t>
  </si>
  <si>
    <t>119B_우리넷</t>
  </si>
  <si>
    <t>IPD A-2-65 / 35A</t>
    <phoneticPr fontId="13" type="noConversion"/>
  </si>
  <si>
    <t>IPD B-2-65 / 35A</t>
    <phoneticPr fontId="13" type="noConversion"/>
  </si>
  <si>
    <t>B616</t>
    <phoneticPr fontId="13" type="noConversion"/>
  </si>
  <si>
    <t>120 BAY</t>
  </si>
  <si>
    <t>120B_ZTE325</t>
  </si>
  <si>
    <t>IPD A-2-67 / 50A</t>
    <phoneticPr fontId="13" type="noConversion"/>
  </si>
  <si>
    <t>IPD B-2-67 / 50A</t>
    <phoneticPr fontId="13" type="noConversion"/>
  </si>
  <si>
    <t>B615</t>
    <phoneticPr fontId="13" type="noConversion"/>
  </si>
  <si>
    <t>121 BAY</t>
  </si>
  <si>
    <t>121B_ZTE325</t>
  </si>
  <si>
    <t>IPD A-2-66 / 50A</t>
    <phoneticPr fontId="13" type="noConversion"/>
  </si>
  <si>
    <t>IPD B-2-66 / 50A</t>
    <phoneticPr fontId="13" type="noConversion"/>
  </si>
  <si>
    <t>2열</t>
  </si>
  <si>
    <t>C409</t>
    <phoneticPr fontId="13" type="noConversion"/>
  </si>
  <si>
    <t>202 BAY</t>
  </si>
  <si>
    <t>U3-7A-32 / 2P 30A</t>
    <phoneticPr fontId="13" type="noConversion"/>
  </si>
  <si>
    <t>U3-7B-32 / 2P 30A</t>
  </si>
  <si>
    <t>U3-7A
(U7-5A)
4P 300A</t>
    <phoneticPr fontId="13" type="noConversion"/>
  </si>
  <si>
    <t>U3-7B
(U7-6B)
4P 300A</t>
    <phoneticPr fontId="13" type="noConversion"/>
  </si>
  <si>
    <t>LV-7A #05 / 3P 320A
(U7-5A)</t>
    <phoneticPr fontId="13" type="noConversion"/>
  </si>
  <si>
    <t>LV-7B #06 / 3P 320A
(U7-6B)</t>
  </si>
  <si>
    <t>'23.07. 31  전기투입/세종요청 1랙 증설</t>
  </si>
  <si>
    <t>C408</t>
    <phoneticPr fontId="13" type="noConversion"/>
  </si>
  <si>
    <t>203 BAY</t>
  </si>
  <si>
    <t>세종 긴급청약</t>
    <phoneticPr fontId="13" type="noConversion"/>
  </si>
  <si>
    <t>22.07.14 구성 및 전기투입</t>
    <phoneticPr fontId="33" type="noConversion"/>
  </si>
  <si>
    <t>C407</t>
    <phoneticPr fontId="13" type="noConversion"/>
  </si>
  <si>
    <t>204 BAY</t>
  </si>
  <si>
    <t>U3-7A-25 / 2P 30A</t>
    <phoneticPr fontId="13" type="noConversion"/>
  </si>
  <si>
    <t>U3-7B-25 / 2P 30A</t>
    <phoneticPr fontId="13" type="noConversion"/>
  </si>
  <si>
    <t>인터넷팀 장비</t>
  </si>
  <si>
    <t>C406</t>
    <phoneticPr fontId="13" type="noConversion"/>
  </si>
  <si>
    <t>205 BAY</t>
  </si>
  <si>
    <t>U3-7A-23 / 2P 30A</t>
    <phoneticPr fontId="13" type="noConversion"/>
  </si>
  <si>
    <t>U3-7B-23 / 2P 30A</t>
    <phoneticPr fontId="13" type="noConversion"/>
  </si>
  <si>
    <t>C405</t>
    <phoneticPr fontId="13" type="noConversion"/>
  </si>
  <si>
    <t>206 BAY</t>
  </si>
  <si>
    <t>U3-7A-21 / 2P 30A</t>
    <phoneticPr fontId="13" type="noConversion"/>
  </si>
  <si>
    <t>U3-7B-21 / 2P 30A</t>
    <phoneticPr fontId="13" type="noConversion"/>
  </si>
  <si>
    <t>C404</t>
    <phoneticPr fontId="13" type="noConversion"/>
  </si>
  <si>
    <t>207 BAY</t>
  </si>
  <si>
    <t>U3-7A-19 / 2P 30A</t>
    <phoneticPr fontId="13" type="noConversion"/>
  </si>
  <si>
    <t>U3-7B-19 / 2P 30A</t>
    <phoneticPr fontId="13" type="noConversion"/>
  </si>
  <si>
    <t>C403</t>
    <phoneticPr fontId="13" type="noConversion"/>
  </si>
  <si>
    <t>208 BAY</t>
  </si>
  <si>
    <t>U3-7A-17 / 2P 30A</t>
    <phoneticPr fontId="13" type="noConversion"/>
  </si>
  <si>
    <t>U3-7B-17 / 2P 30A</t>
    <phoneticPr fontId="13" type="noConversion"/>
  </si>
  <si>
    <t>U3-7A-27 / 2P 30A</t>
    <phoneticPr fontId="13" type="noConversion"/>
  </si>
  <si>
    <t>U3-7B-27 / 2P 30A</t>
    <phoneticPr fontId="13" type="noConversion"/>
  </si>
  <si>
    <t>C402</t>
    <phoneticPr fontId="13" type="noConversion"/>
  </si>
  <si>
    <t>209 BAY</t>
  </si>
  <si>
    <t>U3-7A-11 / 2P 30A</t>
    <phoneticPr fontId="13" type="noConversion"/>
  </si>
  <si>
    <t>U3-7B-11 / 2P 30A</t>
    <phoneticPr fontId="13" type="noConversion"/>
  </si>
  <si>
    <t>AC 콘센트 라벨 : 409Bay-A &amp; 409Bay-B</t>
    <phoneticPr fontId="33" type="noConversion"/>
  </si>
  <si>
    <t>C401</t>
    <phoneticPr fontId="13" type="noConversion"/>
  </si>
  <si>
    <t>210 BAY</t>
  </si>
  <si>
    <t>U3-7A-13 / 2P 30A</t>
    <phoneticPr fontId="13" type="noConversion"/>
  </si>
  <si>
    <t>U3-7B-13 / 2P 30A</t>
    <phoneticPr fontId="13" type="noConversion"/>
  </si>
  <si>
    <t>AC 콘센트 라벨 : 410Bay-A &amp; 410Bay-B</t>
    <phoneticPr fontId="33" type="noConversion"/>
  </si>
  <si>
    <t>B524</t>
    <phoneticPr fontId="13" type="noConversion"/>
  </si>
  <si>
    <t>212 BAY</t>
  </si>
  <si>
    <t>212B_코위버155M</t>
  </si>
  <si>
    <t>IPD A-2-12 / 50A</t>
    <phoneticPr fontId="13" type="noConversion"/>
  </si>
  <si>
    <t>IPD B-2-12 / 50A</t>
    <phoneticPr fontId="13" type="noConversion"/>
  </si>
  <si>
    <t>213 BAY</t>
  </si>
  <si>
    <t>214 BAY</t>
  </si>
  <si>
    <t>215 BAY</t>
  </si>
  <si>
    <t>216 BAY</t>
  </si>
  <si>
    <t>B517</t>
    <phoneticPr fontId="13" type="noConversion"/>
  </si>
  <si>
    <t>217 BAY</t>
  </si>
  <si>
    <t>DEKR, Network Rack#1</t>
    <phoneticPr fontId="13" type="noConversion"/>
  </si>
  <si>
    <t>U3-7A-16 / 2P 30A</t>
    <phoneticPr fontId="13" type="noConversion"/>
  </si>
  <si>
    <t>U3-7B-16 / 2P 30A</t>
    <phoneticPr fontId="13" type="noConversion"/>
  </si>
  <si>
    <t>U3-7A(U7-5A)
4P 300A</t>
    <phoneticPr fontId="13" type="noConversion"/>
  </si>
  <si>
    <t>U3-7B(U7-6B)
4P 300A</t>
  </si>
  <si>
    <t>2022.01.12 전기투입</t>
    <phoneticPr fontId="13" type="noConversion"/>
  </si>
  <si>
    <t>B516</t>
    <phoneticPr fontId="13" type="noConversion"/>
  </si>
  <si>
    <t>218 BAY</t>
  </si>
  <si>
    <t>DEKR, Network Rack#2</t>
  </si>
  <si>
    <t>U3-7A-14 / 2P 30A</t>
    <phoneticPr fontId="13" type="noConversion"/>
  </si>
  <si>
    <t>U3-7B-14 / 2P 30A</t>
    <phoneticPr fontId="13" type="noConversion"/>
  </si>
  <si>
    <t>2022.01.12 전기투입</t>
  </si>
  <si>
    <t>B515</t>
    <phoneticPr fontId="13" type="noConversion"/>
  </si>
  <si>
    <t>219 BAY</t>
  </si>
  <si>
    <t>219B_코위버PTN</t>
  </si>
  <si>
    <t>IPD A-2-22 / 50A</t>
    <phoneticPr fontId="13" type="noConversion"/>
  </si>
  <si>
    <t>IPD B-2-22 / 50A</t>
    <phoneticPr fontId="13" type="noConversion"/>
  </si>
  <si>
    <t>B510</t>
    <phoneticPr fontId="13" type="noConversion"/>
  </si>
  <si>
    <t>223 BAY</t>
  </si>
  <si>
    <t>223B_코위버155M</t>
  </si>
  <si>
    <t>A-3</t>
  </si>
  <si>
    <t>B-3</t>
  </si>
  <si>
    <t>IPD A-3-18 / 35A</t>
    <phoneticPr fontId="13" type="noConversion"/>
  </si>
  <si>
    <t>IPD B-3-18 / 35A</t>
    <phoneticPr fontId="13" type="noConversion"/>
  </si>
  <si>
    <t>IPD A-3</t>
    <phoneticPr fontId="13" type="noConversion"/>
  </si>
  <si>
    <t>IPD B-3</t>
    <phoneticPr fontId="13" type="noConversion"/>
  </si>
  <si>
    <t>B509</t>
    <phoneticPr fontId="13" type="noConversion"/>
  </si>
  <si>
    <t>224 BAY</t>
  </si>
  <si>
    <t>224B_우리넷</t>
  </si>
  <si>
    <t>IPD A-3-19 / 35A</t>
    <phoneticPr fontId="13" type="noConversion"/>
  </si>
  <si>
    <t>IPD B-3-19 / 50A</t>
    <phoneticPr fontId="13" type="noConversion"/>
  </si>
  <si>
    <t>B508</t>
    <phoneticPr fontId="13" type="noConversion"/>
  </si>
  <si>
    <t>225 BAY</t>
  </si>
  <si>
    <t>225B_코위버622M</t>
  </si>
  <si>
    <t>IPD A-3-52 / 35A</t>
    <phoneticPr fontId="13" type="noConversion"/>
  </si>
  <si>
    <t>IPD B-3-23 / 35A</t>
    <phoneticPr fontId="13" type="noConversion"/>
  </si>
  <si>
    <t>PDP 2개</t>
  </si>
  <si>
    <t>IPD A-3-55 / 35A</t>
    <phoneticPr fontId="13" type="noConversion"/>
  </si>
  <si>
    <t>IPD B-3-54 / 35A</t>
    <phoneticPr fontId="13" type="noConversion"/>
  </si>
  <si>
    <t>B507</t>
    <phoneticPr fontId="13" type="noConversion"/>
  </si>
  <si>
    <t>226 BAY</t>
  </si>
  <si>
    <t>226B_코위버155M</t>
  </si>
  <si>
    <t>IPD A-3-20 / 35A</t>
    <phoneticPr fontId="13" type="noConversion"/>
  </si>
  <si>
    <t>IPD B-3-20 / 50A</t>
    <phoneticPr fontId="13" type="noConversion"/>
  </si>
  <si>
    <t>B506</t>
    <phoneticPr fontId="13" type="noConversion"/>
  </si>
  <si>
    <t>227 BAY</t>
  </si>
  <si>
    <t>227B_ZTE385</t>
  </si>
  <si>
    <t>IPD A-3-21 / 50A</t>
    <phoneticPr fontId="13" type="noConversion"/>
  </si>
  <si>
    <t>IPD B-3-21 / 50A</t>
    <phoneticPr fontId="13" type="noConversion"/>
  </si>
  <si>
    <t>B505</t>
    <phoneticPr fontId="13" type="noConversion"/>
  </si>
  <si>
    <t>228 BAY</t>
  </si>
  <si>
    <t>228B_ZTE385</t>
  </si>
  <si>
    <t>IPD A-3-49 / 50A</t>
    <phoneticPr fontId="13" type="noConversion"/>
  </si>
  <si>
    <t>IPD B-3-49 / 35A</t>
    <phoneticPr fontId="13" type="noConversion"/>
  </si>
  <si>
    <t>B504</t>
    <phoneticPr fontId="13" type="noConversion"/>
  </si>
  <si>
    <t>229 BAY</t>
  </si>
  <si>
    <t>229B_ZTE385</t>
  </si>
  <si>
    <t>IPD A-3-50 / 35A</t>
    <phoneticPr fontId="13" type="noConversion"/>
  </si>
  <si>
    <t>IPD B-3-50 / 35A</t>
    <phoneticPr fontId="13" type="noConversion"/>
  </si>
  <si>
    <t>B503</t>
    <phoneticPr fontId="13" type="noConversion"/>
  </si>
  <si>
    <t>230 BAY</t>
  </si>
  <si>
    <t>230B_ZTE385</t>
  </si>
  <si>
    <t>IPD A-3-51 / 35A</t>
    <phoneticPr fontId="13" type="noConversion"/>
  </si>
  <si>
    <t>IPD B-3-51 / 35A</t>
    <phoneticPr fontId="13" type="noConversion"/>
  </si>
  <si>
    <t>B502</t>
    <phoneticPr fontId="13" type="noConversion"/>
  </si>
  <si>
    <t>231 BAY</t>
  </si>
  <si>
    <t>231B_ZTE385</t>
  </si>
  <si>
    <t>IPD A-3-22 / 35A</t>
    <phoneticPr fontId="13" type="noConversion"/>
  </si>
  <si>
    <t>IPD B-3-22 / 35A</t>
    <phoneticPr fontId="13" type="noConversion"/>
  </si>
  <si>
    <t>A510</t>
    <phoneticPr fontId="13" type="noConversion"/>
  </si>
  <si>
    <t>236 BAY</t>
  </si>
  <si>
    <t>236B_CN4200</t>
  </si>
  <si>
    <t>A-4</t>
  </si>
  <si>
    <t>B-4</t>
  </si>
  <si>
    <t>IPD A-4-53 / 35A</t>
    <phoneticPr fontId="13" type="noConversion"/>
  </si>
  <si>
    <t>IPD B-4-53 / 35A</t>
    <phoneticPr fontId="13" type="noConversion"/>
  </si>
  <si>
    <t>IPD A-4</t>
    <phoneticPr fontId="13" type="noConversion"/>
  </si>
  <si>
    <t>IPD B-4</t>
    <phoneticPr fontId="13" type="noConversion"/>
  </si>
  <si>
    <t>A509</t>
    <phoneticPr fontId="13" type="noConversion"/>
  </si>
  <si>
    <t>237 BAY</t>
  </si>
  <si>
    <t>237B_CN4200</t>
  </si>
  <si>
    <t>IPD A-4-52 / 35A</t>
    <phoneticPr fontId="13" type="noConversion"/>
  </si>
  <si>
    <t>IPD B-4-52 / 35A</t>
    <phoneticPr fontId="13" type="noConversion"/>
  </si>
  <si>
    <t>A508</t>
    <phoneticPr fontId="13" type="noConversion"/>
  </si>
  <si>
    <t>238 BAY</t>
  </si>
  <si>
    <t>238B_동원DWDM</t>
  </si>
  <si>
    <t>IPD A-4-45 / 50A</t>
    <phoneticPr fontId="13" type="noConversion"/>
  </si>
  <si>
    <t>IPD B-4-51 / 50A</t>
    <phoneticPr fontId="13" type="noConversion"/>
  </si>
  <si>
    <t>A507</t>
    <phoneticPr fontId="13" type="noConversion"/>
  </si>
  <si>
    <t>239 BAY</t>
  </si>
  <si>
    <t>239B_OSN7500</t>
  </si>
  <si>
    <t>IPD A-4-10 / 50A</t>
    <phoneticPr fontId="13" type="noConversion"/>
  </si>
  <si>
    <t>IPD B-4-43 / 50A</t>
    <phoneticPr fontId="13" type="noConversion"/>
  </si>
  <si>
    <t>IPD 3개</t>
  </si>
  <si>
    <t>IPD A-4-11 / 50A</t>
    <phoneticPr fontId="13" type="noConversion"/>
  </si>
  <si>
    <t>IPD B-4-44 / 50A</t>
    <phoneticPr fontId="13" type="noConversion"/>
  </si>
  <si>
    <t>IPD A-4-18 / 50A</t>
    <phoneticPr fontId="13" type="noConversion"/>
  </si>
  <si>
    <t>IPD B-4-45 / 50A</t>
    <phoneticPr fontId="13" type="noConversion"/>
  </si>
  <si>
    <t>A506</t>
    <phoneticPr fontId="13" type="noConversion"/>
  </si>
  <si>
    <t>240 BAY</t>
  </si>
  <si>
    <t>240B_코위버CWDM</t>
  </si>
  <si>
    <t>IPD A-4-27 / 50A</t>
    <phoneticPr fontId="13" type="noConversion"/>
  </si>
  <si>
    <t>IPD B-4-57 / 50A</t>
    <phoneticPr fontId="13" type="noConversion"/>
  </si>
  <si>
    <t>IPD A-4-33 / 50A</t>
    <phoneticPr fontId="13" type="noConversion"/>
  </si>
  <si>
    <t>IPD B-4-33 / 50A</t>
    <phoneticPr fontId="13" type="noConversion"/>
  </si>
  <si>
    <t>A505</t>
    <phoneticPr fontId="13" type="noConversion"/>
  </si>
  <si>
    <t>241 BAY</t>
  </si>
  <si>
    <t>U3-7A-07 / 2P 30A</t>
    <phoneticPr fontId="13" type="noConversion"/>
  </si>
  <si>
    <t>U3-7B-07 / 2P 30A</t>
    <phoneticPr fontId="13" type="noConversion"/>
  </si>
  <si>
    <t>A504</t>
    <phoneticPr fontId="13" type="noConversion"/>
  </si>
  <si>
    <t>242 BAY</t>
  </si>
  <si>
    <t>U3-7A-09 / 2P 30A</t>
    <phoneticPr fontId="13" type="noConversion"/>
  </si>
  <si>
    <t>U3-7B-09 / 2P 30A</t>
    <phoneticPr fontId="13" type="noConversion"/>
  </si>
  <si>
    <t>A503</t>
    <phoneticPr fontId="13" type="noConversion"/>
  </si>
  <si>
    <t>243 BAY</t>
  </si>
  <si>
    <t>243B_코위버CWDM</t>
  </si>
  <si>
    <t>IPD A-4-28 / 50A</t>
    <phoneticPr fontId="13" type="noConversion"/>
  </si>
  <si>
    <t>IPD B-4-28 / 50A</t>
    <phoneticPr fontId="13" type="noConversion"/>
  </si>
  <si>
    <t>A502</t>
    <phoneticPr fontId="13" type="noConversion"/>
  </si>
  <si>
    <t>244 BAY</t>
  </si>
  <si>
    <t>244B_코위버CWDM</t>
  </si>
  <si>
    <t>IPD A-4-26 / 50A</t>
    <phoneticPr fontId="13" type="noConversion"/>
  </si>
  <si>
    <t>IPD B-4-26 / 50A</t>
    <phoneticPr fontId="13" type="noConversion"/>
  </si>
  <si>
    <t>3열</t>
  </si>
  <si>
    <t>C310</t>
    <phoneticPr fontId="13" type="noConversion"/>
  </si>
  <si>
    <t>301 BAY</t>
  </si>
  <si>
    <t>U3-7A-30 / 2P 30A</t>
    <phoneticPr fontId="13" type="noConversion"/>
  </si>
  <si>
    <t>U3-7B-30 / 2P 30A</t>
    <phoneticPr fontId="13" type="noConversion"/>
  </si>
  <si>
    <t>LV-7B #06 / 3P 320A
(U7-6B)</t>
    <phoneticPr fontId="13" type="noConversion"/>
  </si>
  <si>
    <t>C309</t>
    <phoneticPr fontId="13" type="noConversion"/>
  </si>
  <si>
    <t>302 BAY</t>
  </si>
  <si>
    <t>302B_SKB</t>
    <phoneticPr fontId="13" type="noConversion"/>
  </si>
  <si>
    <t>A-1</t>
  </si>
  <si>
    <t>B-1</t>
  </si>
  <si>
    <t>IPD A-1-23 / 100A</t>
    <phoneticPr fontId="13" type="noConversion"/>
  </si>
  <si>
    <t>IPD B-1-23 / 100A</t>
    <phoneticPr fontId="13" type="noConversion"/>
  </si>
  <si>
    <t>IPD A-1</t>
    <phoneticPr fontId="13" type="noConversion"/>
  </si>
  <si>
    <t>IPD B-1</t>
    <phoneticPr fontId="13" type="noConversion"/>
  </si>
  <si>
    <t>C308</t>
    <phoneticPr fontId="13" type="noConversion"/>
  </si>
  <si>
    <t>303 BAY</t>
  </si>
  <si>
    <t>303B_NDCS</t>
  </si>
  <si>
    <t>IPD A-1-18 / 100A</t>
    <phoneticPr fontId="13" type="noConversion"/>
  </si>
  <si>
    <t>IPD B-1-18 / 100A</t>
    <phoneticPr fontId="13" type="noConversion"/>
  </si>
  <si>
    <t>C307</t>
    <phoneticPr fontId="13" type="noConversion"/>
  </si>
  <si>
    <t>304 BAY</t>
  </si>
  <si>
    <t>304B_KT장비</t>
  </si>
  <si>
    <t>IPD A-1-21 / 50A</t>
    <phoneticPr fontId="13" type="noConversion"/>
  </si>
  <si>
    <t>IPD B-1-21 / 50A</t>
    <phoneticPr fontId="13" type="noConversion"/>
  </si>
  <si>
    <t>KT장비</t>
  </si>
  <si>
    <t>C306</t>
    <phoneticPr fontId="13" type="noConversion"/>
  </si>
  <si>
    <t>305 BAY</t>
  </si>
  <si>
    <t>305B_LGU+장비</t>
  </si>
  <si>
    <t>IPD A-1-57 / 50A</t>
    <phoneticPr fontId="13" type="noConversion"/>
  </si>
  <si>
    <t>IPD B-1-57 / 50A</t>
    <phoneticPr fontId="13" type="noConversion"/>
  </si>
  <si>
    <t>LGU+장비</t>
  </si>
  <si>
    <t>C305</t>
    <phoneticPr fontId="13" type="noConversion"/>
  </si>
  <si>
    <t>306 BAY</t>
  </si>
  <si>
    <t>306B_SKB장비</t>
  </si>
  <si>
    <t>IPD A-1-07 / 100A</t>
    <phoneticPr fontId="13" type="noConversion"/>
  </si>
  <si>
    <t>IPD B-1-07 / 100A</t>
    <phoneticPr fontId="13" type="noConversion"/>
  </si>
  <si>
    <t>SKB장비</t>
  </si>
  <si>
    <t>C304</t>
    <phoneticPr fontId="13" type="noConversion"/>
  </si>
  <si>
    <t>307 BAY</t>
  </si>
  <si>
    <t>LGU+PDP</t>
    <phoneticPr fontId="13" type="noConversion"/>
  </si>
  <si>
    <t>IPD A-1-24 / 100A</t>
    <phoneticPr fontId="13" type="noConversion"/>
  </si>
  <si>
    <t>IPD B-1-24 / 100A</t>
    <phoneticPr fontId="13" type="noConversion"/>
  </si>
  <si>
    <t>LGU+ POP 장비</t>
    <phoneticPr fontId="13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</si>
  <si>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</si>
  <si>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</si>
  <si>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</si>
  <si>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</si>
  <si>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</si>
  <si>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</si>
  <si>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</si>
  <si>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</si>
  <si>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3" type="noConversion"/>
  </si>
  <si>
    <t>313 BAY</t>
  </si>
  <si>
    <t>U3-7A-28 / 2P 30A</t>
    <phoneticPr fontId="13" type="noConversion"/>
  </si>
  <si>
    <t>U3-7B-28 / 2P 30A</t>
    <phoneticPr fontId="13" type="noConversion"/>
  </si>
  <si>
    <t>전기투입 : '22.02.24</t>
    <phoneticPr fontId="13" type="noConversion"/>
  </si>
  <si>
    <t>DEKR Networks Cabinet('22.02.09)</t>
    <phoneticPr fontId="13" type="noConversion"/>
  </si>
  <si>
    <t>B420</t>
    <phoneticPr fontId="13" type="noConversion"/>
  </si>
  <si>
    <t>314 BAY</t>
  </si>
  <si>
    <t>U3-7A-26 / 2P 30A</t>
    <phoneticPr fontId="13" type="noConversion"/>
  </si>
  <si>
    <t>U3-7B-26 / 2P 30A</t>
    <phoneticPr fontId="13" type="noConversion"/>
  </si>
  <si>
    <t>전기투입 : '22.02.24</t>
  </si>
  <si>
    <t>DEKR Networks Cabinet('22.02.09)</t>
  </si>
  <si>
    <t>B419</t>
    <phoneticPr fontId="13" type="noConversion"/>
  </si>
  <si>
    <t>315 BAY</t>
  </si>
  <si>
    <t>U3-7A-24 / 2P 30A</t>
    <phoneticPr fontId="13" type="noConversion"/>
  </si>
  <si>
    <t>U3-7B-24 / 2P 30A</t>
    <phoneticPr fontId="13" type="noConversion"/>
  </si>
  <si>
    <t>B418</t>
    <phoneticPr fontId="13" type="noConversion"/>
  </si>
  <si>
    <t>316 BAY</t>
  </si>
  <si>
    <t>U3-7A-22 / 2P 30A</t>
    <phoneticPr fontId="13" type="noConversion"/>
  </si>
  <si>
    <t>U3-7B-22 / 2P 30A</t>
    <phoneticPr fontId="13" type="noConversion"/>
  </si>
  <si>
    <t>B417</t>
    <phoneticPr fontId="13" type="noConversion"/>
  </si>
  <si>
    <t>317 BAY</t>
  </si>
  <si>
    <t>U3-7A-20 / 2P 30A</t>
    <phoneticPr fontId="13" type="noConversion"/>
  </si>
  <si>
    <t>U3-7B-20 / 2P 30A</t>
    <phoneticPr fontId="13" type="noConversion"/>
  </si>
  <si>
    <t>B416</t>
    <phoneticPr fontId="13" type="noConversion"/>
  </si>
  <si>
    <t>318 BAY</t>
  </si>
  <si>
    <t>U3-7A-18 / 2P 30A</t>
    <phoneticPr fontId="13" type="noConversion"/>
  </si>
  <si>
    <t>U3-7B-18 / 2P 30A</t>
    <phoneticPr fontId="13" type="noConversion"/>
  </si>
  <si>
    <t>B415</t>
    <phoneticPr fontId="13" type="noConversion"/>
  </si>
  <si>
    <t>B411</t>
    <phoneticPr fontId="13" type="noConversion"/>
  </si>
  <si>
    <t>322 BAY</t>
  </si>
  <si>
    <t>U3-7A-29 / 2P 30A</t>
    <phoneticPr fontId="13" type="noConversion"/>
  </si>
  <si>
    <t>PTN 7200 UTP PATCH 예정</t>
  </si>
  <si>
    <t>B410</t>
    <phoneticPr fontId="13" type="noConversion"/>
  </si>
  <si>
    <t>323 BAY</t>
  </si>
  <si>
    <t>B409</t>
    <phoneticPr fontId="13" type="noConversion"/>
  </si>
  <si>
    <t>324 BAY</t>
  </si>
  <si>
    <t>B408</t>
    <phoneticPr fontId="13" type="noConversion"/>
  </si>
  <si>
    <t>325 BAY</t>
  </si>
  <si>
    <t>325B_코위버CWDM</t>
  </si>
  <si>
    <t>IPD A-3-59 / 100A</t>
    <phoneticPr fontId="13" type="noConversion"/>
  </si>
  <si>
    <t>IPD B-3-59 / 100A</t>
    <phoneticPr fontId="13" type="noConversion"/>
  </si>
  <si>
    <t>2012.02.09 설치</t>
  </si>
  <si>
    <t>B407</t>
    <phoneticPr fontId="13" type="noConversion"/>
  </si>
  <si>
    <t>326 BAY</t>
  </si>
  <si>
    <t>326B_코위버1664</t>
  </si>
  <si>
    <t>IPD A-3-23 / 35A</t>
    <phoneticPr fontId="13" type="noConversion"/>
  </si>
  <si>
    <t>IPD B-3-24 / 35A</t>
    <phoneticPr fontId="13" type="noConversion"/>
  </si>
  <si>
    <t>B406</t>
    <phoneticPr fontId="13" type="noConversion"/>
  </si>
  <si>
    <t>327 BAY</t>
  </si>
  <si>
    <t>327B_ZTE385</t>
  </si>
  <si>
    <t>IPD A-3-17 / 50A</t>
    <phoneticPr fontId="13" type="noConversion"/>
  </si>
  <si>
    <t>IPD B-3-17 / 50A</t>
    <phoneticPr fontId="13" type="noConversion"/>
  </si>
  <si>
    <t>B405</t>
    <phoneticPr fontId="13" type="noConversion"/>
  </si>
  <si>
    <t>328 BAY</t>
  </si>
  <si>
    <t>328B_ZTE385</t>
  </si>
  <si>
    <t>IPD A-3-16 / 50A</t>
    <phoneticPr fontId="13" type="noConversion"/>
  </si>
  <si>
    <t>IPD B-3-16 / 50A</t>
    <phoneticPr fontId="13" type="noConversion"/>
  </si>
  <si>
    <t>B404</t>
    <phoneticPr fontId="13" type="noConversion"/>
  </si>
  <si>
    <t>329 BAY</t>
  </si>
  <si>
    <t>329B_ZTE385</t>
  </si>
  <si>
    <t>IPD A-3-15 / 50A</t>
    <phoneticPr fontId="13" type="noConversion"/>
  </si>
  <si>
    <t>IPD B-3-15 / 50A</t>
    <phoneticPr fontId="13" type="noConversion"/>
  </si>
  <si>
    <t>B403</t>
    <phoneticPr fontId="13" type="noConversion"/>
  </si>
  <si>
    <t>330 BAY</t>
  </si>
  <si>
    <t>코위버 ROADM</t>
    <phoneticPr fontId="13" type="noConversion"/>
  </si>
  <si>
    <t>IPD A-3-28 / 100A</t>
    <phoneticPr fontId="13" type="noConversion"/>
  </si>
  <si>
    <t>IPD B-3-28 / 100A</t>
    <phoneticPr fontId="13" type="noConversion"/>
  </si>
  <si>
    <t>2022.02.10 전기구성</t>
    <phoneticPr fontId="13" type="noConversion"/>
  </si>
  <si>
    <t>B402</t>
    <phoneticPr fontId="13" type="noConversion"/>
  </si>
  <si>
    <t>331 BAY</t>
  </si>
  <si>
    <t>IPD A-3-60 / 100A</t>
    <phoneticPr fontId="13" type="noConversion"/>
  </si>
  <si>
    <t>IPD B-3-60 / 100A</t>
    <phoneticPr fontId="13" type="noConversion"/>
  </si>
  <si>
    <t>A411</t>
    <phoneticPr fontId="13" type="noConversion"/>
  </si>
  <si>
    <t>334 BAY</t>
  </si>
  <si>
    <t>334B_CN4200</t>
  </si>
  <si>
    <t>IPD A-4-54 / 35A</t>
    <phoneticPr fontId="13" type="noConversion"/>
  </si>
  <si>
    <t>IPD B-4-54 / 35A</t>
    <phoneticPr fontId="13" type="noConversion"/>
  </si>
  <si>
    <t>A410</t>
    <phoneticPr fontId="13" type="noConversion"/>
  </si>
  <si>
    <t>335 BAY</t>
  </si>
  <si>
    <t>335B_CN4200</t>
  </si>
  <si>
    <t>IPD A-4-46 / 50A</t>
    <phoneticPr fontId="13" type="noConversion"/>
  </si>
  <si>
    <t>IPD B-4-49 / 50A</t>
    <phoneticPr fontId="13" type="noConversion"/>
  </si>
  <si>
    <t>A409</t>
    <phoneticPr fontId="13" type="noConversion"/>
  </si>
  <si>
    <t>336 BAY</t>
  </si>
  <si>
    <t>336B_CN4200</t>
  </si>
  <si>
    <t>IPD A-4-50 / 35A</t>
    <phoneticPr fontId="13" type="noConversion"/>
  </si>
  <si>
    <t>IPD B-4-50 / 35A</t>
    <phoneticPr fontId="13" type="noConversion"/>
  </si>
  <si>
    <t>A408</t>
    <phoneticPr fontId="13" type="noConversion"/>
  </si>
  <si>
    <t>337 BAY</t>
  </si>
  <si>
    <t>IPD A-4-44 / 35A</t>
    <phoneticPr fontId="13" type="noConversion"/>
  </si>
  <si>
    <t>IPD B-4-48 / 35A</t>
    <phoneticPr fontId="13" type="noConversion"/>
  </si>
  <si>
    <t>U3-7B-08 / 2P 30A</t>
    <phoneticPr fontId="13" type="noConversion"/>
  </si>
  <si>
    <t>A407</t>
    <phoneticPr fontId="13" type="noConversion"/>
  </si>
  <si>
    <t>338 BAY</t>
  </si>
  <si>
    <t>IPD A-4-43 / 35A</t>
    <phoneticPr fontId="13" type="noConversion"/>
  </si>
  <si>
    <t>IPD B-4-47 / 50A</t>
    <phoneticPr fontId="13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</si>
  <si>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</si>
  <si>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</si>
  <si>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</si>
  <si>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</si>
  <si>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3" type="noConversion"/>
  </si>
  <si>
    <t>340Bay에서 1개 전원 인출사용 중</t>
    <phoneticPr fontId="13" type="noConversion"/>
  </si>
  <si>
    <t>A406</t>
    <phoneticPr fontId="13" type="noConversion"/>
  </si>
  <si>
    <t>339 BAY</t>
  </si>
  <si>
    <t>339B_CN4200</t>
  </si>
  <si>
    <t>IPD B-4-46 / 35A</t>
    <phoneticPr fontId="13" type="noConversion"/>
  </si>
  <si>
    <t>IPD A-4-42 / 35A</t>
    <phoneticPr fontId="13" type="noConversion"/>
  </si>
  <si>
    <t>A405</t>
    <phoneticPr fontId="13" type="noConversion"/>
  </si>
  <si>
    <t>340 BAY</t>
  </si>
  <si>
    <t>UPS A1-25 / 2P 20A</t>
    <phoneticPr fontId="13" type="noConversion"/>
  </si>
  <si>
    <t>UPS A1-20 / 2P 30A</t>
    <phoneticPr fontId="13" type="noConversion"/>
  </si>
  <si>
    <t>UPS 출력분전반 A1 #25</t>
    <phoneticPr fontId="13" type="noConversion"/>
  </si>
  <si>
    <t>UPS 출력분전반 A1 #20</t>
    <phoneticPr fontId="13" type="noConversion"/>
  </si>
  <si>
    <t>UPS 출력
분전반A1,
4P 400A</t>
    <phoneticPr fontId="13" type="noConversion"/>
  </si>
  <si>
    <t>UPS 출력
분전반A, #01
4P 225A</t>
    <phoneticPr fontId="13" type="noConversion"/>
  </si>
  <si>
    <t>UPS 출력
배전반A,
4P 400A</t>
  </si>
  <si>
    <t>인터넷운영팀 MAN Rack #2, A &amp; B전원</t>
    <phoneticPr fontId="13" type="noConversion"/>
  </si>
  <si>
    <t>A404</t>
    <phoneticPr fontId="13" type="noConversion"/>
  </si>
  <si>
    <t>341 BAY</t>
  </si>
  <si>
    <t>UPS A1-40 / 2P 30A</t>
    <phoneticPr fontId="13" type="noConversion"/>
  </si>
  <si>
    <t>UPS B1-38 / 2P 30A</t>
    <phoneticPr fontId="13" type="noConversion"/>
  </si>
  <si>
    <t>UPS 출력분전반 A1 #40</t>
    <phoneticPr fontId="13" type="noConversion"/>
  </si>
  <si>
    <t>UPS 출력분전반 B1 #38</t>
    <phoneticPr fontId="13" type="noConversion"/>
  </si>
  <si>
    <t>UPS 출력
분전반B1,
4P 400A</t>
    <phoneticPr fontId="13" type="noConversion"/>
  </si>
  <si>
    <t>UPS 출력
분전반B, #02
3P 150A</t>
    <phoneticPr fontId="13" type="noConversion"/>
  </si>
  <si>
    <t>UPS 출력
분전반B
4P 400A</t>
    <phoneticPr fontId="13" type="noConversion"/>
  </si>
  <si>
    <t>인터넷팀 장비(MAN POP)</t>
    <phoneticPr fontId="13" type="noConversion"/>
  </si>
  <si>
    <t>A403</t>
    <phoneticPr fontId="13" type="noConversion"/>
  </si>
  <si>
    <t>342 BAY</t>
  </si>
  <si>
    <t>U3-7B-03 / 2P 30A</t>
    <phoneticPr fontId="13" type="noConversion"/>
  </si>
  <si>
    <t>U3-7A-05 / 2P 30A</t>
    <phoneticPr fontId="13" type="noConversion"/>
  </si>
  <si>
    <t>A402</t>
    <phoneticPr fontId="13" type="noConversion"/>
  </si>
  <si>
    <t>343 BAY</t>
  </si>
  <si>
    <t>IPD A-4-41 / 50A</t>
    <phoneticPr fontId="13" type="noConversion"/>
  </si>
  <si>
    <t>IPD B-4-41 / 50A</t>
    <phoneticPr fontId="13" type="noConversion"/>
  </si>
  <si>
    <t>DC 전원 미사용</t>
  </si>
  <si>
    <t>U3-7A-05 / 2P 30A (342Bay 인출)</t>
    <phoneticPr fontId="13" type="noConversion"/>
  </si>
  <si>
    <t>342Bay에서 1개 전원 인출사용 중</t>
    <phoneticPr fontId="13" type="noConversion"/>
  </si>
  <si>
    <t>4열</t>
  </si>
  <si>
    <t>C208</t>
    <phoneticPr fontId="13" type="noConversion"/>
  </si>
  <si>
    <t>403 BAY</t>
  </si>
  <si>
    <t>라벨 없음(B1 PNL에서 인출 추정)</t>
    <phoneticPr fontId="13" type="noConversion"/>
  </si>
  <si>
    <t>C207</t>
    <phoneticPr fontId="13" type="noConversion"/>
  </si>
  <si>
    <t>404 BAY</t>
  </si>
  <si>
    <t>C206</t>
    <phoneticPr fontId="13" type="noConversion"/>
  </si>
  <si>
    <t>405 BAY</t>
  </si>
  <si>
    <t>UPS B1-09 / 2P 20A</t>
    <phoneticPr fontId="13" type="noConversion"/>
  </si>
  <si>
    <t>U3-7A-08 / 2P 30A</t>
    <phoneticPr fontId="13" type="noConversion"/>
  </si>
  <si>
    <t>UPS 출력분전반 B1 #09</t>
    <phoneticPr fontId="13" type="noConversion"/>
  </si>
  <si>
    <t>C205</t>
    <phoneticPr fontId="13" type="noConversion"/>
  </si>
  <si>
    <t>406 BAY</t>
  </si>
  <si>
    <t>IPD A-1-43 / 35A</t>
    <phoneticPr fontId="13" type="noConversion"/>
  </si>
  <si>
    <t>IPD B-1-05 / 35A</t>
    <phoneticPr fontId="13" type="noConversion"/>
  </si>
  <si>
    <t>UPS A1-08 / 2P 30A</t>
    <phoneticPr fontId="13" type="noConversion"/>
  </si>
  <si>
    <t>UPS B1-13 / 2P 20A</t>
    <phoneticPr fontId="13" type="noConversion"/>
  </si>
  <si>
    <t>UPS 출력분전반 A1 #08</t>
    <phoneticPr fontId="13" type="noConversion"/>
  </si>
  <si>
    <t>UPS 출력분전반 B1 #13</t>
    <phoneticPr fontId="13" type="noConversion"/>
  </si>
  <si>
    <t>C204</t>
    <phoneticPr fontId="13" type="noConversion"/>
  </si>
  <si>
    <t>407 BAY</t>
  </si>
  <si>
    <t>IPD A-1-44 / 35A</t>
    <phoneticPr fontId="13" type="noConversion"/>
  </si>
  <si>
    <t>IPD B-1-06 / 35A</t>
    <phoneticPr fontId="13" type="noConversion"/>
  </si>
  <si>
    <t>UPS A1-10 / 2P 30A</t>
    <phoneticPr fontId="13" type="noConversion"/>
  </si>
  <si>
    <t>UPS B1-15 / 2P 20A</t>
    <phoneticPr fontId="13" type="noConversion"/>
  </si>
  <si>
    <t>UPS 출력분전반 A1 #10</t>
    <phoneticPr fontId="13" type="noConversion"/>
  </si>
  <si>
    <t>UPS 출력분전반 B1 #15</t>
    <phoneticPr fontId="13" type="noConversion"/>
  </si>
  <si>
    <t>C203</t>
    <phoneticPr fontId="13" type="noConversion"/>
  </si>
  <si>
    <t>408 BAY</t>
  </si>
  <si>
    <t>UPS A1-12 / 2P 30A</t>
    <phoneticPr fontId="13" type="noConversion"/>
  </si>
  <si>
    <t>UPS B1-17 / 2P 20A</t>
    <phoneticPr fontId="13" type="noConversion"/>
  </si>
  <si>
    <t>UPS 출력분전반 A1 #12</t>
    <phoneticPr fontId="13" type="noConversion"/>
  </si>
  <si>
    <t>UPS 출력분전반 B1 #17</t>
    <phoneticPr fontId="13" type="noConversion"/>
  </si>
  <si>
    <t>C202</t>
    <phoneticPr fontId="13" type="noConversion"/>
  </si>
  <si>
    <t>409 BAY</t>
  </si>
  <si>
    <t>UPS A1-12 / 2P 30A (408Bay 인출)</t>
    <phoneticPr fontId="13" type="noConversion"/>
  </si>
  <si>
    <t>UPS B1-17 / 2P 20A (408Bay 인출)</t>
    <phoneticPr fontId="13" type="noConversion"/>
  </si>
  <si>
    <t>408Bay에서 멀티탭 2개 연결 사용 중</t>
    <phoneticPr fontId="13" type="noConversion"/>
  </si>
  <si>
    <t>C201</t>
    <phoneticPr fontId="13" type="noConversion"/>
  </si>
  <si>
    <t>410 BAY</t>
  </si>
  <si>
    <t>UPS A1-32 / 2P 30A</t>
    <phoneticPr fontId="13" type="noConversion"/>
  </si>
  <si>
    <t>UPS B1-26 / 2P 30A</t>
    <phoneticPr fontId="13" type="noConversion"/>
  </si>
  <si>
    <t>UPS 출력분전반 A1 #32</t>
    <phoneticPr fontId="13" type="noConversion"/>
  </si>
  <si>
    <t>UPS 출력분전반 B1 #26</t>
    <phoneticPr fontId="13" type="noConversion"/>
  </si>
  <si>
    <t>UPS 출력분전반B
4P 400A</t>
  </si>
  <si>
    <t>PBX 교환기</t>
    <phoneticPr fontId="13" type="noConversion"/>
  </si>
  <si>
    <t>B323</t>
    <phoneticPr fontId="13" type="noConversion"/>
  </si>
  <si>
    <t>413 BAY</t>
  </si>
  <si>
    <t>U3-7A-08 / 2P 30A (405Bay 인출)</t>
    <phoneticPr fontId="13" type="noConversion"/>
  </si>
  <si>
    <t>7F-5F UTP PATCH</t>
  </si>
  <si>
    <t>405Bay에서 1회로 연결 사용 중</t>
    <phoneticPr fontId="13" type="noConversion"/>
  </si>
  <si>
    <t>B322</t>
    <phoneticPr fontId="13" type="noConversion"/>
  </si>
  <si>
    <t>414 BAY</t>
  </si>
  <si>
    <t>414B_드림라인</t>
  </si>
  <si>
    <t>IPD A-2-10 / 35A</t>
    <phoneticPr fontId="13" type="noConversion"/>
  </si>
  <si>
    <t>IPD B-2-10 / 35A</t>
    <phoneticPr fontId="13" type="noConversion"/>
  </si>
  <si>
    <t>드림라인 장비</t>
  </si>
  <si>
    <t>B320</t>
    <phoneticPr fontId="13" type="noConversion"/>
  </si>
  <si>
    <t>415 BAY</t>
  </si>
  <si>
    <t>415B_Patch</t>
  </si>
  <si>
    <t>X</t>
  </si>
  <si>
    <t>7F-5F OJC PATCH</t>
  </si>
  <si>
    <t>B319</t>
    <phoneticPr fontId="13" type="noConversion"/>
  </si>
  <si>
    <t>416 BAY</t>
  </si>
  <si>
    <t>416B_Patch</t>
  </si>
  <si>
    <t>B317</t>
    <phoneticPr fontId="13" type="noConversion"/>
  </si>
  <si>
    <t>418 BAY</t>
  </si>
  <si>
    <t>418B_SKB장비</t>
  </si>
  <si>
    <t>IPD A-2-49 / 35A</t>
    <phoneticPr fontId="13" type="noConversion"/>
  </si>
  <si>
    <t>IPD B-2-49 / 35A</t>
    <phoneticPr fontId="13" type="noConversion"/>
  </si>
  <si>
    <t>B316</t>
    <phoneticPr fontId="13" type="noConversion"/>
  </si>
  <si>
    <t>419 BAY</t>
  </si>
  <si>
    <t>IPD A-2-52 / 35A</t>
    <phoneticPr fontId="13" type="noConversion"/>
  </si>
  <si>
    <t>IPD B-2-52 / 35A</t>
    <phoneticPr fontId="13" type="noConversion"/>
  </si>
  <si>
    <t>1회로 사용(차단기 정보 조사 실패</t>
    <phoneticPr fontId="13" type="noConversion"/>
  </si>
  <si>
    <t>1회로. 차단기 정보 파악 불가</t>
    <phoneticPr fontId="13" type="noConversion"/>
  </si>
  <si>
    <t>B315</t>
    <phoneticPr fontId="13" type="noConversion"/>
  </si>
  <si>
    <t>420 BAY</t>
  </si>
  <si>
    <t>420B_DOTS</t>
  </si>
  <si>
    <t>IPD A-3-53 / 35A</t>
    <phoneticPr fontId="13" type="noConversion"/>
  </si>
  <si>
    <t>IPD B-3-52 / 35A</t>
    <phoneticPr fontId="13" type="noConversion"/>
  </si>
  <si>
    <t>B310</t>
    <phoneticPr fontId="13" type="noConversion"/>
  </si>
  <si>
    <t>423 BAY</t>
  </si>
  <si>
    <t>423B_코위버1664</t>
  </si>
  <si>
    <t>IPD A-3-26 / 50A</t>
    <phoneticPr fontId="13" type="noConversion"/>
  </si>
  <si>
    <t>IPD B-3-26 / 50A</t>
    <phoneticPr fontId="13" type="noConversion"/>
  </si>
  <si>
    <t>B309</t>
    <phoneticPr fontId="13" type="noConversion"/>
  </si>
  <si>
    <t>424 BAY</t>
  </si>
  <si>
    <t>424B_ZTE385</t>
  </si>
  <si>
    <t>IPD A-3-27 / 50A</t>
    <phoneticPr fontId="13" type="noConversion"/>
  </si>
  <si>
    <t>IPD B-3-27 / 50A</t>
    <phoneticPr fontId="13" type="noConversion"/>
  </si>
  <si>
    <t>B308</t>
    <phoneticPr fontId="13" type="noConversion"/>
  </si>
  <si>
    <t>425 BAY</t>
  </si>
  <si>
    <t>425B_ZTE POTN</t>
  </si>
  <si>
    <t>IPD A-3-42 / 50A</t>
    <phoneticPr fontId="13" type="noConversion"/>
  </si>
  <si>
    <t>IPD B-3-42 / 50A</t>
    <phoneticPr fontId="13" type="noConversion"/>
  </si>
  <si>
    <t>IPD 2개</t>
  </si>
  <si>
    <t>IPD A-3-43 / 50A</t>
    <phoneticPr fontId="13" type="noConversion"/>
  </si>
  <si>
    <t>IPD B-3-43 / 50A</t>
    <phoneticPr fontId="13" type="noConversion"/>
  </si>
  <si>
    <t>B307</t>
    <phoneticPr fontId="13" type="noConversion"/>
  </si>
  <si>
    <t>426 BAY</t>
  </si>
  <si>
    <t>426B_ZTE POTN</t>
  </si>
  <si>
    <t>IPD A-3-01 / 100A</t>
    <phoneticPr fontId="13" type="noConversion"/>
  </si>
  <si>
    <t>IPD B-3-01 / 100A</t>
    <phoneticPr fontId="13" type="noConversion"/>
  </si>
  <si>
    <t>IPD A-3-02 / 100A</t>
    <phoneticPr fontId="13" type="noConversion"/>
  </si>
  <si>
    <t>IPD B-3-02 / 100A</t>
    <phoneticPr fontId="13" type="noConversion"/>
  </si>
  <si>
    <t>IPD A-3-03 / 50A</t>
    <phoneticPr fontId="13" type="noConversion"/>
  </si>
  <si>
    <t>IPD B-3-03 / 50A</t>
    <phoneticPr fontId="13" type="noConversion"/>
  </si>
  <si>
    <t>B306</t>
    <phoneticPr fontId="13" type="noConversion"/>
  </si>
  <si>
    <t>427 BAY</t>
  </si>
  <si>
    <t>427B_ZTE POTN</t>
  </si>
  <si>
    <t>IPD A-3-57 / 50A</t>
    <phoneticPr fontId="13" type="noConversion"/>
  </si>
  <si>
    <t>IPD B-3-57 / 50A</t>
    <phoneticPr fontId="13" type="noConversion"/>
  </si>
  <si>
    <t>IPD A-3-58 / 50A</t>
    <phoneticPr fontId="13" type="noConversion"/>
  </si>
  <si>
    <t>IPD B-3-58 / 50A</t>
    <phoneticPr fontId="13" type="noConversion"/>
  </si>
  <si>
    <t>A310</t>
    <phoneticPr fontId="13" type="noConversion"/>
  </si>
  <si>
    <t>436 BAY</t>
  </si>
  <si>
    <t>436B_코위버P7200</t>
  </si>
  <si>
    <t>IPD A-4-03 / 100A</t>
    <phoneticPr fontId="13" type="noConversion"/>
  </si>
  <si>
    <t>IPD B-4-03 / 100A</t>
    <phoneticPr fontId="13" type="noConversion"/>
  </si>
  <si>
    <t>A309</t>
    <phoneticPr fontId="13" type="noConversion"/>
  </si>
  <si>
    <t>437 BAY</t>
  </si>
  <si>
    <t>437B(上)_코위버P7200</t>
    <phoneticPr fontId="13" type="noConversion"/>
  </si>
  <si>
    <t>IPD A-4-29 / 100A</t>
    <phoneticPr fontId="13" type="noConversion"/>
  </si>
  <si>
    <t>IPD B-4-29 / 100A</t>
    <phoneticPr fontId="13" type="noConversion"/>
  </si>
  <si>
    <t>코위버P7200</t>
    <phoneticPr fontId="13" type="noConversion"/>
  </si>
  <si>
    <t>437B(下)_텔레필드_FM700</t>
    <phoneticPr fontId="13" type="noConversion"/>
  </si>
  <si>
    <t>IPD A-4-34 / 35A</t>
    <phoneticPr fontId="13" type="noConversion"/>
  </si>
  <si>
    <t>IPD B-4-34 / 35A</t>
    <phoneticPr fontId="13" type="noConversion"/>
  </si>
  <si>
    <t>텔레필드_FM700</t>
    <phoneticPr fontId="13" type="noConversion"/>
  </si>
  <si>
    <t>2021/06/10 전원신규 구성 및 투입</t>
    <phoneticPr fontId="13" type="noConversion"/>
  </si>
  <si>
    <t>A308</t>
    <phoneticPr fontId="13" type="noConversion"/>
  </si>
  <si>
    <t>439 BAY</t>
  </si>
  <si>
    <t>439B_CN6500</t>
  </si>
  <si>
    <t>IPD B-4-30 / 100A</t>
    <phoneticPr fontId="13" type="noConversion"/>
  </si>
  <si>
    <t>IPD A-4-30 / 100A</t>
    <phoneticPr fontId="13" type="noConversion"/>
  </si>
  <si>
    <t>A307</t>
    <phoneticPr fontId="13" type="noConversion"/>
  </si>
  <si>
    <t>440 BAY</t>
  </si>
  <si>
    <t>440B_CN6500</t>
  </si>
  <si>
    <t>IPD B-4-31 / 100A</t>
    <phoneticPr fontId="13" type="noConversion"/>
  </si>
  <si>
    <t>IPD A-4-31 / 100A</t>
    <phoneticPr fontId="13" type="noConversion"/>
  </si>
  <si>
    <t>441 BAY</t>
  </si>
  <si>
    <t>442 BAY</t>
  </si>
  <si>
    <t>443 BAY</t>
  </si>
  <si>
    <t>5열</t>
  </si>
  <si>
    <t>C110</t>
    <phoneticPr fontId="13" type="noConversion"/>
  </si>
  <si>
    <t>501 BAY</t>
  </si>
  <si>
    <t>501B_LGU+장비</t>
  </si>
  <si>
    <t>IPD A-1-19 / 100A</t>
    <phoneticPr fontId="13" type="noConversion"/>
  </si>
  <si>
    <t>IPD B-1-19 / 100A</t>
    <phoneticPr fontId="13" type="noConversion"/>
  </si>
  <si>
    <t>C109</t>
    <phoneticPr fontId="13" type="noConversion"/>
  </si>
  <si>
    <t>502 BAY</t>
  </si>
  <si>
    <t>502B_KT장비</t>
  </si>
  <si>
    <t>IPD A-1-56 / 50A</t>
    <phoneticPr fontId="13" type="noConversion"/>
  </si>
  <si>
    <t>IPD B-1-56 / 50A</t>
    <phoneticPr fontId="13" type="noConversion"/>
  </si>
  <si>
    <t>C108</t>
    <phoneticPr fontId="13" type="noConversion"/>
  </si>
  <si>
    <t>503 BAY</t>
  </si>
  <si>
    <t>503B_KT장비</t>
  </si>
  <si>
    <t>IPD A-1-17 / 50A</t>
    <phoneticPr fontId="13" type="noConversion"/>
  </si>
  <si>
    <t>IPD B-1-17 / 50A</t>
    <phoneticPr fontId="13" type="noConversion"/>
  </si>
  <si>
    <t>C107</t>
    <phoneticPr fontId="13" type="noConversion"/>
  </si>
  <si>
    <t>504 BAY</t>
  </si>
  <si>
    <t>504B_KT장비</t>
  </si>
  <si>
    <t>IPD B-1-16 / 35A</t>
    <phoneticPr fontId="13" type="noConversion"/>
  </si>
  <si>
    <t>IPD A-1-16 / 35A</t>
    <phoneticPr fontId="13" type="noConversion"/>
  </si>
  <si>
    <t>505 BAY</t>
  </si>
  <si>
    <t>C105</t>
    <phoneticPr fontId="13" type="noConversion"/>
  </si>
  <si>
    <t>506 BAY</t>
  </si>
  <si>
    <t>506B_KT장비</t>
  </si>
  <si>
    <t>11(1)</t>
  </si>
  <si>
    <t>14(1)</t>
  </si>
  <si>
    <t>IPD A-1-11(1) / 35A</t>
    <phoneticPr fontId="13" type="noConversion"/>
  </si>
  <si>
    <t>IPD B-1-14(1) / 35A</t>
    <phoneticPr fontId="13" type="noConversion"/>
  </si>
  <si>
    <t>15(2)</t>
  </si>
  <si>
    <t>IPD A-1-15(2) / 35A</t>
    <phoneticPr fontId="13" type="noConversion"/>
  </si>
  <si>
    <t>IPD B-1-15(2) / 35A</t>
    <phoneticPr fontId="13" type="noConversion"/>
  </si>
  <si>
    <t>C104</t>
    <phoneticPr fontId="13" type="noConversion"/>
  </si>
  <si>
    <t>507 BAY</t>
  </si>
  <si>
    <t>IPD A-1-20 / 50A</t>
    <phoneticPr fontId="13" type="noConversion"/>
  </si>
  <si>
    <t>IPD B-1-20 / 50A</t>
    <phoneticPr fontId="13" type="noConversion"/>
  </si>
  <si>
    <t>미상(A-E1 ??)</t>
    <phoneticPr fontId="13" type="noConversion"/>
  </si>
  <si>
    <t>미상(UPS분전반(B) / E-20 ??)</t>
    <phoneticPr fontId="13" type="noConversion"/>
  </si>
  <si>
    <t>랙 상부 위치 / 미사용 전원</t>
    <phoneticPr fontId="13" type="noConversion"/>
  </si>
  <si>
    <t>508 BAY</t>
  </si>
  <si>
    <t>B225</t>
    <phoneticPr fontId="13" type="noConversion"/>
  </si>
  <si>
    <t>511 BAY</t>
  </si>
  <si>
    <t>511B_LGU+장비</t>
  </si>
  <si>
    <t>IPD A-2-62 / 35A</t>
    <phoneticPr fontId="13" type="noConversion"/>
  </si>
  <si>
    <t>IPD B-2-62</t>
  </si>
  <si>
    <t>PDP 1개, 장비직결 1개</t>
  </si>
  <si>
    <t>IPD A-2-63 / 35A</t>
    <phoneticPr fontId="13" type="noConversion"/>
  </si>
  <si>
    <t>IPD B-2-63</t>
  </si>
  <si>
    <t>B224</t>
    <phoneticPr fontId="13" type="noConversion"/>
  </si>
  <si>
    <t>512 BAY</t>
  </si>
  <si>
    <t>회로 조사 실패, B1 PNL 의심 / 413Bay 상부에서 숨어버림</t>
    <phoneticPr fontId="13" type="noConversion"/>
  </si>
  <si>
    <t>B223</t>
    <phoneticPr fontId="13" type="noConversion"/>
  </si>
  <si>
    <t>513 BAY</t>
  </si>
  <si>
    <t>513B_SKB장비</t>
  </si>
  <si>
    <t>IPD A-2-07 / 50A</t>
    <phoneticPr fontId="13" type="noConversion"/>
  </si>
  <si>
    <t>IPD B-2-07</t>
  </si>
  <si>
    <t>B222</t>
    <phoneticPr fontId="13" type="noConversion"/>
  </si>
  <si>
    <t>514 BAY</t>
  </si>
  <si>
    <t>514B_LGU+장비</t>
  </si>
  <si>
    <t>IPD A-2-23 / 50A</t>
    <phoneticPr fontId="13" type="noConversion"/>
  </si>
  <si>
    <t>IPD B-2-23</t>
  </si>
  <si>
    <t>B219</t>
    <phoneticPr fontId="13" type="noConversion"/>
  </si>
  <si>
    <t>IPD A-2-58 / 35A</t>
    <phoneticPr fontId="13" type="noConversion"/>
  </si>
  <si>
    <t>IPD B-2-58</t>
  </si>
  <si>
    <t>UPS A1-07 / 2P 20A</t>
    <phoneticPr fontId="13" type="noConversion"/>
  </si>
  <si>
    <t>UPS 출력분전반 A1 #07</t>
    <phoneticPr fontId="13" type="noConversion"/>
  </si>
  <si>
    <t>B218</t>
    <phoneticPr fontId="13" type="noConversion"/>
  </si>
  <si>
    <t>IPD A-2-44 / 16A</t>
    <phoneticPr fontId="13" type="noConversion"/>
  </si>
  <si>
    <t>IPD B-2-46 / 16A</t>
    <phoneticPr fontId="13" type="noConversion"/>
  </si>
  <si>
    <t>UPS A1-07 / 2P 20A
(517Bay에서 인출)</t>
    <phoneticPr fontId="13" type="noConversion"/>
  </si>
  <si>
    <t>B217</t>
    <phoneticPr fontId="13" type="noConversion"/>
  </si>
  <si>
    <t>IPD A-2-47 / 35A</t>
    <phoneticPr fontId="13" type="noConversion"/>
  </si>
  <si>
    <t>IPD B-2-47 / 35A</t>
    <phoneticPr fontId="13" type="noConversion"/>
  </si>
  <si>
    <t>SKT/SKB장비</t>
  </si>
  <si>
    <t>PDP 2개 ??</t>
  </si>
  <si>
    <t>UPS A1-07 / 2P 20A
(518Bay에서 인출)</t>
    <phoneticPr fontId="13" type="noConversion"/>
  </si>
  <si>
    <t>IPD A-2-53 / 35A</t>
    <phoneticPr fontId="13" type="noConversion"/>
  </si>
  <si>
    <t>IPD B-2-53 / 35A</t>
    <phoneticPr fontId="13" type="noConversion"/>
  </si>
  <si>
    <t>B216</t>
    <phoneticPr fontId="13" type="noConversion"/>
  </si>
  <si>
    <t>IPD A-2-48 / 50A</t>
    <phoneticPr fontId="13" type="noConversion"/>
  </si>
  <si>
    <t>IPD B-2-48 / 50A</t>
    <phoneticPr fontId="13" type="noConversion"/>
  </si>
  <si>
    <t>B211</t>
    <phoneticPr fontId="13" type="noConversion"/>
  </si>
  <si>
    <t>523 BAY</t>
  </si>
  <si>
    <t>523B_코위버3264</t>
  </si>
  <si>
    <t>IPD A-3-05 / 50A</t>
    <phoneticPr fontId="13" type="noConversion"/>
  </si>
  <si>
    <t>IPD B-3-05 / 50A</t>
    <phoneticPr fontId="13" type="noConversion"/>
  </si>
  <si>
    <t>B210</t>
    <phoneticPr fontId="13" type="noConversion"/>
  </si>
  <si>
    <t>524 BAY</t>
  </si>
  <si>
    <t>524B_코위버1664</t>
  </si>
  <si>
    <t>IPD A-3-06 / 50A</t>
    <phoneticPr fontId="13" type="noConversion"/>
  </si>
  <si>
    <t>IPD B-3-06 / 50A</t>
    <phoneticPr fontId="13" type="noConversion"/>
  </si>
  <si>
    <t>B209</t>
    <phoneticPr fontId="13" type="noConversion"/>
  </si>
  <si>
    <t>525 BAY</t>
  </si>
  <si>
    <t>525B_코위버1664</t>
  </si>
  <si>
    <t>IPD A-3-07 / 50A</t>
    <phoneticPr fontId="13" type="noConversion"/>
  </si>
  <si>
    <t>IPD B-3-07 / 50A</t>
    <phoneticPr fontId="13" type="noConversion"/>
  </si>
  <si>
    <t>B208</t>
    <phoneticPr fontId="13" type="noConversion"/>
  </si>
  <si>
    <t>526 BAY</t>
  </si>
  <si>
    <t>526B_코위버1664</t>
  </si>
  <si>
    <t>IPD A-3-10 / 50A</t>
    <phoneticPr fontId="13" type="noConversion"/>
  </si>
  <si>
    <t>IPD B-3-10 / 50A</t>
    <phoneticPr fontId="13" type="noConversion"/>
  </si>
  <si>
    <t>B207</t>
    <phoneticPr fontId="13" type="noConversion"/>
  </si>
  <si>
    <t>527 BAY</t>
  </si>
  <si>
    <t>527B_코위버1664</t>
  </si>
  <si>
    <t>IPD A-3-41 / 50A</t>
    <phoneticPr fontId="13" type="noConversion"/>
  </si>
  <si>
    <t>IPD B-3-41 / 50A</t>
    <phoneticPr fontId="13" type="noConversion"/>
  </si>
  <si>
    <t>B204</t>
    <phoneticPr fontId="13" type="noConversion"/>
  </si>
  <si>
    <t>530 BAY</t>
  </si>
  <si>
    <t>530B_코위버1664</t>
  </si>
  <si>
    <t>IPD A-3-44 / 50A</t>
    <phoneticPr fontId="13" type="noConversion"/>
  </si>
  <si>
    <t>IPD B-3-44 / 50A</t>
    <phoneticPr fontId="13" type="noConversion"/>
  </si>
  <si>
    <t>B203</t>
    <phoneticPr fontId="13" type="noConversion"/>
  </si>
  <si>
    <t>531 BAY</t>
  </si>
  <si>
    <t>531B_코위버1664</t>
  </si>
  <si>
    <t>IPD A-3-46 / 50A</t>
    <phoneticPr fontId="13" type="noConversion"/>
  </si>
  <si>
    <t>IPD B-3-46 / 50A</t>
    <phoneticPr fontId="13" type="noConversion"/>
  </si>
  <si>
    <t>B202</t>
    <phoneticPr fontId="13" type="noConversion"/>
  </si>
  <si>
    <t>532 BAY</t>
  </si>
  <si>
    <t>532B_코위버1664</t>
  </si>
  <si>
    <t>IPD A-3-47 / 50A</t>
    <phoneticPr fontId="13" type="noConversion"/>
  </si>
  <si>
    <t>IPD B-3-47 / 50A</t>
    <phoneticPr fontId="13" type="noConversion"/>
  </si>
  <si>
    <t>A210</t>
    <phoneticPr fontId="13" type="noConversion"/>
  </si>
  <si>
    <t>535 BAY</t>
    <phoneticPr fontId="13" type="noConversion"/>
  </si>
  <si>
    <t>536B_NOKIA1830, PSS-8</t>
    <phoneticPr fontId="13" type="noConversion"/>
  </si>
  <si>
    <t>IPD A-4-25 / 50A</t>
    <phoneticPr fontId="13" type="noConversion"/>
  </si>
  <si>
    <t>IPD B-4-25 / 50A</t>
    <phoneticPr fontId="13" type="noConversion"/>
  </si>
  <si>
    <t>노키아1830_PSS 8 ('21.09.14 전기투입)</t>
  </si>
  <si>
    <t>A209</t>
    <phoneticPr fontId="13" type="noConversion"/>
  </si>
  <si>
    <t>536 BAY</t>
  </si>
  <si>
    <t>536B_NOKIA1830</t>
  </si>
  <si>
    <t>IPD A-4-59 / 50A</t>
    <phoneticPr fontId="13" type="noConversion"/>
  </si>
  <si>
    <t>IPD B-4-59 / 50A</t>
    <phoneticPr fontId="13" type="noConversion"/>
  </si>
  <si>
    <t>A208</t>
    <phoneticPr fontId="13" type="noConversion"/>
  </si>
  <si>
    <t>537 BAY</t>
  </si>
  <si>
    <t>537B_NOKIA1830</t>
  </si>
  <si>
    <t>IPD A-4-56 / 100A</t>
    <phoneticPr fontId="13" type="noConversion"/>
  </si>
  <si>
    <t>IPD B-4-56 / 35A</t>
    <phoneticPr fontId="13" type="noConversion"/>
  </si>
  <si>
    <t>A207</t>
    <phoneticPr fontId="13" type="noConversion"/>
  </si>
  <si>
    <t>538 BAY</t>
  </si>
  <si>
    <t>538B_NOKIA1830</t>
  </si>
  <si>
    <t>IPD A-4-58 / 100A</t>
    <phoneticPr fontId="13" type="noConversion"/>
  </si>
  <si>
    <t>IPD B-4-58 / 100A</t>
    <phoneticPr fontId="13" type="noConversion"/>
  </si>
  <si>
    <t>회의실</t>
    <phoneticPr fontId="13" type="noConversion"/>
  </si>
  <si>
    <t>TEST_BED</t>
  </si>
  <si>
    <t>IPD A-4-32 / 35A</t>
    <phoneticPr fontId="13" type="noConversion"/>
  </si>
  <si>
    <t>IPD B-4-32 / 35A</t>
    <phoneticPr fontId="13" type="noConversion"/>
  </si>
  <si>
    <t>UPS 출력
배전반B,
 #01
3P 150A</t>
  </si>
  <si>
    <t>TEST_BED 장비</t>
  </si>
  <si>
    <t>U3-7A-37 / 2P 30A</t>
    <phoneticPr fontId="13" type="noConversion"/>
  </si>
  <si>
    <t>U3-7B-37 / 2P 30A</t>
    <phoneticPr fontId="13" type="noConversion"/>
  </si>
  <si>
    <t>TEST_BED 계측기/노트북 전원</t>
    <phoneticPr fontId="13" type="noConversion"/>
  </si>
  <si>
    <t>G열</t>
  </si>
  <si>
    <t>C501</t>
    <phoneticPr fontId="13" type="noConversion"/>
  </si>
  <si>
    <t>G10</t>
  </si>
  <si>
    <t>○</t>
    <phoneticPr fontId="13" type="noConversion"/>
  </si>
  <si>
    <t>UPS A1-19 (A1-L-10) / 2P 20A</t>
    <phoneticPr fontId="13" type="noConversion"/>
  </si>
  <si>
    <t>UPS B1-10 (B1-R-5) / 2P 30A</t>
    <phoneticPr fontId="13" type="noConversion"/>
  </si>
  <si>
    <t>UPS 출력분전반 A1 #19</t>
    <phoneticPr fontId="13" type="noConversion"/>
  </si>
  <si>
    <t>UPS 출력분전반 B1 #10</t>
    <phoneticPr fontId="13" type="noConversion"/>
  </si>
  <si>
    <t>IDC 고객 (신한금융투자)</t>
    <phoneticPr fontId="13" type="noConversion"/>
  </si>
  <si>
    <t>C502</t>
    <phoneticPr fontId="13" type="noConversion"/>
  </si>
  <si>
    <t>G09</t>
  </si>
  <si>
    <t>U3-7A-44 / 2P 30A</t>
    <phoneticPr fontId="13" type="noConversion"/>
  </si>
  <si>
    <t>U3-7B-44 / 2P 30A</t>
    <phoneticPr fontId="13" type="noConversion"/>
  </si>
  <si>
    <t>U3-7B(U7-6B)
4P 300A</t>
    <phoneticPr fontId="13" type="noConversion"/>
  </si>
  <si>
    <t>C503</t>
    <phoneticPr fontId="13" type="noConversion"/>
  </si>
  <si>
    <t>G08</t>
  </si>
  <si>
    <t>U3-7A-02 / 2P 30A</t>
    <phoneticPr fontId="13" type="noConversion"/>
  </si>
  <si>
    <t>U3-7B-02 / 2P 30A</t>
    <phoneticPr fontId="13" type="noConversion"/>
  </si>
  <si>
    <t>쿼드마이너(미정)</t>
    <phoneticPr fontId="13" type="noConversion"/>
  </si>
  <si>
    <t>C504</t>
    <phoneticPr fontId="13" type="noConversion"/>
  </si>
  <si>
    <t>G07</t>
  </si>
  <si>
    <t>7F-G07 랙</t>
    <phoneticPr fontId="13" type="noConversion"/>
  </si>
  <si>
    <t>IPD A-1-50 / 35A</t>
    <phoneticPr fontId="13" type="noConversion"/>
  </si>
  <si>
    <t>IPD B-1-47 / 50A</t>
    <phoneticPr fontId="13" type="noConversion"/>
  </si>
  <si>
    <t>DC FUSE 제거/미사용</t>
  </si>
  <si>
    <t>U3-7A-46 / 2P 30A</t>
    <phoneticPr fontId="13" type="noConversion"/>
  </si>
  <si>
    <t>U3-7B-46 / 2P 30A</t>
    <phoneticPr fontId="13" type="noConversion"/>
  </si>
  <si>
    <t>C505</t>
    <phoneticPr fontId="13" type="noConversion"/>
  </si>
  <si>
    <t>G06</t>
  </si>
  <si>
    <t>UPS B1-18 / 2P 30A</t>
    <phoneticPr fontId="13" type="noConversion"/>
  </si>
  <si>
    <t>UPS A1-24 / 2P 30A</t>
    <phoneticPr fontId="13" type="noConversion"/>
  </si>
  <si>
    <t>UPS 출력분전반 B1 #18</t>
    <phoneticPr fontId="13" type="noConversion"/>
  </si>
  <si>
    <t>UPS 출력분전반 A1 #24</t>
    <phoneticPr fontId="13" type="noConversion"/>
  </si>
  <si>
    <t>IDC 고객 (NTT #5)</t>
    <phoneticPr fontId="13" type="noConversion"/>
  </si>
  <si>
    <t>C506</t>
    <phoneticPr fontId="13" type="noConversion"/>
  </si>
  <si>
    <t>G05</t>
  </si>
  <si>
    <t>UPS B1-29 / 2P 20A</t>
    <phoneticPr fontId="13" type="noConversion"/>
  </si>
  <si>
    <t>UPS A1-33 / 2P 20A</t>
    <phoneticPr fontId="13" type="noConversion"/>
  </si>
  <si>
    <t>UPS 출력분전반 B1 #29</t>
    <phoneticPr fontId="13" type="noConversion"/>
  </si>
  <si>
    <t>UPS 출력분전반 A1 #33</t>
    <phoneticPr fontId="13" type="noConversion"/>
  </si>
  <si>
    <t>IDC 고객 (NTT #6)</t>
    <phoneticPr fontId="13" type="noConversion"/>
  </si>
  <si>
    <t>C507</t>
    <phoneticPr fontId="13" type="noConversion"/>
  </si>
  <si>
    <t>G04</t>
  </si>
  <si>
    <t>UPS B1-16 / 2P 30A</t>
    <phoneticPr fontId="13" type="noConversion"/>
  </si>
  <si>
    <t>UPS A1-22 / 2P 30A</t>
    <phoneticPr fontId="13" type="noConversion"/>
  </si>
  <si>
    <t>UPS 출력분전반 B1 #16</t>
    <phoneticPr fontId="13" type="noConversion"/>
  </si>
  <si>
    <t>UPS 출력분전반 A1 #22</t>
    <phoneticPr fontId="13" type="noConversion"/>
  </si>
  <si>
    <t>IDC 고객 (NTT #7)</t>
    <phoneticPr fontId="13" type="noConversion"/>
  </si>
  <si>
    <t>C508</t>
    <phoneticPr fontId="13" type="noConversion"/>
  </si>
  <si>
    <t>G03</t>
  </si>
  <si>
    <t>U3-7A-01 / 2P 30A</t>
    <phoneticPr fontId="13" type="noConversion"/>
  </si>
  <si>
    <t>U3-7B-01 / 2P 30A</t>
    <phoneticPr fontId="13" type="noConversion"/>
  </si>
  <si>
    <t>IDC 고객 (NTT #8)</t>
    <phoneticPr fontId="13" type="noConversion"/>
  </si>
  <si>
    <t>U3-7A-12 / 2P 30A</t>
    <phoneticPr fontId="13" type="noConversion"/>
  </si>
  <si>
    <t>U3-7B-12 / 2P 30A</t>
    <phoneticPr fontId="13" type="noConversion"/>
  </si>
  <si>
    <t>C509</t>
    <phoneticPr fontId="13" type="noConversion"/>
  </si>
  <si>
    <t>G02</t>
  </si>
  <si>
    <t>7F-G02 랙</t>
    <phoneticPr fontId="13" type="noConversion"/>
  </si>
  <si>
    <t>UPS A1-39 / 2P 20A</t>
    <phoneticPr fontId="13" type="noConversion"/>
  </si>
  <si>
    <t>UPS 출력분전반 A1 #39</t>
    <phoneticPr fontId="13" type="noConversion"/>
  </si>
  <si>
    <t>미사용 랙 (빈 랙)</t>
  </si>
  <si>
    <t>AC 전원 철거</t>
    <phoneticPr fontId="13" type="noConversion"/>
  </si>
  <si>
    <t>C510</t>
    <phoneticPr fontId="13" type="noConversion"/>
  </si>
  <si>
    <t>G01</t>
  </si>
  <si>
    <t>7F-G01 랙</t>
    <phoneticPr fontId="13" type="noConversion"/>
  </si>
  <si>
    <t>UPS A1-35 / 2P 20A</t>
    <phoneticPr fontId="13" type="noConversion"/>
  </si>
  <si>
    <t>UPS 출력분전반 A1 #35</t>
    <phoneticPr fontId="13" type="noConversion"/>
  </si>
  <si>
    <t>LG HELLOVISION (빈 랙)</t>
    <phoneticPr fontId="13" type="noConversion"/>
  </si>
  <si>
    <t>F열</t>
  </si>
  <si>
    <t>C601</t>
    <phoneticPr fontId="13" type="noConversion"/>
  </si>
  <si>
    <t>C602</t>
    <phoneticPr fontId="13" type="noConversion"/>
  </si>
  <si>
    <t>F09</t>
  </si>
  <si>
    <t>UPS B1-40 / 2P 30A</t>
    <phoneticPr fontId="13" type="noConversion"/>
  </si>
  <si>
    <t>UPS 출력분전반 B1 #40</t>
    <phoneticPr fontId="13" type="noConversion"/>
  </si>
  <si>
    <t>미사용 랙 (빈 랙)</t>
    <phoneticPr fontId="13" type="noConversion"/>
  </si>
  <si>
    <t>C603</t>
    <phoneticPr fontId="13" type="noConversion"/>
  </si>
  <si>
    <t>F08</t>
  </si>
  <si>
    <t>B-5</t>
  </si>
  <si>
    <t>A-5</t>
  </si>
  <si>
    <t>IPD B-5-F40 
(구 IPD A) / 35A</t>
    <phoneticPr fontId="13" type="noConversion"/>
  </si>
  <si>
    <t>IPD A-5-F41
(구 IPD B) / 35A</t>
    <phoneticPr fontId="13" type="noConversion"/>
  </si>
  <si>
    <t>IPD B-5
(구 IPD A)</t>
    <phoneticPr fontId="13" type="noConversion"/>
  </si>
  <si>
    <t>IPD A-5
(구 IPD B)</t>
    <phoneticPr fontId="13" type="noConversion"/>
  </si>
  <si>
    <t>DC FUSE 삽입상태 /DC PDP 미사용 중</t>
  </si>
  <si>
    <t>UPS B1-34 / 2P 30A</t>
    <phoneticPr fontId="13" type="noConversion"/>
  </si>
  <si>
    <t>UPS 출력분전반 B1 #34</t>
    <phoneticPr fontId="13" type="noConversion"/>
  </si>
  <si>
    <t>C604</t>
    <phoneticPr fontId="13" type="noConversion"/>
  </si>
  <si>
    <t>F07</t>
  </si>
  <si>
    <t>UPS A1-18 / 2P 30A</t>
    <phoneticPr fontId="13" type="noConversion"/>
  </si>
  <si>
    <t>U3-7B-29 / 2P 30A</t>
    <phoneticPr fontId="13" type="noConversion"/>
  </si>
  <si>
    <t>UPS 출력분전반 A1 #18</t>
    <phoneticPr fontId="13" type="noConversion"/>
  </si>
  <si>
    <t>C605</t>
    <phoneticPr fontId="13" type="noConversion"/>
  </si>
  <si>
    <t>F06</t>
  </si>
  <si>
    <t>UPS B1-36 / 2P 30A</t>
    <phoneticPr fontId="13" type="noConversion"/>
  </si>
  <si>
    <t>UPS 출력분전반 B1 #36</t>
    <phoneticPr fontId="13" type="noConversion"/>
  </si>
  <si>
    <t>IDC 고객 (델피콤)</t>
    <phoneticPr fontId="13" type="noConversion"/>
  </si>
  <si>
    <t>C606</t>
    <phoneticPr fontId="13" type="noConversion"/>
  </si>
  <si>
    <t>F05</t>
  </si>
  <si>
    <t>U3-7A-03 / 2P 30A</t>
    <phoneticPr fontId="13" type="noConversion"/>
  </si>
  <si>
    <t>UPS A1-16 / 2P 30A</t>
    <phoneticPr fontId="13" type="noConversion"/>
  </si>
  <si>
    <t>UPS 출력분전반 A1 #16</t>
    <phoneticPr fontId="13" type="noConversion"/>
  </si>
  <si>
    <t>C607</t>
    <phoneticPr fontId="13" type="noConversion"/>
  </si>
  <si>
    <t>F04</t>
  </si>
  <si>
    <t>C608</t>
    <phoneticPr fontId="13" type="noConversion"/>
  </si>
  <si>
    <t>F03</t>
  </si>
  <si>
    <t>7F-F03 랙</t>
  </si>
  <si>
    <t>UPS 출력분전반 B1 #20</t>
    <phoneticPr fontId="13" type="noConversion"/>
  </si>
  <si>
    <t>UPS 출력분전반 A1 #26</t>
    <phoneticPr fontId="13" type="noConversion"/>
  </si>
  <si>
    <t>TR-7A 1000kVA</t>
  </si>
  <si>
    <t>C609</t>
    <phoneticPr fontId="13" type="noConversion"/>
  </si>
  <si>
    <t>F02</t>
  </si>
  <si>
    <t>7F-F02 랙</t>
  </si>
  <si>
    <t>IPD A-1-52</t>
  </si>
  <si>
    <t>IPD B-1-52</t>
  </si>
  <si>
    <t>IDC 고객 (NTT)</t>
    <phoneticPr fontId="13" type="noConversion"/>
  </si>
  <si>
    <t>DC FUSE 제거/미사용(2021.01.19)</t>
  </si>
  <si>
    <t>C610</t>
    <phoneticPr fontId="13" type="noConversion"/>
  </si>
  <si>
    <t>F01</t>
  </si>
  <si>
    <t>7F-F01 랙</t>
  </si>
  <si>
    <t>IPD A-1-51 / 35A</t>
    <phoneticPr fontId="13" type="noConversion"/>
  </si>
  <si>
    <t>IPD B-1-51 / 35A</t>
    <phoneticPr fontId="13" type="noConversion"/>
  </si>
  <si>
    <t>E열</t>
  </si>
  <si>
    <t>C701</t>
    <phoneticPr fontId="13" type="noConversion"/>
  </si>
  <si>
    <t>C702</t>
    <phoneticPr fontId="13" type="noConversion"/>
  </si>
  <si>
    <t>E09</t>
  </si>
  <si>
    <t>UPS B1-30 / 2P 30A</t>
    <phoneticPr fontId="13" type="noConversion"/>
  </si>
  <si>
    <t>UPS A1-36 / 2P 30A</t>
    <phoneticPr fontId="13" type="noConversion"/>
  </si>
  <si>
    <t>UPS 출력분전반 B1 #30</t>
    <phoneticPr fontId="13" type="noConversion"/>
  </si>
  <si>
    <t>UPS 출력분전반 A1 #36</t>
    <phoneticPr fontId="13" type="noConversion"/>
  </si>
  <si>
    <t>IDC 고객 (르네트)</t>
    <phoneticPr fontId="13" type="noConversion"/>
  </si>
  <si>
    <t>C703</t>
    <phoneticPr fontId="13" type="noConversion"/>
  </si>
  <si>
    <t>E08</t>
  </si>
  <si>
    <t>UPS B1-27 / 2P 20A</t>
    <phoneticPr fontId="13" type="noConversion"/>
  </si>
  <si>
    <t>UPS A1-14 / 2P 30A</t>
    <phoneticPr fontId="13" type="noConversion"/>
  </si>
  <si>
    <t>UPS 출력분전반 B1 #27</t>
    <phoneticPr fontId="13" type="noConversion"/>
  </si>
  <si>
    <t>UPS 출력분전반 A1 #14</t>
    <phoneticPr fontId="13" type="noConversion"/>
  </si>
  <si>
    <t>IDC 고객 (엑사넷)</t>
    <phoneticPr fontId="13" type="noConversion"/>
  </si>
  <si>
    <t>C704</t>
    <phoneticPr fontId="13" type="noConversion"/>
  </si>
  <si>
    <t>E07</t>
  </si>
  <si>
    <t>UPS B1-25 / 2P 20A</t>
    <phoneticPr fontId="13" type="noConversion"/>
  </si>
  <si>
    <t>UPS 출력분전반 B1 #25</t>
    <phoneticPr fontId="13" type="noConversion"/>
  </si>
  <si>
    <t>C705</t>
    <phoneticPr fontId="13" type="noConversion"/>
  </si>
  <si>
    <t>E06</t>
  </si>
  <si>
    <t>UPS B1-23 / 2P 20A</t>
    <phoneticPr fontId="13" type="noConversion"/>
  </si>
  <si>
    <t>UPS 출력분전반 B1 #23</t>
    <phoneticPr fontId="13" type="noConversion"/>
  </si>
  <si>
    <t>C706</t>
    <phoneticPr fontId="13" type="noConversion"/>
  </si>
  <si>
    <t>E05</t>
  </si>
  <si>
    <t>UPS B1-21 / 2P 20A</t>
    <phoneticPr fontId="13" type="noConversion"/>
  </si>
  <si>
    <t>UPS 출력분전반 B1 #21</t>
    <phoneticPr fontId="13" type="noConversion"/>
  </si>
  <si>
    <t>IDC 고객 (니즈텔레콤)</t>
    <phoneticPr fontId="13" type="noConversion"/>
  </si>
  <si>
    <t>C707</t>
    <phoneticPr fontId="13" type="noConversion"/>
  </si>
  <si>
    <t>E04</t>
  </si>
  <si>
    <t>UPS A1-04 / 2P 30A</t>
    <phoneticPr fontId="13" type="noConversion"/>
  </si>
  <si>
    <t>UPS 출력분전반 A1 #04</t>
    <phoneticPr fontId="13" type="noConversion"/>
  </si>
  <si>
    <t>IDC 고객 (넷피플)</t>
    <phoneticPr fontId="13" type="noConversion"/>
  </si>
  <si>
    <t>C708</t>
    <phoneticPr fontId="13" type="noConversion"/>
  </si>
  <si>
    <t>E03</t>
  </si>
  <si>
    <t>UPS A1-06 / 2P 30A</t>
    <phoneticPr fontId="13" type="noConversion"/>
  </si>
  <si>
    <t>UPS 출력분전반 A1 #06</t>
    <phoneticPr fontId="13" type="noConversion"/>
  </si>
  <si>
    <t>C709</t>
    <phoneticPr fontId="13" type="noConversion"/>
  </si>
  <si>
    <t>E02</t>
  </si>
  <si>
    <t>UPS B1-19 / 2P 20A</t>
    <phoneticPr fontId="13" type="noConversion"/>
  </si>
  <si>
    <t>UPS 출력분전반 B1 #19</t>
    <phoneticPr fontId="13" type="noConversion"/>
  </si>
  <si>
    <t>C710</t>
    <phoneticPr fontId="13" type="noConversion"/>
  </si>
  <si>
    <t>E01</t>
  </si>
  <si>
    <t>7F-E01 랙</t>
  </si>
  <si>
    <t>IDC / 압류장비</t>
    <phoneticPr fontId="13" type="noConversion"/>
  </si>
  <si>
    <t>D열</t>
  </si>
  <si>
    <t>C801</t>
    <phoneticPr fontId="13" type="noConversion"/>
  </si>
  <si>
    <t>C802</t>
    <phoneticPr fontId="13" type="noConversion"/>
  </si>
  <si>
    <t>D07</t>
    <phoneticPr fontId="13" type="noConversion"/>
  </si>
  <si>
    <t>UPS A1-11 / 2P 20A</t>
    <phoneticPr fontId="13" type="noConversion"/>
  </si>
  <si>
    <t>UPS 출력분전반 A1 #11</t>
    <phoneticPr fontId="13" type="noConversion"/>
  </si>
  <si>
    <t>UPS B1-32 / 2P 30A</t>
    <phoneticPr fontId="13" type="noConversion"/>
  </si>
  <si>
    <t>UPS A1-38 / 2P 30A</t>
    <phoneticPr fontId="13" type="noConversion"/>
  </si>
  <si>
    <t>UPS 출력분전반 B1 #32</t>
    <phoneticPr fontId="13" type="noConversion"/>
  </si>
  <si>
    <t>UPS 출력분전반 A1 #38</t>
    <phoneticPr fontId="13" type="noConversion"/>
  </si>
  <si>
    <t>C803</t>
    <phoneticPr fontId="13" type="noConversion"/>
  </si>
  <si>
    <t>D06</t>
    <phoneticPr fontId="13" type="noConversion"/>
  </si>
  <si>
    <t>UPS B1-28 / 2P 30A</t>
    <phoneticPr fontId="13" type="noConversion"/>
  </si>
  <si>
    <t>UPS A1-34 / 2P 30A</t>
    <phoneticPr fontId="13" type="noConversion"/>
  </si>
  <si>
    <t>UPS 출력분전반 B1 #28</t>
    <phoneticPr fontId="13" type="noConversion"/>
  </si>
  <si>
    <t>IDC 고객 (??)</t>
    <phoneticPr fontId="13" type="noConversion"/>
  </si>
  <si>
    <t>C804</t>
    <phoneticPr fontId="13" type="noConversion"/>
  </si>
  <si>
    <t>D05</t>
    <phoneticPr fontId="13" type="noConversion"/>
  </si>
  <si>
    <t>U3-7A-06 / 2P 30A</t>
    <phoneticPr fontId="13" type="noConversion"/>
  </si>
  <si>
    <t>U3-7B-06 / 2P 30A</t>
    <phoneticPr fontId="13" type="noConversion"/>
  </si>
  <si>
    <t>U3-7A-54 / 2P 30A</t>
    <phoneticPr fontId="13" type="noConversion"/>
  </si>
  <si>
    <t>U3-7B-53 / 2P 30A</t>
    <phoneticPr fontId="13" type="noConversion"/>
  </si>
  <si>
    <t>C805</t>
    <phoneticPr fontId="13" type="noConversion"/>
  </si>
  <si>
    <t>D04</t>
    <phoneticPr fontId="13" type="noConversion"/>
  </si>
  <si>
    <t>UPS A2-02 / 2P 50A</t>
    <phoneticPr fontId="13" type="noConversion"/>
  </si>
  <si>
    <t>UPS B2-02 / 2P 50A</t>
    <phoneticPr fontId="13" type="noConversion"/>
  </si>
  <si>
    <t>UPS 출력분전반 A2 #02</t>
    <phoneticPr fontId="13" type="noConversion"/>
  </si>
  <si>
    <t>UPS 출력분전반 B2 #01</t>
  </si>
  <si>
    <t>UPS 출력
분전반A2,
4P 225A</t>
    <phoneticPr fontId="13" type="noConversion"/>
  </si>
  <si>
    <t>UPS 출력
분전반B2,
4P 225A</t>
    <phoneticPr fontId="13" type="noConversion"/>
  </si>
  <si>
    <t>UPS 출력
배전반A, #03
4P 225A</t>
    <phoneticPr fontId="13" type="noConversion"/>
  </si>
  <si>
    <t>UPS 출력
배전반B, #04
3P 150A</t>
    <phoneticPr fontId="13" type="noConversion"/>
  </si>
  <si>
    <t>IDC 고객 (NTT_스미세이)</t>
    <phoneticPr fontId="13" type="noConversion"/>
  </si>
  <si>
    <t>C806</t>
    <phoneticPr fontId="13" type="noConversion"/>
  </si>
  <si>
    <t>D03</t>
    <phoneticPr fontId="13" type="noConversion"/>
  </si>
  <si>
    <t>UPS B1-14 / 2P 30A</t>
    <phoneticPr fontId="13" type="noConversion"/>
  </si>
  <si>
    <t>UPS 출력분전반 B1 #14</t>
    <phoneticPr fontId="13" type="noConversion"/>
  </si>
  <si>
    <t>IDC 고객 (유엔시스)</t>
    <phoneticPr fontId="13" type="noConversion"/>
  </si>
  <si>
    <t>C807</t>
    <phoneticPr fontId="13" type="noConversion"/>
  </si>
  <si>
    <t>D02</t>
    <phoneticPr fontId="13" type="noConversion"/>
  </si>
  <si>
    <t>1회로 구성(미사용), 차단기 파악 실패. A1 또는 B1 PNL 의심</t>
    <phoneticPr fontId="13" type="noConversion"/>
  </si>
  <si>
    <t>1회로 구성(미사용)</t>
    <phoneticPr fontId="13" type="noConversion"/>
  </si>
  <si>
    <t>C808</t>
    <phoneticPr fontId="13" type="noConversion"/>
  </si>
  <si>
    <t>D01</t>
    <phoneticPr fontId="13" type="noConversion"/>
  </si>
  <si>
    <t>U3-7A-04 / 2P 30A</t>
    <phoneticPr fontId="13" type="noConversion"/>
  </si>
  <si>
    <t>U3-7B-04 / 2P 30A</t>
    <phoneticPr fontId="13" type="noConversion"/>
  </si>
  <si>
    <t>U3-7A
4P 300A</t>
    <phoneticPr fontId="13" type="noConversion"/>
  </si>
  <si>
    <t>QDF</t>
    <phoneticPr fontId="13" type="noConversion"/>
  </si>
  <si>
    <t>C열</t>
  </si>
  <si>
    <t>C901</t>
    <phoneticPr fontId="13" type="noConversion"/>
  </si>
  <si>
    <t>C902</t>
    <phoneticPr fontId="13" type="noConversion"/>
  </si>
  <si>
    <t>C08</t>
    <phoneticPr fontId="13" type="noConversion"/>
  </si>
  <si>
    <t>UPS A1-23 / 2P 20A</t>
  </si>
  <si>
    <t>UPS B1-12 / 2P 30A</t>
    <phoneticPr fontId="13" type="noConversion"/>
  </si>
  <si>
    <t>UPS 출력분전반 A1 #23</t>
    <phoneticPr fontId="13" type="noConversion"/>
  </si>
  <si>
    <t>UPS 출력분전반 B1 #12</t>
    <phoneticPr fontId="13" type="noConversion"/>
  </si>
  <si>
    <t>UPS 출력배전반A,
4P 400A</t>
    <phoneticPr fontId="13" type="noConversion"/>
  </si>
  <si>
    <t>UPS 출력분전반B
4P 400A</t>
    <phoneticPr fontId="13" type="noConversion"/>
  </si>
  <si>
    <t>IDC 고객(IT Train - 사조2차)</t>
    <phoneticPr fontId="13" type="noConversion"/>
  </si>
  <si>
    <t>C903</t>
    <phoneticPr fontId="13" type="noConversion"/>
  </si>
  <si>
    <t>C07</t>
  </si>
  <si>
    <t>UPS A1-37 / 2P 20A</t>
    <phoneticPr fontId="13" type="noConversion"/>
  </si>
  <si>
    <t>UPS B1-08 / 2P 30A</t>
  </si>
  <si>
    <t>UPS 출력분전반 A1 #37</t>
    <phoneticPr fontId="13" type="noConversion"/>
  </si>
  <si>
    <t>UPS 출력분전반 B1 #08</t>
  </si>
  <si>
    <t>C904</t>
    <phoneticPr fontId="13" type="noConversion"/>
  </si>
  <si>
    <t>C06</t>
    <phoneticPr fontId="13" type="noConversion"/>
  </si>
  <si>
    <t>U3-7A-10 / 2P 30A</t>
    <phoneticPr fontId="13" type="noConversion"/>
  </si>
  <si>
    <t>U3-7B-10 / 2P 30A</t>
    <phoneticPr fontId="13" type="noConversion"/>
  </si>
  <si>
    <t>LV-7A #05 / 3P 320A
(U3-7A)</t>
    <phoneticPr fontId="13" type="noConversion"/>
  </si>
  <si>
    <t>C905</t>
  </si>
  <si>
    <t>U3-7A-42 / 2P 30A</t>
    <phoneticPr fontId="13" type="noConversion"/>
  </si>
  <si>
    <t>U3-7B-42 / 2P 30A</t>
    <phoneticPr fontId="13" type="noConversion"/>
  </si>
  <si>
    <t>C907</t>
    <phoneticPr fontId="13" type="noConversion"/>
  </si>
  <si>
    <t>C04</t>
    <phoneticPr fontId="13" type="noConversion"/>
  </si>
  <si>
    <t>7F-C04 랙</t>
    <phoneticPr fontId="13" type="noConversion"/>
  </si>
  <si>
    <t>미설치 (랙 없음)</t>
    <phoneticPr fontId="13" type="noConversion"/>
  </si>
  <si>
    <t>C908</t>
    <phoneticPr fontId="13" type="noConversion"/>
  </si>
  <si>
    <t>C03</t>
    <phoneticPr fontId="13" type="noConversion"/>
  </si>
  <si>
    <t>7F-C03 랙</t>
    <phoneticPr fontId="13" type="noConversion"/>
  </si>
  <si>
    <t>C909</t>
    <phoneticPr fontId="13" type="noConversion"/>
  </si>
  <si>
    <t>C02</t>
  </si>
  <si>
    <t>U3-7A-34 / 2P 30A</t>
    <phoneticPr fontId="13" type="noConversion"/>
  </si>
  <si>
    <t>U3-7B-34 / 2P 30A</t>
    <phoneticPr fontId="13" type="noConversion"/>
  </si>
  <si>
    <t>IDC 고객(타타커뮤니케이션즈)</t>
    <phoneticPr fontId="13" type="noConversion"/>
  </si>
  <si>
    <t>C910</t>
    <phoneticPr fontId="13" type="noConversion"/>
  </si>
  <si>
    <t>C01</t>
  </si>
  <si>
    <t>IPD B-5-F48
(구 IPD A) / 100A</t>
    <phoneticPr fontId="13" type="noConversion"/>
  </si>
  <si>
    <t>IPD B-1-41 / 100A</t>
    <phoneticPr fontId="13" type="noConversion"/>
  </si>
  <si>
    <t>DC전원 장비직결</t>
  </si>
  <si>
    <t>U3-7A-15 / 2P 30A</t>
    <phoneticPr fontId="13" type="noConversion"/>
  </si>
  <si>
    <t>U3-7B-15 / 2P 30A</t>
    <phoneticPr fontId="13" type="noConversion"/>
  </si>
  <si>
    <t>B열</t>
  </si>
  <si>
    <t>C1001</t>
    <phoneticPr fontId="13" type="noConversion"/>
  </si>
  <si>
    <t>C1002</t>
    <phoneticPr fontId="13" type="noConversion"/>
  </si>
  <si>
    <t>B08</t>
    <phoneticPr fontId="13" type="noConversion"/>
  </si>
  <si>
    <t>U3-7A-35 / 2P 30A</t>
    <phoneticPr fontId="13" type="noConversion"/>
  </si>
  <si>
    <t>U3-7B-35 / 2P 30A</t>
    <phoneticPr fontId="13" type="noConversion"/>
  </si>
  <si>
    <t>세종 인터넷(클라우드이음)</t>
    <phoneticPr fontId="13" type="noConversion"/>
  </si>
  <si>
    <t>신규 구성중</t>
  </si>
  <si>
    <t>C1003</t>
    <phoneticPr fontId="13" type="noConversion"/>
  </si>
  <si>
    <t>B07</t>
    <phoneticPr fontId="13" type="noConversion"/>
  </si>
  <si>
    <t>U3-7A-33 / 2P 30A</t>
    <phoneticPr fontId="13" type="noConversion"/>
  </si>
  <si>
    <t>U3-7B-33 / 2P 30A</t>
    <phoneticPr fontId="13" type="noConversion"/>
  </si>
  <si>
    <t>C1004</t>
    <phoneticPr fontId="13" type="noConversion"/>
  </si>
  <si>
    <t>B06</t>
    <phoneticPr fontId="13" type="noConversion"/>
  </si>
  <si>
    <t>U3-7A-31 / 2P 30A</t>
    <phoneticPr fontId="13" type="noConversion"/>
  </si>
  <si>
    <t>U3-7B-31 / 2P 30A</t>
    <phoneticPr fontId="13" type="noConversion"/>
  </si>
  <si>
    <t>C1005</t>
    <phoneticPr fontId="13" type="noConversion"/>
  </si>
  <si>
    <t>B05</t>
    <phoneticPr fontId="13" type="noConversion"/>
  </si>
  <si>
    <t>U3-7A-39 / 2P 30A</t>
    <phoneticPr fontId="13" type="noConversion"/>
  </si>
  <si>
    <t>U3-7B-39 / 2P 30A</t>
    <phoneticPr fontId="13" type="noConversion"/>
  </si>
  <si>
    <t>C1006</t>
    <phoneticPr fontId="13" type="noConversion"/>
  </si>
  <si>
    <t>B04</t>
    <phoneticPr fontId="13" type="noConversion"/>
  </si>
  <si>
    <t>7F-B04 랙</t>
    <phoneticPr fontId="13" type="noConversion"/>
  </si>
  <si>
    <t>C1007</t>
    <phoneticPr fontId="13" type="noConversion"/>
  </si>
  <si>
    <t>B03</t>
    <phoneticPr fontId="13" type="noConversion"/>
  </si>
  <si>
    <t>7F-B03 랙</t>
    <phoneticPr fontId="13" type="noConversion"/>
  </si>
  <si>
    <t>C1008</t>
    <phoneticPr fontId="13" type="noConversion"/>
  </si>
  <si>
    <t>B02</t>
    <phoneticPr fontId="13" type="noConversion"/>
  </si>
  <si>
    <t>7F-B02 랙</t>
    <phoneticPr fontId="13" type="noConversion"/>
  </si>
  <si>
    <t>C1009</t>
    <phoneticPr fontId="13" type="noConversion"/>
  </si>
  <si>
    <t>B01</t>
    <phoneticPr fontId="13" type="noConversion"/>
  </si>
  <si>
    <t>7F-B01 랙</t>
    <phoneticPr fontId="13" type="noConversion"/>
  </si>
  <si>
    <t>A열</t>
  </si>
  <si>
    <t>C1101</t>
    <phoneticPr fontId="13" type="noConversion"/>
  </si>
  <si>
    <t>C1102</t>
    <phoneticPr fontId="13" type="noConversion"/>
  </si>
  <si>
    <t>A08</t>
    <phoneticPr fontId="13" type="noConversion"/>
  </si>
  <si>
    <t>UPS A2-08 / 2P 50A</t>
    <phoneticPr fontId="13" type="noConversion"/>
  </si>
  <si>
    <t>UPS B2-08 / 2P 50A</t>
    <phoneticPr fontId="13" type="noConversion"/>
  </si>
  <si>
    <t>UPS 출력분전반 A2 #08</t>
    <phoneticPr fontId="13" type="noConversion"/>
  </si>
  <si>
    <t>UPS 출력분전반 B2 #08</t>
    <phoneticPr fontId="13" type="noConversion"/>
  </si>
  <si>
    <t>IDC 고객(LG HELLOVISION)</t>
    <phoneticPr fontId="13" type="noConversion"/>
  </si>
  <si>
    <t>C1103</t>
    <phoneticPr fontId="13" type="noConversion"/>
  </si>
  <si>
    <t>A07</t>
    <phoneticPr fontId="13" type="noConversion"/>
  </si>
  <si>
    <t>UPS A2-06 / 2P 50A</t>
    <phoneticPr fontId="13" type="noConversion"/>
  </si>
  <si>
    <t>UPS B2-06 / 2P 50A</t>
    <phoneticPr fontId="13" type="noConversion"/>
  </si>
  <si>
    <t>UPS 출력분전반 A2 #06</t>
    <phoneticPr fontId="13" type="noConversion"/>
  </si>
  <si>
    <t>UPS 출력분전반 B2 #06</t>
    <phoneticPr fontId="13" type="noConversion"/>
  </si>
  <si>
    <t>C1104</t>
    <phoneticPr fontId="13" type="noConversion"/>
  </si>
  <si>
    <t>A06</t>
    <phoneticPr fontId="13" type="noConversion"/>
  </si>
  <si>
    <t>UPS A2-10 / 2P 50A</t>
    <phoneticPr fontId="13" type="noConversion"/>
  </si>
  <si>
    <t>UPS B2-10 / 2P 50A</t>
    <phoneticPr fontId="13" type="noConversion"/>
  </si>
  <si>
    <t>UPS 출력분전반 A2 #10</t>
    <phoneticPr fontId="13" type="noConversion"/>
  </si>
  <si>
    <t>UPS 출력분전반 B2 #10</t>
    <phoneticPr fontId="13" type="noConversion"/>
  </si>
  <si>
    <t>C1105</t>
    <phoneticPr fontId="13" type="noConversion"/>
  </si>
  <si>
    <t>A05</t>
    <phoneticPr fontId="13" type="noConversion"/>
  </si>
  <si>
    <t>UPS A2-09 / 2P 50A</t>
    <phoneticPr fontId="13" type="noConversion"/>
  </si>
  <si>
    <t>UPS B2-09 / 2P 50A</t>
    <phoneticPr fontId="13" type="noConversion"/>
  </si>
  <si>
    <t>UPS 출력분전반 A2 #09</t>
    <phoneticPr fontId="13" type="noConversion"/>
  </si>
  <si>
    <t>UPS 출력분전반 B2 #09</t>
    <phoneticPr fontId="13" type="noConversion"/>
  </si>
  <si>
    <t>C1106</t>
    <phoneticPr fontId="13" type="noConversion"/>
  </si>
  <si>
    <t>A04</t>
    <phoneticPr fontId="13" type="noConversion"/>
  </si>
  <si>
    <t>IPD B-5-F42(1)
(구 IPD A) / 35A</t>
    <phoneticPr fontId="13" type="noConversion"/>
  </si>
  <si>
    <t>IPD A-5-F42(1)
(구 IPD B) / 35A</t>
    <phoneticPr fontId="13" type="noConversion"/>
  </si>
  <si>
    <t>IPD B-5-F43(2)
(구 IPD A) / 35A</t>
    <phoneticPr fontId="13" type="noConversion"/>
  </si>
  <si>
    <t>IPD A-5-F43(2)
(구 IPD B) / 35A</t>
    <phoneticPr fontId="13" type="noConversion"/>
  </si>
  <si>
    <t>UPS A2-07 / 2P 50A</t>
    <phoneticPr fontId="13" type="noConversion"/>
  </si>
  <si>
    <t>UPS B2-07 / 2P 50A</t>
    <phoneticPr fontId="13" type="noConversion"/>
  </si>
  <si>
    <t>UPS 출력분전반 A2 #07</t>
    <phoneticPr fontId="13" type="noConversion"/>
  </si>
  <si>
    <t>UPS 출력분전반 B2 #07</t>
    <phoneticPr fontId="13" type="noConversion"/>
  </si>
  <si>
    <t>C1107</t>
    <phoneticPr fontId="13" type="noConversion"/>
  </si>
  <si>
    <t>A03</t>
    <phoneticPr fontId="13" type="noConversion"/>
  </si>
  <si>
    <t>UPS A2-05 / 2P 50A</t>
    <phoneticPr fontId="13" type="noConversion"/>
  </si>
  <si>
    <t>UPS B2-05 / 2P 50A</t>
    <phoneticPr fontId="13" type="noConversion"/>
  </si>
  <si>
    <t>UPS 출력분전반 A2 #05</t>
    <phoneticPr fontId="13" type="noConversion"/>
  </si>
  <si>
    <t>UPS 출력분전반 B2 #05</t>
    <phoneticPr fontId="13" type="noConversion"/>
  </si>
  <si>
    <t>C1108</t>
    <phoneticPr fontId="13" type="noConversion"/>
  </si>
  <si>
    <t>A02</t>
    <phoneticPr fontId="13" type="noConversion"/>
  </si>
  <si>
    <t>UPS A2-03 / 2P 50A</t>
    <phoneticPr fontId="13" type="noConversion"/>
  </si>
  <si>
    <t>UPS B2-03 / 2P 50A</t>
    <phoneticPr fontId="13" type="noConversion"/>
  </si>
  <si>
    <t>UPS 출력분전반 A2 #03</t>
    <phoneticPr fontId="13" type="noConversion"/>
  </si>
  <si>
    <t>UPS 출력분전반 B2 #03</t>
    <phoneticPr fontId="13" type="noConversion"/>
  </si>
  <si>
    <t>C1109</t>
    <phoneticPr fontId="13" type="noConversion"/>
  </si>
  <si>
    <t>A01</t>
    <phoneticPr fontId="13" type="noConversion"/>
  </si>
  <si>
    <t>UPS A2-01 / 2P 50A</t>
    <phoneticPr fontId="13" type="noConversion"/>
  </si>
  <si>
    <t>UPS B2-01 / 2P 50A</t>
    <phoneticPr fontId="13" type="noConversion"/>
  </si>
  <si>
    <t>UPS 출력분전반 A2 #01</t>
    <phoneticPr fontId="13" type="noConversion"/>
  </si>
  <si>
    <t>UPS 출력분전반 B2 #01</t>
    <phoneticPr fontId="13" type="noConversion"/>
  </si>
  <si>
    <t>신규BMS(20F TPS실) Rack</t>
  </si>
  <si>
    <t>U3-7B-49 / 2P 30A</t>
    <phoneticPr fontId="13" type="noConversion"/>
  </si>
  <si>
    <t>신규BMS(7F TPS실) Rack</t>
  </si>
  <si>
    <t>U3-7B-51 / 2P 30A</t>
    <phoneticPr fontId="13" type="noConversion"/>
  </si>
  <si>
    <t>8층 Office 분전반(창고)</t>
  </si>
  <si>
    <t>누락
회로
파악
불가</t>
    <phoneticPr fontId="13" type="noConversion"/>
  </si>
  <si>
    <t>UPS A1-01 / 2P 20A</t>
    <phoneticPr fontId="13" type="noConversion"/>
  </si>
  <si>
    <t>UPS 출력분전반 A1 #01</t>
    <phoneticPr fontId="13" type="noConversion"/>
  </si>
  <si>
    <t>W-DCS 8000</t>
  </si>
  <si>
    <t>UPS A1-02 / 2P 30A</t>
    <phoneticPr fontId="13" type="noConversion"/>
  </si>
  <si>
    <t>UPS 출력분전반 A1 #02</t>
    <phoneticPr fontId="13" type="noConversion"/>
  </si>
  <si>
    <t>TO 8F 보안실 UPS항온항습기 모니터용PC</t>
    <phoneticPr fontId="13" type="noConversion"/>
  </si>
  <si>
    <t>UPS A1-03 / 2P 20A</t>
    <phoneticPr fontId="13" type="noConversion"/>
  </si>
  <si>
    <t>UPS 출력분전반 A1 #03</t>
    <phoneticPr fontId="13" type="noConversion"/>
  </si>
  <si>
    <t>?? (전송)</t>
    <phoneticPr fontId="13" type="noConversion"/>
  </si>
  <si>
    <t>UPS A1-05 / 2P 20A</t>
    <phoneticPr fontId="13" type="noConversion"/>
  </si>
  <si>
    <t>UPS 출력분전반 A1 #05</t>
    <phoneticPr fontId="13" type="noConversion"/>
  </si>
  <si>
    <t>UPS A1-09 / 2P 20A</t>
    <phoneticPr fontId="13" type="noConversion"/>
  </si>
  <si>
    <t>UPS 출력분전반 A1 #09</t>
    <phoneticPr fontId="13" type="noConversion"/>
  </si>
  <si>
    <t>IDC (Voice사업팀 MMS용-B)</t>
    <phoneticPr fontId="13" type="noConversion"/>
  </si>
  <si>
    <t>UPS A1-13 / 2P 20A</t>
    <phoneticPr fontId="13" type="noConversion"/>
  </si>
  <si>
    <t>UPS 출력분전반 A1 #13</t>
    <phoneticPr fontId="13" type="noConversion"/>
  </si>
  <si>
    <t>ONS1064 SERVER</t>
  </si>
  <si>
    <t>UPS A1-15 / 2P 20A</t>
    <phoneticPr fontId="13" type="noConversion"/>
  </si>
  <si>
    <t>UPS 출력분전반 A1 #15</t>
    <phoneticPr fontId="13" type="noConversion"/>
  </si>
  <si>
    <t>NTT 하-1</t>
  </si>
  <si>
    <t>UPS A1-17 / 2P 20A</t>
    <phoneticPr fontId="13" type="noConversion"/>
  </si>
  <si>
    <t>UPS 출력분전반 A1 #17</t>
    <phoneticPr fontId="13" type="noConversion"/>
  </si>
  <si>
    <t>8층 보안실 CCTV 모니터</t>
  </si>
  <si>
    <t>UPS A1-27 / 2P 20A</t>
    <phoneticPr fontId="13" type="noConversion"/>
  </si>
  <si>
    <t>UPS 출력분전반 A1 #27</t>
    <phoneticPr fontId="13" type="noConversion"/>
  </si>
  <si>
    <t>전송 (NMS B-15)</t>
    <phoneticPr fontId="13" type="noConversion"/>
  </si>
  <si>
    <t>UPS A1-28 / 2P 30A</t>
    <phoneticPr fontId="13" type="noConversion"/>
  </si>
  <si>
    <t>UPS 출력분전반 A1 #28</t>
    <phoneticPr fontId="13" type="noConversion"/>
  </si>
  <si>
    <t>운용실콘센트</t>
  </si>
  <si>
    <t>UPS A1-29 / 2P 20A</t>
    <phoneticPr fontId="13" type="noConversion"/>
  </si>
  <si>
    <t>UPS 출력분전반 A1 #29</t>
    <phoneticPr fontId="13" type="noConversion"/>
  </si>
  <si>
    <t>전송 (NMS B-16)</t>
    <phoneticPr fontId="13" type="noConversion"/>
  </si>
  <si>
    <t>UPS A1-30 / 2P 30A</t>
    <phoneticPr fontId="13" type="noConversion"/>
  </si>
  <si>
    <t>UPS 출력분전반 A1 #30</t>
    <phoneticPr fontId="13" type="noConversion"/>
  </si>
  <si>
    <t>운용실콘센트 창가1열</t>
  </si>
  <si>
    <t>UPS A1-31 / 2P 20A</t>
    <phoneticPr fontId="13" type="noConversion"/>
  </si>
  <si>
    <t>UPS 출력분전반 A1 #31</t>
    <phoneticPr fontId="13" type="noConversion"/>
  </si>
  <si>
    <t>전송 (??)</t>
    <phoneticPr fontId="13" type="noConversion"/>
  </si>
  <si>
    <t>U3-7B-50 / 2P 30A</t>
    <phoneticPr fontId="13" type="noConversion"/>
  </si>
  <si>
    <t>7층 출입카드(전층 출입통제)</t>
    <phoneticPr fontId="13" type="noConversion"/>
  </si>
  <si>
    <t>U3-7B-52 / 2P 30A</t>
    <phoneticPr fontId="13" type="noConversion"/>
  </si>
  <si>
    <t>20F MAIN (FMS)</t>
  </si>
  <si>
    <t>U3-7B-54 / 2P 30A</t>
    <phoneticPr fontId="13" type="noConversion"/>
  </si>
  <si>
    <t>7F MAIN (FMS)</t>
  </si>
  <si>
    <t>U3-7A-52 / 2P 30A</t>
    <phoneticPr fontId="13" type="noConversion"/>
  </si>
  <si>
    <t>7F NTT CCTV 전원</t>
  </si>
  <si>
    <t>UPS B1-01 / 2P 20A</t>
    <phoneticPr fontId="13" type="noConversion"/>
  </si>
  <si>
    <t>UPS 출력분전반 B1 #01</t>
    <phoneticPr fontId="13" type="noConversion"/>
  </si>
  <si>
    <t>강남방향 창가열 콘센트</t>
  </si>
  <si>
    <t>UPS B1-02 / 2P 30A</t>
    <phoneticPr fontId="13" type="noConversion"/>
  </si>
  <si>
    <t>UPS 출력분전반 B1 #02</t>
    <phoneticPr fontId="13" type="noConversion"/>
  </si>
  <si>
    <t>정면창가 콘센트</t>
  </si>
  <si>
    <t>UPS B1-03 / 2P 20A</t>
    <phoneticPr fontId="13" type="noConversion"/>
  </si>
  <si>
    <t>UPS 출력분전반 B1 #03</t>
    <phoneticPr fontId="13" type="noConversion"/>
  </si>
  <si>
    <t>??</t>
  </si>
  <si>
    <t>UPS B1-06 / 2P 30A</t>
    <phoneticPr fontId="13" type="noConversion"/>
  </si>
  <si>
    <t>UPS 출력분전반 B1 #08</t>
    <phoneticPr fontId="13" type="noConversion"/>
  </si>
  <si>
    <t>전송 (GAINS)</t>
    <phoneticPr fontId="13" type="noConversion"/>
  </si>
  <si>
    <t>UPS B1-07 / 2P 20A</t>
    <phoneticPr fontId="13" type="noConversion"/>
  </si>
  <si>
    <t>UPS 출력분전반 B1 #07</t>
    <phoneticPr fontId="13" type="noConversion"/>
  </si>
  <si>
    <t>C2C DWDM 
EMS RACK</t>
  </si>
  <si>
    <t>UPS B1-11 / 2P 20A</t>
    <phoneticPr fontId="13" type="noConversion"/>
  </si>
  <si>
    <t>UPS 출력분전반 B1 #11</t>
    <phoneticPr fontId="13" type="noConversion"/>
  </si>
  <si>
    <t>전송 (ONS1064 SERVER)</t>
    <phoneticPr fontId="13" type="noConversion"/>
  </si>
  <si>
    <t>UPS B1-22 / 2P 30A</t>
    <phoneticPr fontId="13" type="noConversion"/>
  </si>
  <si>
    <t>UPS 출력분전반 B1 #22</t>
    <phoneticPr fontId="13" type="noConversion"/>
  </si>
  <si>
    <t>운용실 바닥콘센트</t>
  </si>
  <si>
    <t>UPS B1-24 / 2P 30A</t>
    <phoneticPr fontId="13" type="noConversion"/>
  </si>
  <si>
    <t>UPS 출력분전반 B1 #24</t>
    <phoneticPr fontId="13" type="noConversion"/>
  </si>
  <si>
    <t>운용실 콘센트 창가1열</t>
  </si>
  <si>
    <t>UPS B1-35 / 2P 20A</t>
    <phoneticPr fontId="13" type="noConversion"/>
  </si>
  <si>
    <t>UPS 출력분전반 B1 #35</t>
    <phoneticPr fontId="13" type="noConversion"/>
  </si>
  <si>
    <t>7F NMS A-18</t>
  </si>
  <si>
    <t>UPS B1-37 / 2P 20A</t>
    <phoneticPr fontId="13" type="noConversion"/>
  </si>
  <si>
    <t>UPS 출력분전반 B1 #37</t>
    <phoneticPr fontId="13" type="noConversion"/>
  </si>
  <si>
    <t>7F NMS A-19</t>
  </si>
  <si>
    <t>IDC MAN POP</t>
  </si>
  <si>
    <t>UPS B1-39 / 2P 20A</t>
    <phoneticPr fontId="13" type="noConversion"/>
  </si>
  <si>
    <t>UPS 출력분전반 B1 #39</t>
    <phoneticPr fontId="13" type="noConversion"/>
  </si>
  <si>
    <t>7F NMS A-20</t>
  </si>
  <si>
    <t>6층 랙별  전기공급계통</t>
    <phoneticPr fontId="13" type="noConversion"/>
  </si>
  <si>
    <t>층/분전반명/차단기용량/차단기번호</t>
    <phoneticPr fontId="13" type="noConversion"/>
  </si>
  <si>
    <t>DEKR No.</t>
    <phoneticPr fontId="13" type="noConversion"/>
  </si>
  <si>
    <t>랙 No.</t>
    <phoneticPr fontId="13" type="noConversion"/>
  </si>
  <si>
    <t>고객명</t>
    <phoneticPr fontId="13" type="noConversion"/>
  </si>
  <si>
    <t>리셉터클 Name</t>
  </si>
  <si>
    <t>차단기 정보</t>
    <phoneticPr fontId="13" type="noConversion"/>
  </si>
  <si>
    <t>분전반 정보</t>
    <phoneticPr fontId="13" type="noConversion"/>
  </si>
  <si>
    <t>비 고</t>
    <phoneticPr fontId="13" type="noConversion"/>
  </si>
  <si>
    <t>B7-32-1</t>
    <phoneticPr fontId="13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</si>
  <si>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</si>
  <si>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</si>
  <si>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</si>
  <si>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</si>
  <si>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</si>
  <si>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</si>
  <si>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</si>
  <si>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</si>
  <si>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</si>
  <si>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</si>
  <si>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</si>
  <si>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</si>
  <si>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</si>
  <si>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</si>
  <si>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</si>
  <si>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</si>
  <si>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</si>
  <si>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</si>
  <si>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</si>
  <si>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</si>
  <si>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</si>
  <si>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</si>
  <si>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</si>
  <si>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</si>
  <si>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</si>
  <si>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</si>
  <si>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</si>
  <si>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</si>
  <si>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</si>
  <si>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</si>
  <si>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</si>
  <si>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</si>
  <si>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</si>
  <si>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</si>
  <si>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</si>
  <si>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</si>
  <si>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</si>
  <si>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</si>
  <si>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</si>
  <si>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</si>
  <si>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</si>
  <si>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</si>
  <si>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</si>
  <si>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</si>
  <si>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</si>
  <si>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</si>
  <si>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</si>
  <si>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</si>
  <si>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</si>
  <si>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</si>
  <si>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</si>
  <si>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</si>
  <si>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</si>
  <si>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</si>
  <si>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</si>
  <si>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3" type="noConversion"/>
  </si>
  <si>
    <t>A3-23-1</t>
    <phoneticPr fontId="13" type="noConversion"/>
  </si>
  <si>
    <t>B3-23-1</t>
    <phoneticPr fontId="13" type="noConversion"/>
  </si>
  <si>
    <t>U-A3-20 / 2P 30A</t>
    <phoneticPr fontId="13" type="noConversion"/>
  </si>
  <si>
    <t>U-B3-20 / 2P 30A</t>
    <phoneticPr fontId="13" type="noConversion"/>
  </si>
  <si>
    <t>U-A3
4P 200A</t>
    <phoneticPr fontId="13" type="noConversion"/>
  </si>
  <si>
    <t>U-B3
4P 200A</t>
    <phoneticPr fontId="13" type="noConversion"/>
  </si>
  <si>
    <t>UPS 출력배전반(A)
#03, 4P 200A</t>
    <phoneticPr fontId="13" type="noConversion"/>
  </si>
  <si>
    <t>UPS 출력배전반(B)
#03, 4P 200A</t>
    <phoneticPr fontId="13" type="noConversion"/>
  </si>
  <si>
    <t>TR-6A
1000kVA</t>
    <phoneticPr fontId="13" type="noConversion"/>
  </si>
  <si>
    <t>TR-6B
1000kVA</t>
    <phoneticPr fontId="13" type="noConversion"/>
  </si>
  <si>
    <t>C503</t>
  </si>
  <si>
    <t>6F-K12</t>
    <phoneticPr fontId="13" type="noConversion"/>
  </si>
  <si>
    <t>A3-23-2</t>
  </si>
  <si>
    <t>B3-23-2</t>
  </si>
  <si>
    <t>U-A3-22 / 2P 30A</t>
    <phoneticPr fontId="13" type="noConversion"/>
  </si>
  <si>
    <t>U-B3-22 / 2P 30A</t>
    <phoneticPr fontId="13" type="noConversion"/>
  </si>
  <si>
    <t>C504</t>
  </si>
  <si>
    <t>6F-K13</t>
    <phoneticPr fontId="13" type="noConversion"/>
  </si>
  <si>
    <t>A3-23-3</t>
  </si>
  <si>
    <t>B3-23-3</t>
  </si>
  <si>
    <t>U-A3-24 / 2P 30A</t>
    <phoneticPr fontId="13" type="noConversion"/>
  </si>
  <si>
    <t>U-B3-48 / 2P 30A</t>
    <phoneticPr fontId="13" type="noConversion"/>
  </si>
  <si>
    <t>C505</t>
  </si>
  <si>
    <t>6F-K14</t>
    <phoneticPr fontId="13" type="noConversion"/>
  </si>
  <si>
    <t>A3-23-4</t>
  </si>
  <si>
    <t>B3-23-4</t>
  </si>
  <si>
    <t>U-A3-26 / 2P 30A</t>
    <phoneticPr fontId="13" type="noConversion"/>
  </si>
  <si>
    <t>U-B3-26 / 2P 30A</t>
    <phoneticPr fontId="13" type="noConversion"/>
  </si>
  <si>
    <t>C506</t>
  </si>
  <si>
    <t>6F-K15</t>
    <phoneticPr fontId="13" type="noConversion"/>
  </si>
  <si>
    <t>A3-23-5</t>
  </si>
  <si>
    <t>B3-23-5</t>
  </si>
  <si>
    <t>U-A3-28 / 2P 30A</t>
    <phoneticPr fontId="13" type="noConversion"/>
  </si>
  <si>
    <t>U-B3-28 / 2P 30A</t>
    <phoneticPr fontId="13" type="noConversion"/>
  </si>
  <si>
    <t>C507</t>
  </si>
  <si>
    <t>6F-K16</t>
    <phoneticPr fontId="13" type="noConversion"/>
  </si>
  <si>
    <t>A3-23-6</t>
  </si>
  <si>
    <t>B3-23-6</t>
  </si>
  <si>
    <t>U-A3-30 / 2P 30A</t>
    <phoneticPr fontId="13" type="noConversion"/>
  </si>
  <si>
    <t>U-B3-30 / 2P 30A</t>
    <phoneticPr fontId="13" type="noConversion"/>
  </si>
  <si>
    <t>C508</t>
  </si>
  <si>
    <t>6F-K17</t>
    <phoneticPr fontId="13" type="noConversion"/>
  </si>
  <si>
    <t>A3-23-7</t>
  </si>
  <si>
    <t>B3-23-7</t>
  </si>
  <si>
    <t>U-A3-32 / 2P 30A</t>
    <phoneticPr fontId="13" type="noConversion"/>
  </si>
  <si>
    <t>U-B3-32 / 2P 30A</t>
    <phoneticPr fontId="13" type="noConversion"/>
  </si>
  <si>
    <t>C509</t>
  </si>
  <si>
    <t>6F-K18</t>
    <phoneticPr fontId="13" type="noConversion"/>
  </si>
  <si>
    <t>A3-23-8</t>
  </si>
  <si>
    <t>B3-23-8</t>
  </si>
  <si>
    <t>U-A3-34 / 2P 30A</t>
    <phoneticPr fontId="13" type="noConversion"/>
  </si>
  <si>
    <t>U-B3-34 / 2P 30A</t>
    <phoneticPr fontId="13" type="noConversion"/>
  </si>
  <si>
    <t>C510</t>
  </si>
  <si>
    <t>6F-K19</t>
    <phoneticPr fontId="13" type="noConversion"/>
  </si>
  <si>
    <t>A3-23-9</t>
  </si>
  <si>
    <t>B3-23-9</t>
  </si>
  <si>
    <t>U-A3-36 / 2P 30A</t>
    <phoneticPr fontId="13" type="noConversion"/>
  </si>
  <si>
    <t>U-B3-36 / 2P 30A</t>
    <phoneticPr fontId="13" type="noConversion"/>
  </si>
  <si>
    <t>C402</t>
  </si>
  <si>
    <t>6F-L11</t>
    <phoneticPr fontId="13" type="noConversion"/>
  </si>
  <si>
    <t>A3-22-1</t>
    <phoneticPr fontId="13" type="noConversion"/>
  </si>
  <si>
    <t>B3-22-1</t>
    <phoneticPr fontId="13" type="noConversion"/>
  </si>
  <si>
    <t>U-A3-02 / 2P 30A</t>
    <phoneticPr fontId="13" type="noConversion"/>
  </si>
  <si>
    <t>U-B3-02 / 2P 30A</t>
    <phoneticPr fontId="13" type="noConversion"/>
  </si>
  <si>
    <t>C403</t>
  </si>
  <si>
    <t>6F-L12</t>
    <phoneticPr fontId="13" type="noConversion"/>
  </si>
  <si>
    <t>A3-22-2</t>
  </si>
  <si>
    <t>B3-22-2</t>
  </si>
  <si>
    <t>U-A3-04 / 2P 30A</t>
    <phoneticPr fontId="13" type="noConversion"/>
  </si>
  <si>
    <t>U-B3-04 / 2P 30A</t>
    <phoneticPr fontId="13" type="noConversion"/>
  </si>
  <si>
    <t>C404</t>
  </si>
  <si>
    <t>6F-L13</t>
    <phoneticPr fontId="13" type="noConversion"/>
  </si>
  <si>
    <t>A3-22-3</t>
  </si>
  <si>
    <t>B3-22-3</t>
  </si>
  <si>
    <t>U-A3-06 / 2P 30A</t>
    <phoneticPr fontId="13" type="noConversion"/>
  </si>
  <si>
    <t>U-B3-06 / 2P 30A</t>
    <phoneticPr fontId="13" type="noConversion"/>
  </si>
  <si>
    <t>C405</t>
  </si>
  <si>
    <t>6F-L14</t>
    <phoneticPr fontId="13" type="noConversion"/>
  </si>
  <si>
    <t>A3-22-4</t>
  </si>
  <si>
    <t>B3-22-4</t>
  </si>
  <si>
    <t>U-A3-08 / 2P 30A</t>
    <phoneticPr fontId="13" type="noConversion"/>
  </si>
  <si>
    <t>U-B3-08 / 2P 30A</t>
    <phoneticPr fontId="13" type="noConversion"/>
  </si>
  <si>
    <t>제로투세븐(메타넷) 이동 및 현위치 철거 예정(4/15)</t>
    <phoneticPr fontId="13" type="noConversion"/>
  </si>
  <si>
    <t>C406</t>
  </si>
  <si>
    <t>6F-L15</t>
    <phoneticPr fontId="13" type="noConversion"/>
  </si>
  <si>
    <t>A3-22-5</t>
  </si>
  <si>
    <t>B3-22-5</t>
  </si>
  <si>
    <t>U-A3-10 / 2P 30A</t>
    <phoneticPr fontId="13" type="noConversion"/>
  </si>
  <si>
    <t>U-B3-10 / 2P 30A</t>
    <phoneticPr fontId="13" type="noConversion"/>
  </si>
  <si>
    <t>C407</t>
  </si>
  <si>
    <t>6F-L16</t>
    <phoneticPr fontId="13" type="noConversion"/>
  </si>
  <si>
    <t>A3-22-6</t>
  </si>
  <si>
    <t>B3-22-6</t>
  </si>
  <si>
    <t>U-A3-12 / 2P 30A</t>
    <phoneticPr fontId="13" type="noConversion"/>
  </si>
  <si>
    <t>U-B3-12 / 2P 30A</t>
    <phoneticPr fontId="13" type="noConversion"/>
  </si>
  <si>
    <t>C408</t>
  </si>
  <si>
    <t>6F-L17</t>
    <phoneticPr fontId="13" type="noConversion"/>
  </si>
  <si>
    <t>A3-22-7</t>
  </si>
  <si>
    <t>B3-22-7</t>
  </si>
  <si>
    <t>U-A3-14 / 2P 30A</t>
    <phoneticPr fontId="13" type="noConversion"/>
  </si>
  <si>
    <t>U-B3-14 / 2P 30A</t>
    <phoneticPr fontId="13" type="noConversion"/>
  </si>
  <si>
    <t>C409</t>
  </si>
  <si>
    <t>6F-L18</t>
    <phoneticPr fontId="13" type="noConversion"/>
  </si>
  <si>
    <t>A3-22-8</t>
  </si>
  <si>
    <t>B3-22-8</t>
  </si>
  <si>
    <t>U-A3-16 / 2P 30A</t>
    <phoneticPr fontId="13" type="noConversion"/>
  </si>
  <si>
    <t>U-B3-16 / 2P 30A</t>
    <phoneticPr fontId="13" type="noConversion"/>
  </si>
  <si>
    <t>철거완료(9/1)</t>
  </si>
  <si>
    <t>C410</t>
  </si>
  <si>
    <t>6F-L19</t>
    <phoneticPr fontId="13" type="noConversion"/>
  </si>
  <si>
    <t>A3-22-9</t>
  </si>
  <si>
    <t>B3-22-9</t>
  </si>
  <si>
    <t>U-A3-18 / 2P 30A</t>
    <phoneticPr fontId="13" type="noConversion"/>
  </si>
  <si>
    <t>U-B3-18 / 2P 30A</t>
    <phoneticPr fontId="13" type="noConversion"/>
  </si>
  <si>
    <t>C301</t>
    <phoneticPr fontId="13" type="noConversion"/>
  </si>
  <si>
    <t>C302</t>
  </si>
  <si>
    <t>6F-M11</t>
    <phoneticPr fontId="13" type="noConversion"/>
  </si>
  <si>
    <t>A3-21-1</t>
    <phoneticPr fontId="13" type="noConversion"/>
  </si>
  <si>
    <t>B3-21-1</t>
    <phoneticPr fontId="13" type="noConversion"/>
  </si>
  <si>
    <t>U-A3-01 / 2P 30A</t>
    <phoneticPr fontId="13" type="noConversion"/>
  </si>
  <si>
    <t>U-B3-01 / 2P 30A</t>
    <phoneticPr fontId="13" type="noConversion"/>
  </si>
  <si>
    <t>C303</t>
  </si>
  <si>
    <t>6F-M12</t>
    <phoneticPr fontId="13" type="noConversion"/>
  </si>
  <si>
    <t>A3-21-2</t>
  </si>
  <si>
    <t>B3-21-2</t>
  </si>
  <si>
    <t>U-A3-03 / 2P 30A</t>
    <phoneticPr fontId="13" type="noConversion"/>
  </si>
  <si>
    <t>U-B3-03 / 2P 30A</t>
    <phoneticPr fontId="13" type="noConversion"/>
  </si>
  <si>
    <t>C304</t>
  </si>
  <si>
    <t>6F-M13</t>
    <phoneticPr fontId="13" type="noConversion"/>
  </si>
  <si>
    <t>A3-21-3</t>
  </si>
  <si>
    <t>B3-21-3</t>
  </si>
  <si>
    <t>U-A3-05 / 2P 30A</t>
    <phoneticPr fontId="13" type="noConversion"/>
  </si>
  <si>
    <t>U-B3-05 / 2P 30A</t>
    <phoneticPr fontId="13" type="noConversion"/>
  </si>
  <si>
    <t>A7-21-3(2)</t>
    <phoneticPr fontId="13" type="noConversion"/>
  </si>
  <si>
    <t>B7-21-3(2)</t>
    <phoneticPr fontId="13" type="noConversion"/>
  </si>
  <si>
    <t>U6-A7-32 / 2P 30A</t>
    <phoneticPr fontId="13" type="noConversion"/>
  </si>
  <si>
    <t>U6-B7-34 / 2P 30A</t>
    <phoneticPr fontId="13" type="noConversion"/>
  </si>
  <si>
    <t>U6-A7
4P 300A</t>
    <phoneticPr fontId="13" type="noConversion"/>
  </si>
  <si>
    <t>U6-B7
4P 300A</t>
    <phoneticPr fontId="13" type="noConversion"/>
  </si>
  <si>
    <t>LV-6A
#07, 3P 320A</t>
    <phoneticPr fontId="13" type="noConversion"/>
  </si>
  <si>
    <t>LV-6B
#03, 3P 320A</t>
    <phoneticPr fontId="13" type="noConversion"/>
  </si>
  <si>
    <t>A7-21-3(3)</t>
    <phoneticPr fontId="13" type="noConversion"/>
  </si>
  <si>
    <t>B7-21-3(3)</t>
    <phoneticPr fontId="13" type="noConversion"/>
  </si>
  <si>
    <t>U6-A7-30 / 2P 30A</t>
    <phoneticPr fontId="13" type="noConversion"/>
  </si>
  <si>
    <t>U6-B7-30 / 2P 30A</t>
    <phoneticPr fontId="13" type="noConversion"/>
  </si>
  <si>
    <t>6F-M14</t>
    <phoneticPr fontId="13" type="noConversion"/>
  </si>
  <si>
    <t>A3-21-4</t>
  </si>
  <si>
    <t>B3-21-4</t>
  </si>
  <si>
    <t>U-A3-07 / 2P 30A</t>
    <phoneticPr fontId="13" type="noConversion"/>
  </si>
  <si>
    <t>U-B3-07 / 2P 30A</t>
    <phoneticPr fontId="13" type="noConversion"/>
  </si>
  <si>
    <t>A7-21-4(2)</t>
    <phoneticPr fontId="13" type="noConversion"/>
  </si>
  <si>
    <t>B7-21-4(2)</t>
    <phoneticPr fontId="13" type="noConversion"/>
  </si>
  <si>
    <t>U6-A7-34 / 2P 30A</t>
    <phoneticPr fontId="13" type="noConversion"/>
  </si>
  <si>
    <t>U6-B7-32 / 2P 30A</t>
    <phoneticPr fontId="13" type="noConversion"/>
  </si>
  <si>
    <t>A7-21-4(3)</t>
    <phoneticPr fontId="13" type="noConversion"/>
  </si>
  <si>
    <t>B7-21-4(3)</t>
    <phoneticPr fontId="13" type="noConversion"/>
  </si>
  <si>
    <t>U6-A7-28 / 2P 30A</t>
    <phoneticPr fontId="13" type="noConversion"/>
  </si>
  <si>
    <t>U6-B7-28 / 2P 30A</t>
    <phoneticPr fontId="13" type="noConversion"/>
  </si>
  <si>
    <t>6F-M15</t>
    <phoneticPr fontId="13" type="noConversion"/>
  </si>
  <si>
    <t>A3-21-5</t>
  </si>
  <si>
    <t>B3-21-5</t>
  </si>
  <si>
    <t>U-A3-09 / 2P 30A</t>
    <phoneticPr fontId="13" type="noConversion"/>
  </si>
  <si>
    <t>U-B3-09 / 2P 30A</t>
    <phoneticPr fontId="13" type="noConversion"/>
  </si>
  <si>
    <t>2022/07/01, 알렉스엔 증설예정</t>
  </si>
  <si>
    <t>C307</t>
  </si>
  <si>
    <t>6F-M16</t>
    <phoneticPr fontId="13" type="noConversion"/>
  </si>
  <si>
    <t>A3-21-6</t>
  </si>
  <si>
    <t>B3-21-6</t>
  </si>
  <si>
    <t>U-A3-11 / 2P 30A</t>
    <phoneticPr fontId="13" type="noConversion"/>
  </si>
  <si>
    <t>U-B3-11 / 2P 30A</t>
    <phoneticPr fontId="13" type="noConversion"/>
  </si>
  <si>
    <t>C308</t>
  </si>
  <si>
    <t>6F-M17</t>
    <phoneticPr fontId="13" type="noConversion"/>
  </si>
  <si>
    <t>A3-21-7</t>
  </si>
  <si>
    <t>B3-21-7</t>
  </si>
  <si>
    <t>U-A3-13 / 2P 30A</t>
    <phoneticPr fontId="13" type="noConversion"/>
  </si>
  <si>
    <t>U-B3-13 / 2P 30A</t>
    <phoneticPr fontId="13" type="noConversion"/>
  </si>
  <si>
    <t>C309</t>
  </si>
  <si>
    <t>6F-M18</t>
    <phoneticPr fontId="13" type="noConversion"/>
  </si>
  <si>
    <t>A3-21-8</t>
  </si>
  <si>
    <t>B3-21-8</t>
  </si>
  <si>
    <t>U-A3-15 / 2P 30A</t>
    <phoneticPr fontId="13" type="noConversion"/>
  </si>
  <si>
    <t>U-B3-15 / 2P 30A</t>
    <phoneticPr fontId="13" type="noConversion"/>
  </si>
  <si>
    <t>C310</t>
  </si>
  <si>
    <t>6F-M19</t>
    <phoneticPr fontId="13" type="noConversion"/>
  </si>
  <si>
    <t>A3-21-9</t>
  </si>
  <si>
    <t>B3-21-9</t>
  </si>
  <si>
    <t>U-A3-17 / 2P 30A</t>
    <phoneticPr fontId="13" type="noConversion"/>
  </si>
  <si>
    <t>U-B3-17 / 2P 30A</t>
    <phoneticPr fontId="13" type="noConversion"/>
  </si>
  <si>
    <t>C202</t>
  </si>
  <si>
    <t>6F-N11</t>
    <phoneticPr fontId="13" type="noConversion"/>
  </si>
  <si>
    <t>A4-20-1</t>
    <phoneticPr fontId="13" type="noConversion"/>
  </si>
  <si>
    <t>B4-20-1</t>
    <phoneticPr fontId="13" type="noConversion"/>
  </si>
  <si>
    <t>U-A4-02 / 2P 30A</t>
    <phoneticPr fontId="13" type="noConversion"/>
  </si>
  <si>
    <t>U-B4-02 / 2P 30A</t>
    <phoneticPr fontId="13" type="noConversion"/>
  </si>
  <si>
    <t>U-A4
4P 200A</t>
    <phoneticPr fontId="13" type="noConversion"/>
  </si>
  <si>
    <t>U-B4
4P 200A</t>
    <phoneticPr fontId="13" type="noConversion"/>
  </si>
  <si>
    <t>UPS 출력배전반(A)
#01, 4P 200A</t>
    <phoneticPr fontId="13" type="noConversion"/>
  </si>
  <si>
    <t>UPS 출력배전반(B)
#01, 4P 200A</t>
    <phoneticPr fontId="13" type="noConversion"/>
  </si>
  <si>
    <t>CB Off (22년 5월)</t>
    <phoneticPr fontId="13" type="noConversion"/>
  </si>
  <si>
    <t>C203</t>
  </si>
  <si>
    <t>6F-N12</t>
    <phoneticPr fontId="13" type="noConversion"/>
  </si>
  <si>
    <t>A4-20-2</t>
  </si>
  <si>
    <t>B4-20-2</t>
  </si>
  <si>
    <t>U-A4-04 / 2P 30A</t>
    <phoneticPr fontId="13" type="noConversion"/>
  </si>
  <si>
    <t>U-B4-04 / 2P 30A</t>
    <phoneticPr fontId="13" type="noConversion"/>
  </si>
  <si>
    <t>CB Off (22년 5월)</t>
  </si>
  <si>
    <t>C204</t>
  </si>
  <si>
    <t>6F-N13</t>
    <phoneticPr fontId="13" type="noConversion"/>
  </si>
  <si>
    <t>A4-20-3</t>
  </si>
  <si>
    <t>B4-20-3</t>
  </si>
  <si>
    <t>U-A4-06 / 2P 30A</t>
    <phoneticPr fontId="13" type="noConversion"/>
  </si>
  <si>
    <t>U-B4-06 / 2P 30A</t>
    <phoneticPr fontId="13" type="noConversion"/>
  </si>
  <si>
    <t>C205</t>
  </si>
  <si>
    <t>6F-N14</t>
    <phoneticPr fontId="13" type="noConversion"/>
  </si>
  <si>
    <t>A4-20-4</t>
  </si>
  <si>
    <t>B4-20-4</t>
  </si>
  <si>
    <t>U-A4-08 / 2P 30A</t>
    <phoneticPr fontId="13" type="noConversion"/>
  </si>
  <si>
    <t>U-B4-08 / 2P 30A</t>
    <phoneticPr fontId="13" type="noConversion"/>
  </si>
  <si>
    <t>C206</t>
  </si>
  <si>
    <t>6F-N15</t>
    <phoneticPr fontId="13" type="noConversion"/>
  </si>
  <si>
    <t>A4-20-5</t>
  </si>
  <si>
    <t>B4-20-5</t>
  </si>
  <si>
    <t>U-A4-10 / 2P 30A</t>
    <phoneticPr fontId="13" type="noConversion"/>
  </si>
  <si>
    <t>U-B4-10 / 2P 30A</t>
    <phoneticPr fontId="13" type="noConversion"/>
  </si>
  <si>
    <t>'22/02/22 전기투입</t>
    <phoneticPr fontId="13" type="noConversion"/>
  </si>
  <si>
    <t>C207</t>
  </si>
  <si>
    <t>6F-N16</t>
    <phoneticPr fontId="13" type="noConversion"/>
  </si>
  <si>
    <t>A4-20-6</t>
  </si>
  <si>
    <t>B4-20-6</t>
  </si>
  <si>
    <t>U-A4-12 / 2P 30A</t>
    <phoneticPr fontId="13" type="noConversion"/>
  </si>
  <si>
    <t>U-B4-12 / 2P 30A</t>
    <phoneticPr fontId="13" type="noConversion"/>
  </si>
  <si>
    <t>C208</t>
  </si>
  <si>
    <t>6F-N17</t>
    <phoneticPr fontId="13" type="noConversion"/>
  </si>
  <si>
    <t>A4-20-7</t>
  </si>
  <si>
    <t>#B3-20-7</t>
    <phoneticPr fontId="13" type="noConversion"/>
  </si>
  <si>
    <t>U-A4-14 / 2P 30A</t>
    <phoneticPr fontId="13" type="noConversion"/>
  </si>
  <si>
    <t>U-B3-21 / 2P 30A</t>
    <phoneticPr fontId="13" type="noConversion"/>
  </si>
  <si>
    <t>C209</t>
  </si>
  <si>
    <t>6F-N18</t>
    <phoneticPr fontId="13" type="noConversion"/>
  </si>
  <si>
    <t>A4-20-8</t>
  </si>
  <si>
    <t>B4-20-8</t>
  </si>
  <si>
    <t>U-A4-16 / 2P 30A</t>
    <phoneticPr fontId="13" type="noConversion"/>
  </si>
  <si>
    <t>U-B4-16 / 2P 30A</t>
    <phoneticPr fontId="13" type="noConversion"/>
  </si>
  <si>
    <t>U-B4
4P 200A</t>
  </si>
  <si>
    <t>UPS 출력배전반(B)
#01, 4P 200A</t>
  </si>
  <si>
    <t>C210</t>
  </si>
  <si>
    <t>6F-N19</t>
    <phoneticPr fontId="13" type="noConversion"/>
  </si>
  <si>
    <t>A4-20-9</t>
  </si>
  <si>
    <t>B4-20-9</t>
  </si>
  <si>
    <t>U-A4-18 / 2P 30A</t>
    <phoneticPr fontId="13" type="noConversion"/>
  </si>
  <si>
    <t>U-B4-18 / 2P 30A</t>
    <phoneticPr fontId="13" type="noConversion"/>
  </si>
  <si>
    <t>C101</t>
    <phoneticPr fontId="13" type="noConversion"/>
  </si>
  <si>
    <t>C102</t>
  </si>
  <si>
    <t>6F-O11</t>
    <phoneticPr fontId="13" type="noConversion"/>
  </si>
  <si>
    <t>A4-19-1</t>
    <phoneticPr fontId="13" type="noConversion"/>
  </si>
  <si>
    <t>B4-19-1</t>
    <phoneticPr fontId="13" type="noConversion"/>
  </si>
  <si>
    <t>U6-A7-52 / 2P 30A</t>
    <phoneticPr fontId="13" type="noConversion"/>
  </si>
  <si>
    <t>U6-B7-52 / 2P 30A</t>
    <phoneticPr fontId="13" type="noConversion"/>
  </si>
  <si>
    <t>C103</t>
  </si>
  <si>
    <t>6F-O12</t>
    <phoneticPr fontId="13" type="noConversion"/>
  </si>
  <si>
    <t>A4-19-2</t>
  </si>
  <si>
    <t>B4-19-2</t>
  </si>
  <si>
    <t>U-A4-03 / 2P 30A</t>
    <phoneticPr fontId="13" type="noConversion"/>
  </si>
  <si>
    <t>U-B4-03 / 2P 30A</t>
    <phoneticPr fontId="13" type="noConversion"/>
  </si>
  <si>
    <t>철거완료(9/1)</t>
    <phoneticPr fontId="13" type="noConversion"/>
  </si>
  <si>
    <t>C104</t>
  </si>
  <si>
    <t>6F-O13</t>
    <phoneticPr fontId="13" type="noConversion"/>
  </si>
  <si>
    <t>A4-19-3</t>
  </si>
  <si>
    <t>B4-19-3</t>
  </si>
  <si>
    <t>U-A4-05 / 2P 30A</t>
    <phoneticPr fontId="13" type="noConversion"/>
  </si>
  <si>
    <t>U-B4-05 / 2P 30A</t>
    <phoneticPr fontId="13" type="noConversion"/>
  </si>
  <si>
    <t>C105</t>
  </si>
  <si>
    <t>6F-O14</t>
    <phoneticPr fontId="13" type="noConversion"/>
  </si>
  <si>
    <t>A4-19-4</t>
  </si>
  <si>
    <t>B4-19-4</t>
  </si>
  <si>
    <t>U-A4-07 / 2P 30A</t>
    <phoneticPr fontId="13" type="noConversion"/>
  </si>
  <si>
    <t>U-B4-07 / 2P 30A</t>
    <phoneticPr fontId="13" type="noConversion"/>
  </si>
  <si>
    <t>C106</t>
  </si>
  <si>
    <t>6F-O15</t>
    <phoneticPr fontId="13" type="noConversion"/>
  </si>
  <si>
    <t>A4-19-5</t>
  </si>
  <si>
    <t>B4-19-5</t>
  </si>
  <si>
    <t>U-A4-09 / 2P 30A</t>
    <phoneticPr fontId="13" type="noConversion"/>
  </si>
  <si>
    <t>U-B4-09 / 2P 30A</t>
    <phoneticPr fontId="13" type="noConversion"/>
  </si>
  <si>
    <t>C107</t>
  </si>
  <si>
    <t>6F-O16</t>
    <phoneticPr fontId="13" type="noConversion"/>
  </si>
  <si>
    <t>A4-19-6</t>
  </si>
  <si>
    <t>B4-19-6</t>
  </si>
  <si>
    <t>U-A4-11 / 2P 30A</t>
    <phoneticPr fontId="13" type="noConversion"/>
  </si>
  <si>
    <t>U-B4-11 / 2P 30A</t>
    <phoneticPr fontId="13" type="noConversion"/>
  </si>
  <si>
    <t>C108</t>
  </si>
  <si>
    <t>6F-O17</t>
    <phoneticPr fontId="13" type="noConversion"/>
  </si>
  <si>
    <t>A4-19-7</t>
  </si>
  <si>
    <t>B4-19-7</t>
  </si>
  <si>
    <t>U-A4-13 / 2P 30A</t>
    <phoneticPr fontId="13" type="noConversion"/>
  </si>
  <si>
    <t>U-A3-31 / 2P 30A</t>
    <phoneticPr fontId="13" type="noConversion"/>
  </si>
  <si>
    <t>C109</t>
  </si>
  <si>
    <t>6F-O18</t>
    <phoneticPr fontId="13" type="noConversion"/>
  </si>
  <si>
    <t>A4-19-8</t>
  </si>
  <si>
    <t>B4-19-8</t>
  </si>
  <si>
    <t>U-A4-15 / 2P 30A</t>
    <phoneticPr fontId="13" type="noConversion"/>
  </si>
  <si>
    <t>U-B4-15 / 2P 30A</t>
    <phoneticPr fontId="13" type="noConversion"/>
  </si>
  <si>
    <t>C110</t>
  </si>
  <si>
    <t>6F-O19</t>
    <phoneticPr fontId="13" type="noConversion"/>
  </si>
  <si>
    <t>A4-19-9</t>
  </si>
  <si>
    <t>B4-19-9</t>
  </si>
  <si>
    <t>U-A4-17 / 2P 30A</t>
    <phoneticPr fontId="13" type="noConversion"/>
  </si>
  <si>
    <t>U-B4-17 / 2P 30A</t>
    <phoneticPr fontId="13" type="noConversion"/>
  </si>
  <si>
    <t>B416</t>
  </si>
  <si>
    <t>6F-P11</t>
    <phoneticPr fontId="13" type="noConversion"/>
  </si>
  <si>
    <t>A5-18-1</t>
    <phoneticPr fontId="13" type="noConversion"/>
  </si>
  <si>
    <t>B5-18-1</t>
    <phoneticPr fontId="13" type="noConversion"/>
  </si>
  <si>
    <t>U6-A5-38 / 2P 30A</t>
    <phoneticPr fontId="13" type="noConversion"/>
  </si>
  <si>
    <t>U6-B5-38 / 2P 30A</t>
    <phoneticPr fontId="13" type="noConversion"/>
  </si>
  <si>
    <t>U6-A5
4P 300A</t>
    <phoneticPr fontId="13" type="noConversion"/>
  </si>
  <si>
    <t>U6-B5
4P 300A</t>
    <phoneticPr fontId="13" type="noConversion"/>
  </si>
  <si>
    <t>LV-6A
#05, 3P 320A</t>
    <phoneticPr fontId="13" type="noConversion"/>
  </si>
  <si>
    <t>LV-6B
#01, 3P 320A</t>
    <phoneticPr fontId="13" type="noConversion"/>
  </si>
  <si>
    <t>랙 미설치</t>
    <phoneticPr fontId="13" type="noConversion"/>
  </si>
  <si>
    <t>B417</t>
  </si>
  <si>
    <t>6F-P12</t>
    <phoneticPr fontId="13" type="noConversion"/>
  </si>
  <si>
    <t>A5-18-2</t>
  </si>
  <si>
    <t>B5-18-2</t>
  </si>
  <si>
    <t>U6-A5-40 / 2P 30A</t>
    <phoneticPr fontId="13" type="noConversion"/>
  </si>
  <si>
    <t>U6-B5-40 / 2P 30A</t>
    <phoneticPr fontId="13" type="noConversion"/>
  </si>
  <si>
    <t>B418</t>
  </si>
  <si>
    <t>6F-P13</t>
    <phoneticPr fontId="13" type="noConversion"/>
  </si>
  <si>
    <t>A5-18-3</t>
  </si>
  <si>
    <t>B5-18-3</t>
  </si>
  <si>
    <t>U6-A5-42 / 2P 30A</t>
    <phoneticPr fontId="13" type="noConversion"/>
  </si>
  <si>
    <t>U6-B5-42 / 2P 30A</t>
    <phoneticPr fontId="13" type="noConversion"/>
  </si>
  <si>
    <t>B419</t>
  </si>
  <si>
    <t>6F-P14</t>
    <phoneticPr fontId="13" type="noConversion"/>
  </si>
  <si>
    <t>A5-18-4</t>
  </si>
  <si>
    <t>B5-18-4</t>
  </si>
  <si>
    <t>U6-A5-44 / 2P 30A</t>
    <phoneticPr fontId="13" type="noConversion"/>
  </si>
  <si>
    <t>U6-B5-44 / 2P 30A</t>
    <phoneticPr fontId="13" type="noConversion"/>
  </si>
  <si>
    <t>B420</t>
  </si>
  <si>
    <t>6F-P15</t>
    <phoneticPr fontId="13" type="noConversion"/>
  </si>
  <si>
    <t>A5-18-5</t>
  </si>
  <si>
    <t>B5-18-5</t>
  </si>
  <si>
    <t>U6-A5-46 / 2P 30A</t>
    <phoneticPr fontId="13" type="noConversion"/>
  </si>
  <si>
    <t>U6-B5-46 / 2P 30A</t>
    <phoneticPr fontId="13" type="noConversion"/>
  </si>
  <si>
    <t>B421</t>
  </si>
  <si>
    <t>6F-P16</t>
    <phoneticPr fontId="13" type="noConversion"/>
  </si>
  <si>
    <t>A7-18-6</t>
    <phoneticPr fontId="13" type="noConversion"/>
  </si>
  <si>
    <t>B7-18-6</t>
    <phoneticPr fontId="13" type="noConversion"/>
  </si>
  <si>
    <t>U6-A7-01 / 2P 30A</t>
    <phoneticPr fontId="13" type="noConversion"/>
  </si>
  <si>
    <t>U6-B7-01 / 2P 30A</t>
    <phoneticPr fontId="13" type="noConversion"/>
  </si>
  <si>
    <t>6F-P17</t>
    <phoneticPr fontId="13" type="noConversion"/>
  </si>
  <si>
    <t>A7-18-7</t>
  </si>
  <si>
    <t>B7-18-7</t>
  </si>
  <si>
    <t>U6-A7-03 / 2P 30A</t>
    <phoneticPr fontId="13" type="noConversion"/>
  </si>
  <si>
    <t>U6-B7-03 / 2P 30A</t>
    <phoneticPr fontId="13" type="noConversion"/>
  </si>
  <si>
    <t>6F-P18</t>
    <phoneticPr fontId="13" type="noConversion"/>
  </si>
  <si>
    <t>A7-18-8</t>
  </si>
  <si>
    <t>B7-18-8</t>
  </si>
  <si>
    <t>U6-A7-05 / 2P 30A</t>
    <phoneticPr fontId="13" type="noConversion"/>
  </si>
  <si>
    <t>U6-B7-05 / 2P 30A</t>
    <phoneticPr fontId="13" type="noConversion"/>
  </si>
  <si>
    <t>6F-P19</t>
    <phoneticPr fontId="13" type="noConversion"/>
  </si>
  <si>
    <t>A7-18-9</t>
  </si>
  <si>
    <t>B7-18-9</t>
  </si>
  <si>
    <t>U6-A7-07 / 2P 30A</t>
    <phoneticPr fontId="13" type="noConversion"/>
  </si>
  <si>
    <t>U6-B7-07 / 2P 30A</t>
    <phoneticPr fontId="13" type="noConversion"/>
  </si>
  <si>
    <t>B425</t>
  </si>
  <si>
    <t>B316</t>
  </si>
  <si>
    <t>6F-Q11</t>
    <phoneticPr fontId="13" type="noConversion"/>
  </si>
  <si>
    <t>A5-17-1</t>
    <phoneticPr fontId="13" type="noConversion"/>
  </si>
  <si>
    <t>B5-17-1</t>
    <phoneticPr fontId="13" type="noConversion"/>
  </si>
  <si>
    <t>U6-A5-20 / 2P 30A</t>
    <phoneticPr fontId="13" type="noConversion"/>
  </si>
  <si>
    <t>U6-B5-20 / 2P 30A</t>
    <phoneticPr fontId="13" type="noConversion"/>
  </si>
  <si>
    <t>B317</t>
  </si>
  <si>
    <t>6F-Q12</t>
    <phoneticPr fontId="13" type="noConversion"/>
  </si>
  <si>
    <t>A5-17-2</t>
  </si>
  <si>
    <t>B5-17-2</t>
  </si>
  <si>
    <t>U6-A5-22 / 2P 30A</t>
    <phoneticPr fontId="13" type="noConversion"/>
  </si>
  <si>
    <t>U6-B5-22 / 2P 30A</t>
    <phoneticPr fontId="13" type="noConversion"/>
  </si>
  <si>
    <t>B318</t>
  </si>
  <si>
    <t>6F-Q13</t>
    <phoneticPr fontId="13" type="noConversion"/>
  </si>
  <si>
    <t>A5-17-3</t>
  </si>
  <si>
    <t>B5-17-3</t>
  </si>
  <si>
    <t>U6-A5-24 / 2P 30A</t>
    <phoneticPr fontId="13" type="noConversion"/>
  </si>
  <si>
    <t>U6-B5-24 / 2P 30A</t>
    <phoneticPr fontId="13" type="noConversion"/>
  </si>
  <si>
    <t>B319</t>
  </si>
  <si>
    <t>6F-Q14</t>
    <phoneticPr fontId="13" type="noConversion"/>
  </si>
  <si>
    <t>A5-17-4</t>
  </si>
  <si>
    <t>B5-17-4</t>
  </si>
  <si>
    <t>U6-A5-26 / 2P 30A</t>
    <phoneticPr fontId="13" type="noConversion"/>
  </si>
  <si>
    <t>U6-B5-26 / 2P 30A</t>
    <phoneticPr fontId="13" type="noConversion"/>
  </si>
  <si>
    <t>B320</t>
  </si>
  <si>
    <t>6F-Q15</t>
    <phoneticPr fontId="13" type="noConversion"/>
  </si>
  <si>
    <t>A5-17-5</t>
  </si>
  <si>
    <t>B5-17-5</t>
  </si>
  <si>
    <t>U6-A5-28 / 2P 30A</t>
    <phoneticPr fontId="13" type="noConversion"/>
  </si>
  <si>
    <t>U6-B5-28 / 2P 30A</t>
    <phoneticPr fontId="13" type="noConversion"/>
  </si>
  <si>
    <t>B321</t>
  </si>
  <si>
    <t>6F-Q16</t>
    <phoneticPr fontId="13" type="noConversion"/>
  </si>
  <si>
    <t>A5-17-6</t>
  </si>
  <si>
    <t>B5-17-6</t>
  </si>
  <si>
    <t>U6-A5-30 / 2P 30A</t>
    <phoneticPr fontId="13" type="noConversion"/>
  </si>
  <si>
    <t>U6-B5-30 / 2P 30A</t>
    <phoneticPr fontId="13" type="noConversion"/>
  </si>
  <si>
    <t>B322</t>
  </si>
  <si>
    <t>6F-Q17</t>
    <phoneticPr fontId="13" type="noConversion"/>
  </si>
  <si>
    <t>A5-17-7</t>
  </si>
  <si>
    <t>B5-17-7</t>
  </si>
  <si>
    <t>U6-A5-32 / 2P 30A</t>
    <phoneticPr fontId="13" type="noConversion"/>
  </si>
  <si>
    <t>U6-B5-32 / 2P 30A</t>
    <phoneticPr fontId="13" type="noConversion"/>
  </si>
  <si>
    <t>B323</t>
  </si>
  <si>
    <t>6F-Q18</t>
    <phoneticPr fontId="13" type="noConversion"/>
  </si>
  <si>
    <t>A5-17-8</t>
  </si>
  <si>
    <t>B5-17-8</t>
  </si>
  <si>
    <t>U6-A5-34 / 2P 30A</t>
    <phoneticPr fontId="13" type="noConversion"/>
  </si>
  <si>
    <t>U6-B5-34 / 2P 30A</t>
    <phoneticPr fontId="13" type="noConversion"/>
  </si>
  <si>
    <t>B324</t>
  </si>
  <si>
    <t>6F-Q19</t>
    <phoneticPr fontId="13" type="noConversion"/>
  </si>
  <si>
    <t>A5-17-9</t>
  </si>
  <si>
    <t>B5-17-9</t>
  </si>
  <si>
    <t>U6-A5-36 / 2P 30A</t>
    <phoneticPr fontId="13" type="noConversion"/>
  </si>
  <si>
    <t>U6-B5-36 / 2P 30A</t>
    <phoneticPr fontId="13" type="noConversion"/>
  </si>
  <si>
    <t>B325</t>
  </si>
  <si>
    <t>B215</t>
    <phoneticPr fontId="13" type="noConversion"/>
  </si>
  <si>
    <t>B216</t>
  </si>
  <si>
    <t>6F-R11</t>
    <phoneticPr fontId="13" type="noConversion"/>
  </si>
  <si>
    <t>A1-16-1</t>
    <phoneticPr fontId="13" type="noConversion"/>
  </si>
  <si>
    <t>B1-16-1</t>
    <phoneticPr fontId="13" type="noConversion"/>
  </si>
  <si>
    <t>U-A1-45 / 2P 30A</t>
    <phoneticPr fontId="13" type="noConversion"/>
  </si>
  <si>
    <t>U-B1-45 / 2P 30A</t>
    <phoneticPr fontId="13" type="noConversion"/>
  </si>
  <si>
    <t>U-A1
4P 200A</t>
    <phoneticPr fontId="13" type="noConversion"/>
  </si>
  <si>
    <t>U-B1
4P 200A</t>
    <phoneticPr fontId="13" type="noConversion"/>
  </si>
  <si>
    <t>UPS 출력배전반(A)
#04, 4P 200A</t>
    <phoneticPr fontId="13" type="noConversion"/>
  </si>
  <si>
    <t>UPS 출력배전반(B)
#02, 4P 200A</t>
    <phoneticPr fontId="13" type="noConversion"/>
  </si>
  <si>
    <t>B217</t>
  </si>
  <si>
    <t>6F-R12</t>
    <phoneticPr fontId="13" type="noConversion"/>
  </si>
  <si>
    <t>A1-16-2</t>
  </si>
  <si>
    <t>B1-16-2</t>
  </si>
  <si>
    <t>U-A1-47 / 2P 30A</t>
    <phoneticPr fontId="13" type="noConversion"/>
  </si>
  <si>
    <t>U-B1-47 / 2P 30A</t>
    <phoneticPr fontId="13" type="noConversion"/>
  </si>
  <si>
    <t>B218</t>
  </si>
  <si>
    <t>6F-R13</t>
    <phoneticPr fontId="13" type="noConversion"/>
  </si>
  <si>
    <t>A5-16-3</t>
    <phoneticPr fontId="13" type="noConversion"/>
  </si>
  <si>
    <t>B5-16-3</t>
    <phoneticPr fontId="13" type="noConversion"/>
  </si>
  <si>
    <t>U6-A5-48 / 2P 30A</t>
    <phoneticPr fontId="13" type="noConversion"/>
  </si>
  <si>
    <t>U6-B5-48 / 2P 30A</t>
    <phoneticPr fontId="13" type="noConversion"/>
  </si>
  <si>
    <t>B219</t>
  </si>
  <si>
    <t>6F-R14</t>
    <phoneticPr fontId="13" type="noConversion"/>
  </si>
  <si>
    <t>A1-16-4</t>
  </si>
  <si>
    <t>B1-16-4</t>
  </si>
  <si>
    <t>U-A1-18 / 2P 30A</t>
    <phoneticPr fontId="13" type="noConversion"/>
  </si>
  <si>
    <t>U-B1-34 / 2P 30A</t>
    <phoneticPr fontId="13" type="noConversion"/>
  </si>
  <si>
    <t>B220</t>
  </si>
  <si>
    <t>6F-R15</t>
    <phoneticPr fontId="13" type="noConversion"/>
  </si>
  <si>
    <t>에네이</t>
    <phoneticPr fontId="13" type="noConversion"/>
  </si>
  <si>
    <t>A1-16-5</t>
  </si>
  <si>
    <t>B1-16-5</t>
  </si>
  <si>
    <t>U-A1-20 / 2P 30A</t>
    <phoneticPr fontId="13" type="noConversion"/>
  </si>
  <si>
    <t>U-B1-20 / 2P 30A</t>
    <phoneticPr fontId="13" type="noConversion"/>
  </si>
  <si>
    <t>2023/04/13 장비 이동 확인 후 Off 할 것</t>
    <phoneticPr fontId="13" type="noConversion"/>
  </si>
  <si>
    <t>B221</t>
  </si>
  <si>
    <t>6F-R16</t>
    <phoneticPr fontId="13" type="noConversion"/>
  </si>
  <si>
    <t>A1-16-6</t>
  </si>
  <si>
    <t>B1-16-6</t>
  </si>
  <si>
    <t>U-A1-22 / 2P 30A</t>
    <phoneticPr fontId="13" type="noConversion"/>
  </si>
  <si>
    <t>U-B1-22 / 2P 30A</t>
    <phoneticPr fontId="13" type="noConversion"/>
  </si>
  <si>
    <t>B222</t>
  </si>
  <si>
    <t>6F-R17</t>
    <phoneticPr fontId="13" type="noConversion"/>
  </si>
  <si>
    <t>A1-16-7</t>
  </si>
  <si>
    <t>B1-16-7</t>
  </si>
  <si>
    <t>U-A1-24 / 2P 30A</t>
    <phoneticPr fontId="13" type="noConversion"/>
  </si>
  <si>
    <t>U-B1-24 / 2P 30A</t>
    <phoneticPr fontId="13" type="noConversion"/>
  </si>
  <si>
    <t>B223</t>
  </si>
  <si>
    <t>6F-R18</t>
    <phoneticPr fontId="13" type="noConversion"/>
  </si>
  <si>
    <t>A1-16-8</t>
  </si>
  <si>
    <t>B1-16-8</t>
  </si>
  <si>
    <t>U-A1-26 / 2P 30A</t>
    <phoneticPr fontId="13" type="noConversion"/>
  </si>
  <si>
    <t>U-B1-26 / 2P 30A</t>
    <phoneticPr fontId="13" type="noConversion"/>
  </si>
  <si>
    <t>B224</t>
  </si>
  <si>
    <t>6F-R19</t>
    <phoneticPr fontId="13" type="noConversion"/>
  </si>
  <si>
    <t>A1-16-9</t>
  </si>
  <si>
    <t>B1-16-9</t>
  </si>
  <si>
    <t>U-A1-28 / 2P 30A</t>
    <phoneticPr fontId="13" type="noConversion"/>
  </si>
  <si>
    <t>U-B1-28 / 2P 30A</t>
    <phoneticPr fontId="13" type="noConversion"/>
  </si>
  <si>
    <t>B225</t>
  </si>
  <si>
    <t>B115</t>
    <phoneticPr fontId="13" type="noConversion"/>
  </si>
  <si>
    <t>B116</t>
    <phoneticPr fontId="13" type="noConversion"/>
  </si>
  <si>
    <t>6F-S11</t>
    <phoneticPr fontId="13" type="noConversion"/>
  </si>
  <si>
    <t>A4-36-3</t>
    <phoneticPr fontId="13" type="noConversion"/>
  </si>
  <si>
    <t>B4-36-3</t>
    <phoneticPr fontId="13" type="noConversion"/>
  </si>
  <si>
    <t>U-A4-23 / 2P 30A</t>
    <phoneticPr fontId="13" type="noConversion"/>
  </si>
  <si>
    <t>U-B4-23 / 2P 30A</t>
    <phoneticPr fontId="13" type="noConversion"/>
  </si>
  <si>
    <t>B117</t>
  </si>
  <si>
    <t>6F-S12</t>
    <phoneticPr fontId="13" type="noConversion"/>
  </si>
  <si>
    <t>A4-36-4</t>
  </si>
  <si>
    <t>B4-36-4</t>
  </si>
  <si>
    <t>U-A4-25 / 2P 30A</t>
    <phoneticPr fontId="13" type="noConversion"/>
  </si>
  <si>
    <t>U-B4-25 / 2P 30A</t>
    <phoneticPr fontId="13" type="noConversion"/>
  </si>
  <si>
    <t>B118</t>
  </si>
  <si>
    <t>6F-S13</t>
    <phoneticPr fontId="13" type="noConversion"/>
  </si>
  <si>
    <t>A4-36-5</t>
  </si>
  <si>
    <t>B4-36-5</t>
  </si>
  <si>
    <t>U-A4-27 / 2P 30A</t>
    <phoneticPr fontId="13" type="noConversion"/>
  </si>
  <si>
    <t>U-B4-27 / 2P 30A</t>
    <phoneticPr fontId="13" type="noConversion"/>
  </si>
  <si>
    <t>U-A4-49</t>
    <phoneticPr fontId="13" type="noConversion"/>
  </si>
  <si>
    <t>U-B4-49</t>
    <phoneticPr fontId="13" type="noConversion"/>
  </si>
  <si>
    <t>U-A4-49 / 2P 30A</t>
    <phoneticPr fontId="13" type="noConversion"/>
  </si>
  <si>
    <t>U-B4-49 / 2P 30A</t>
    <phoneticPr fontId="13" type="noConversion"/>
  </si>
  <si>
    <t>B119</t>
    <phoneticPr fontId="13" type="noConversion"/>
  </si>
  <si>
    <t>6F-S14</t>
    <phoneticPr fontId="13" type="noConversion"/>
  </si>
  <si>
    <t>A4-36-6</t>
  </si>
  <si>
    <t>B4-36-6</t>
  </si>
  <si>
    <t>U-A4-29 / 2P 30A</t>
    <phoneticPr fontId="13" type="noConversion"/>
  </si>
  <si>
    <t>U-B4-29 / 2P 30A</t>
    <phoneticPr fontId="13" type="noConversion"/>
  </si>
  <si>
    <t>B120</t>
    <phoneticPr fontId="13" type="noConversion"/>
  </si>
  <si>
    <t>6F-S15</t>
    <phoneticPr fontId="13" type="noConversion"/>
  </si>
  <si>
    <t>A4-36-7</t>
  </si>
  <si>
    <t>B4-36-7</t>
  </si>
  <si>
    <t>U-A4-31 / 2P 30A</t>
    <phoneticPr fontId="13" type="noConversion"/>
  </si>
  <si>
    <t>U-B4-31 / 2P 30A</t>
    <phoneticPr fontId="13" type="noConversion"/>
  </si>
  <si>
    <t>U-A4-47</t>
    <phoneticPr fontId="13" type="noConversion"/>
  </si>
  <si>
    <t>U-B4-47</t>
    <phoneticPr fontId="13" type="noConversion"/>
  </si>
  <si>
    <t>U-A4-47 / 2P 30A</t>
    <phoneticPr fontId="13" type="noConversion"/>
  </si>
  <si>
    <t>U-B4-47 / 2P 30A</t>
    <phoneticPr fontId="13" type="noConversion"/>
  </si>
  <si>
    <t>B121</t>
    <phoneticPr fontId="13" type="noConversion"/>
  </si>
  <si>
    <t>6F-S16</t>
    <phoneticPr fontId="13" type="noConversion"/>
  </si>
  <si>
    <t>A4-36-8</t>
  </si>
  <si>
    <t>B4-36-8</t>
  </si>
  <si>
    <t>U-A4-33 / 2P 30A</t>
    <phoneticPr fontId="13" type="noConversion"/>
  </si>
  <si>
    <t>U-B4-33 / 2P 30A</t>
    <phoneticPr fontId="13" type="noConversion"/>
  </si>
  <si>
    <t>B122</t>
  </si>
  <si>
    <t>6F-S17</t>
    <phoneticPr fontId="13" type="noConversion"/>
  </si>
  <si>
    <t>B123</t>
  </si>
  <si>
    <t>6F-S18</t>
    <phoneticPr fontId="13" type="noConversion"/>
  </si>
  <si>
    <t>B124</t>
  </si>
  <si>
    <t>6F-S19</t>
    <phoneticPr fontId="13" type="noConversion"/>
  </si>
  <si>
    <t>B125</t>
  </si>
  <si>
    <t>B401</t>
    <phoneticPr fontId="13" type="noConversion"/>
  </si>
  <si>
    <t>A5-15-5(2)</t>
    <phoneticPr fontId="13" type="noConversion"/>
  </si>
  <si>
    <t>B5-15-5(2)</t>
    <phoneticPr fontId="13" type="noConversion"/>
  </si>
  <si>
    <t>U6-A5-54 / 2P 30A</t>
    <phoneticPr fontId="13" type="noConversion"/>
  </si>
  <si>
    <t>U6-B5-54 / 2P 30A</t>
    <phoneticPr fontId="13" type="noConversion"/>
  </si>
  <si>
    <t>제로투세븐(메타넷) 이동설치 예정(4/15)</t>
    <phoneticPr fontId="13" type="noConversion"/>
  </si>
  <si>
    <t>B402</t>
  </si>
  <si>
    <t>6F-T11</t>
    <phoneticPr fontId="13" type="noConversion"/>
  </si>
  <si>
    <t>A5-15-1</t>
    <phoneticPr fontId="13" type="noConversion"/>
  </si>
  <si>
    <t>B5-15-1</t>
    <phoneticPr fontId="13" type="noConversion"/>
  </si>
  <si>
    <t>U6-A5-02 / 2P 30A</t>
    <phoneticPr fontId="13" type="noConversion"/>
  </si>
  <si>
    <t>U6-B5-02 / 2P 30A</t>
    <phoneticPr fontId="13" type="noConversion"/>
  </si>
  <si>
    <t>B403</t>
  </si>
  <si>
    <t>6F-T12</t>
    <phoneticPr fontId="13" type="noConversion"/>
  </si>
  <si>
    <t>A5-15-2</t>
  </si>
  <si>
    <t>B5-15-2</t>
  </si>
  <si>
    <t>U6-A5-04 / 2P 30A</t>
    <phoneticPr fontId="13" type="noConversion"/>
  </si>
  <si>
    <t>U6-B5-04 / 2P 30A</t>
    <phoneticPr fontId="13" type="noConversion"/>
  </si>
  <si>
    <t>B404</t>
  </si>
  <si>
    <t>6F-T13</t>
    <phoneticPr fontId="13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</si>
  <si>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</si>
  <si>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</si>
  <si>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3" type="noConversion"/>
  </si>
  <si>
    <t>U6-B5-06 / 2P 30A</t>
    <phoneticPr fontId="13" type="noConversion"/>
  </si>
  <si>
    <t>B405</t>
  </si>
  <si>
    <t>6F-T14</t>
    <phoneticPr fontId="13" type="noConversion"/>
  </si>
  <si>
    <t>A5-15-4</t>
  </si>
  <si>
    <t>B5-15-4</t>
  </si>
  <si>
    <t>U6-A5-08 / 2P 30A</t>
    <phoneticPr fontId="13" type="noConversion"/>
  </si>
  <si>
    <t>U6-B5-08 / 2P 30A</t>
    <phoneticPr fontId="13" type="noConversion"/>
  </si>
  <si>
    <t>B406</t>
  </si>
  <si>
    <t>6F-T15</t>
    <phoneticPr fontId="13" type="noConversion"/>
  </si>
  <si>
    <t>A5-15-5</t>
  </si>
  <si>
    <t>B5-15-5</t>
  </si>
  <si>
    <t>U6-A5-10 / 2P 30A</t>
    <phoneticPr fontId="13" type="noConversion"/>
  </si>
  <si>
    <t>U6-B5-10 / 2P 30A</t>
    <phoneticPr fontId="13" type="noConversion"/>
  </si>
  <si>
    <t>6F-T16</t>
    <phoneticPr fontId="13" type="noConversion"/>
  </si>
  <si>
    <t>A5-15-6</t>
  </si>
  <si>
    <t>B5-15-6</t>
  </si>
  <si>
    <t>U6-A5-12 / 2P 30A</t>
    <phoneticPr fontId="13" type="noConversion"/>
  </si>
  <si>
    <t>U6-B5-12 / 2P 30A</t>
    <phoneticPr fontId="13" type="noConversion"/>
  </si>
  <si>
    <t>B408</t>
  </si>
  <si>
    <t>6F-T17</t>
    <phoneticPr fontId="13" type="noConversion"/>
  </si>
  <si>
    <t>A5-15-7</t>
  </si>
  <si>
    <t>B5-15-7</t>
  </si>
  <si>
    <t>U6-A5-14 / 2P 30A</t>
    <phoneticPr fontId="13" type="noConversion"/>
  </si>
  <si>
    <t>U6-B5-14 / 2P 30A</t>
    <phoneticPr fontId="13" type="noConversion"/>
  </si>
  <si>
    <t>B409</t>
  </si>
  <si>
    <t>6F-T18</t>
    <phoneticPr fontId="13" type="noConversion"/>
  </si>
  <si>
    <t>A5-15-8</t>
  </si>
  <si>
    <t>B5-15-8</t>
  </si>
  <si>
    <t>U6-A5-16 / 2P 30A</t>
    <phoneticPr fontId="13" type="noConversion"/>
  </si>
  <si>
    <t>U6-B5-16 / 2P 30A</t>
    <phoneticPr fontId="13" type="noConversion"/>
  </si>
  <si>
    <t>B410</t>
  </si>
  <si>
    <t>6F-T19</t>
    <phoneticPr fontId="13" type="noConversion"/>
  </si>
  <si>
    <t>Enei</t>
  </si>
  <si>
    <t>A1-13-9</t>
    <phoneticPr fontId="13" type="noConversion"/>
  </si>
  <si>
    <t>B1-13-9</t>
    <phoneticPr fontId="13" type="noConversion"/>
  </si>
  <si>
    <t>U-A1-43 / 2P 30A</t>
    <phoneticPr fontId="13" type="noConversion"/>
  </si>
  <si>
    <t>U-B1-43 / 2P 30A</t>
    <phoneticPr fontId="13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</si>
  <si>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</si>
  <si>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</si>
  <si>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</si>
  <si>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</si>
  <si>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3" type="noConversion"/>
  </si>
  <si>
    <t>B411</t>
  </si>
  <si>
    <t>U-A1-42 / 2P 30A</t>
    <phoneticPr fontId="13" type="noConversion"/>
  </si>
  <si>
    <t>U-B1-42 / 2P 30A</t>
    <phoneticPr fontId="13" type="noConversion"/>
  </si>
  <si>
    <t>2023/04/13 이설 후 전기사용예정</t>
  </si>
  <si>
    <t>B301</t>
    <phoneticPr fontId="13" type="noConversion"/>
  </si>
  <si>
    <t>6F-U10</t>
    <phoneticPr fontId="13" type="noConversion"/>
  </si>
  <si>
    <t>A5-14-1</t>
    <phoneticPr fontId="13" type="noConversion"/>
  </si>
  <si>
    <t>B5-14-1</t>
    <phoneticPr fontId="13" type="noConversion"/>
  </si>
  <si>
    <t>U6-A5-37 / 2P 30A</t>
    <phoneticPr fontId="13" type="noConversion"/>
  </si>
  <si>
    <t>U6-B5-37 / 2P 30A</t>
    <phoneticPr fontId="13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</si>
  <si>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</si>
  <si>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</si>
  <si>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</si>
  <si>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</si>
  <si>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</si>
  <si>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</si>
  <si>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3" type="noConversion"/>
  </si>
  <si>
    <t>6F-U11</t>
    <phoneticPr fontId="13" type="noConversion"/>
  </si>
  <si>
    <t>A5-14-2</t>
  </si>
  <si>
    <t>B5-14-2</t>
  </si>
  <si>
    <t>U6-A5-39 / 2P 30A</t>
    <phoneticPr fontId="13" type="noConversion"/>
  </si>
  <si>
    <t>U6-B5-39 / 2P 30A</t>
    <phoneticPr fontId="13" type="noConversion"/>
  </si>
  <si>
    <t>B303</t>
  </si>
  <si>
    <t>6F-U12</t>
    <phoneticPr fontId="13" type="noConversion"/>
  </si>
  <si>
    <t>A5-14-3</t>
  </si>
  <si>
    <t>B5-14-3</t>
  </si>
  <si>
    <t>U6-A5-41 / 2P 30A</t>
    <phoneticPr fontId="13" type="noConversion"/>
  </si>
  <si>
    <t>U6-B5-41 / 2P 30A</t>
    <phoneticPr fontId="13" type="noConversion"/>
  </si>
  <si>
    <t>B304</t>
  </si>
  <si>
    <t>6F-U13</t>
    <phoneticPr fontId="13" type="noConversion"/>
  </si>
  <si>
    <t>A5-14-4</t>
  </si>
  <si>
    <t>B5-14-4</t>
  </si>
  <si>
    <t>U6-A5-43 / 2P 30A</t>
    <phoneticPr fontId="13" type="noConversion"/>
  </si>
  <si>
    <t>U6-B5-43 / 2P 30A</t>
    <phoneticPr fontId="13" type="noConversion"/>
  </si>
  <si>
    <t>B305</t>
  </si>
  <si>
    <t>6F-U14</t>
    <phoneticPr fontId="13" type="noConversion"/>
  </si>
  <si>
    <t>A5-14-5</t>
  </si>
  <si>
    <t>B5-14-5</t>
  </si>
  <si>
    <t>U6-A5-45 / 2P 30A</t>
    <phoneticPr fontId="13" type="noConversion"/>
  </si>
  <si>
    <t>U6-B5-45 / 2P 30A</t>
    <phoneticPr fontId="13" type="noConversion"/>
  </si>
  <si>
    <t>B306</t>
  </si>
  <si>
    <t>6F-U15</t>
    <phoneticPr fontId="13" type="noConversion"/>
  </si>
  <si>
    <t>A5-14-6</t>
  </si>
  <si>
    <t>B5-14-6</t>
  </si>
  <si>
    <t>U6-A5-47 / 2P 30A</t>
    <phoneticPr fontId="13" type="noConversion"/>
  </si>
  <si>
    <t>U6-B5-47 / 2P 30A</t>
    <phoneticPr fontId="13" type="noConversion"/>
  </si>
  <si>
    <t>B307</t>
  </si>
  <si>
    <t>6F-U16</t>
    <phoneticPr fontId="13" type="noConversion"/>
  </si>
  <si>
    <t>A5-14-7</t>
  </si>
  <si>
    <t>B5-14-7</t>
  </si>
  <si>
    <t>U6-A5-49 / 2P 30A</t>
    <phoneticPr fontId="13" type="noConversion"/>
  </si>
  <si>
    <t>U6-B5-49 / 2P 30A</t>
    <phoneticPr fontId="13" type="noConversion"/>
  </si>
  <si>
    <t>B308</t>
  </si>
  <si>
    <t>6F-U17</t>
    <phoneticPr fontId="13" type="noConversion"/>
  </si>
  <si>
    <t>A5-14-8</t>
  </si>
  <si>
    <t>B5-14-8</t>
  </si>
  <si>
    <t>U6-A5-51 / 2P 30A</t>
    <phoneticPr fontId="13" type="noConversion"/>
  </si>
  <si>
    <t>U6-B5-51 / 2P 30A</t>
    <phoneticPr fontId="13" type="noConversion"/>
  </si>
  <si>
    <t>U-A2
4P 200A</t>
    <phoneticPr fontId="13" type="noConversion"/>
  </si>
  <si>
    <t>U-B2
4P 200A</t>
    <phoneticPr fontId="13" type="noConversion"/>
  </si>
  <si>
    <t>UPS 출력배전반(A)
#02, 4P 200A</t>
    <phoneticPr fontId="13" type="noConversion"/>
  </si>
  <si>
    <t>UPS 출력배전반(B)
#04, 4P 200A</t>
    <phoneticPr fontId="13" type="noConversion"/>
  </si>
  <si>
    <t>B309</t>
  </si>
  <si>
    <t>6F-U18</t>
    <phoneticPr fontId="13" type="noConversion"/>
  </si>
  <si>
    <t>A5-14-9</t>
  </si>
  <si>
    <t>B5-14-9</t>
  </si>
  <si>
    <t>U6-A5-53 / 2P 30A</t>
    <phoneticPr fontId="13" type="noConversion"/>
  </si>
  <si>
    <t>U6-B5-53 / 2P 30A</t>
    <phoneticPr fontId="13" type="noConversion"/>
  </si>
  <si>
    <t>B310</t>
  </si>
  <si>
    <t>B311</t>
  </si>
  <si>
    <t>B201</t>
    <phoneticPr fontId="13" type="noConversion"/>
  </si>
  <si>
    <t>A1-13-5</t>
  </si>
  <si>
    <t>B1-13-5</t>
  </si>
  <si>
    <t>6F-AA11</t>
    <phoneticPr fontId="13" type="noConversion"/>
  </si>
  <si>
    <t>A1-13-1</t>
    <phoneticPr fontId="13" type="noConversion"/>
  </si>
  <si>
    <t>B1-13-1</t>
    <phoneticPr fontId="13" type="noConversion"/>
  </si>
  <si>
    <t>U-A1-27 / 2P 30A</t>
    <phoneticPr fontId="13" type="noConversion"/>
  </si>
  <si>
    <t>U-B1-27 / 2P 30A</t>
    <phoneticPr fontId="13" type="noConversion"/>
  </si>
  <si>
    <t>6F-AA12</t>
  </si>
  <si>
    <t>A1-13-2</t>
  </si>
  <si>
    <t>B1-13-2</t>
  </si>
  <si>
    <t>U-A1-29 / 2P 30A</t>
    <phoneticPr fontId="13" type="noConversion"/>
  </si>
  <si>
    <t>U-B1-29 / 2P 30A</t>
    <phoneticPr fontId="13" type="noConversion"/>
  </si>
  <si>
    <t>B204</t>
  </si>
  <si>
    <t>6F-AA13</t>
  </si>
  <si>
    <t>A1-13-3</t>
  </si>
  <si>
    <t>B1-13-3</t>
  </si>
  <si>
    <t>U-A1-31 / 2P 30A</t>
    <phoneticPr fontId="13" type="noConversion"/>
  </si>
  <si>
    <t>U-B1-31 / 2P 30A</t>
    <phoneticPr fontId="13" type="noConversion"/>
  </si>
  <si>
    <t>B205</t>
  </si>
  <si>
    <t>6F-AA14</t>
  </si>
  <si>
    <t>A1-13-4</t>
  </si>
  <si>
    <t>B1-13-4</t>
  </si>
  <si>
    <t>U-A1-33 / 2P 30A</t>
    <phoneticPr fontId="13" type="noConversion"/>
  </si>
  <si>
    <t>U-B1-33 / 2P 30A</t>
    <phoneticPr fontId="13" type="noConversion"/>
  </si>
  <si>
    <t>B206</t>
  </si>
  <si>
    <t>6F-AA15</t>
  </si>
  <si>
    <t>U-A1-35 / 2P 30A</t>
    <phoneticPr fontId="13" type="noConversion"/>
  </si>
  <si>
    <t>U-B1-35 / 2P 30A</t>
    <phoneticPr fontId="13" type="noConversion"/>
  </si>
  <si>
    <t>B207</t>
  </si>
  <si>
    <t>6F-AA16</t>
  </si>
  <si>
    <t>A1-13-6</t>
  </si>
  <si>
    <t>B1-13-6</t>
  </si>
  <si>
    <t>U-A1-37 / 2P 30A</t>
    <phoneticPr fontId="13" type="noConversion"/>
  </si>
  <si>
    <t>U-B1-37 / 2P 30A</t>
    <phoneticPr fontId="13" type="noConversion"/>
  </si>
  <si>
    <t>B208</t>
  </si>
  <si>
    <t>6F-AA17</t>
  </si>
  <si>
    <t>A1-13-7</t>
  </si>
  <si>
    <t>B1-13-7</t>
  </si>
  <si>
    <t>U-A1-39 / 2P 30A</t>
    <phoneticPr fontId="13" type="noConversion"/>
  </si>
  <si>
    <t>U-B1-39 / 2P 30A</t>
    <phoneticPr fontId="13" type="noConversion"/>
  </si>
  <si>
    <t>B209</t>
  </si>
  <si>
    <t>6F-AA18</t>
  </si>
  <si>
    <t>A1-13-8</t>
  </si>
  <si>
    <t>B1-13-8</t>
  </si>
  <si>
    <t>U-A1-41 / 2P 30A</t>
    <phoneticPr fontId="13" type="noConversion"/>
  </si>
  <si>
    <t>U-B1-41 / 2P 30A</t>
    <phoneticPr fontId="13" type="noConversion"/>
  </si>
  <si>
    <t>6F-AA19</t>
  </si>
  <si>
    <t>A1-13-8(2)</t>
  </si>
  <si>
    <t>B1-13-8(2)</t>
  </si>
  <si>
    <t>U-A1-49 / 2P 30A</t>
    <phoneticPr fontId="13" type="noConversion"/>
  </si>
  <si>
    <t>U-B1-30 / 2P 30A</t>
    <phoneticPr fontId="13" type="noConversion"/>
  </si>
  <si>
    <t>B211</t>
  </si>
  <si>
    <t>6F-V18</t>
    <phoneticPr fontId="13" type="noConversion"/>
  </si>
  <si>
    <t>6F-V17</t>
    <phoneticPr fontId="13" type="noConversion"/>
  </si>
  <si>
    <t>A2-7-2</t>
    <phoneticPr fontId="13" type="noConversion"/>
  </si>
  <si>
    <t>B2-7-2</t>
    <phoneticPr fontId="13" type="noConversion"/>
  </si>
  <si>
    <t>U-A2-24 / 2P 30A</t>
    <phoneticPr fontId="13" type="noConversion"/>
  </si>
  <si>
    <t>U-B2-24 / 2P 30A</t>
    <phoneticPr fontId="13" type="noConversion"/>
  </si>
  <si>
    <t>A2-7-1</t>
    <phoneticPr fontId="13" type="noConversion"/>
  </si>
  <si>
    <t>B2-7-1</t>
    <phoneticPr fontId="13" type="noConversion"/>
  </si>
  <si>
    <t>U-A2-22 / 2P 30A</t>
    <phoneticPr fontId="13" type="noConversion"/>
  </si>
  <si>
    <t>U-B2-22 / 2P 30A</t>
    <phoneticPr fontId="13" type="noConversion"/>
  </si>
  <si>
    <t>6F-V16</t>
    <phoneticPr fontId="13" type="noConversion"/>
  </si>
  <si>
    <t>A2-7-3</t>
  </si>
  <si>
    <t>B2-7-3</t>
  </si>
  <si>
    <t>U-A2-26 / 2P 30A</t>
    <phoneticPr fontId="13" type="noConversion"/>
  </si>
  <si>
    <t>U-B2-26 / 2P 30A</t>
    <phoneticPr fontId="13" type="noConversion"/>
  </si>
  <si>
    <t>A2-8-1</t>
    <phoneticPr fontId="13" type="noConversion"/>
  </si>
  <si>
    <t>B2-8-1</t>
    <phoneticPr fontId="13" type="noConversion"/>
  </si>
  <si>
    <t>U-A2-38 / 2P 30A</t>
    <phoneticPr fontId="13" type="noConversion"/>
  </si>
  <si>
    <t>U-B2-38 / 2P 30A</t>
    <phoneticPr fontId="13" type="noConversion"/>
  </si>
  <si>
    <t>6F-V15</t>
    <phoneticPr fontId="13" type="noConversion"/>
  </si>
  <si>
    <t>A2-7-4</t>
  </si>
  <si>
    <t>B2-7-4</t>
  </si>
  <si>
    <t>U-A2-28 / 2P 30A</t>
    <phoneticPr fontId="13" type="noConversion"/>
  </si>
  <si>
    <t>U-B2-28 / 2P 30A</t>
    <phoneticPr fontId="13" type="noConversion"/>
  </si>
  <si>
    <t>6F-V14</t>
    <phoneticPr fontId="13" type="noConversion"/>
  </si>
  <si>
    <t>A2-7-5</t>
  </si>
  <si>
    <t>B2-7-5</t>
  </si>
  <si>
    <t>U-A2-30 / 2P 30A</t>
    <phoneticPr fontId="13" type="noConversion"/>
  </si>
  <si>
    <t>U-B2-30 / 2P 30A</t>
    <phoneticPr fontId="13" type="noConversion"/>
  </si>
  <si>
    <t>6F-V13</t>
    <phoneticPr fontId="13" type="noConversion"/>
  </si>
  <si>
    <t>A2-7-6</t>
  </si>
  <si>
    <t>B2-7-6</t>
  </si>
  <si>
    <t>U-A2-32 / 2P 30A</t>
    <phoneticPr fontId="13" type="noConversion"/>
  </si>
  <si>
    <t>U-B2-32 / 2P 30A</t>
    <phoneticPr fontId="13" type="noConversion"/>
  </si>
  <si>
    <t>6F-V12</t>
    <phoneticPr fontId="13" type="noConversion"/>
  </si>
  <si>
    <t>A2-7-7</t>
  </si>
  <si>
    <t>B2-7-7</t>
  </si>
  <si>
    <t>U-A2-34 / 2P 30A</t>
    <phoneticPr fontId="13" type="noConversion"/>
  </si>
  <si>
    <t>U-B2-34 / 2P 30A</t>
    <phoneticPr fontId="13" type="noConversion"/>
  </si>
  <si>
    <t>6F-V11</t>
    <phoneticPr fontId="13" type="noConversion"/>
  </si>
  <si>
    <t>A2-7-8</t>
  </si>
  <si>
    <t>B2-7-8</t>
  </si>
  <si>
    <t>U-A2-36 / 2P 30A</t>
    <phoneticPr fontId="13" type="noConversion"/>
  </si>
  <si>
    <t>U-B2-36 / 2P 30A</t>
    <phoneticPr fontId="13" type="noConversion"/>
  </si>
  <si>
    <t>6F-W19</t>
    <phoneticPr fontId="13" type="noConversion"/>
  </si>
  <si>
    <t>A603</t>
    <phoneticPr fontId="13" type="noConversion"/>
  </si>
  <si>
    <t>6F-W18</t>
    <phoneticPr fontId="13" type="noConversion"/>
  </si>
  <si>
    <t>A604</t>
    <phoneticPr fontId="13" type="noConversion"/>
  </si>
  <si>
    <t>6F-W17</t>
    <phoneticPr fontId="13" type="noConversion"/>
  </si>
  <si>
    <t>A2-8-2</t>
    <phoneticPr fontId="13" type="noConversion"/>
  </si>
  <si>
    <t>B2-8-2</t>
    <phoneticPr fontId="13" type="noConversion"/>
  </si>
  <si>
    <t>U-A2-40 / 2P 30A</t>
    <phoneticPr fontId="13" type="noConversion"/>
  </si>
  <si>
    <t>U-B2-40 / 2P 30A</t>
    <phoneticPr fontId="13" type="noConversion"/>
  </si>
  <si>
    <t>U-B2
4P 200A</t>
  </si>
  <si>
    <t>UPS 출력배전반(A)
#02, 4P 200A</t>
  </si>
  <si>
    <t>UPS 출력배전반(B)
#04, 4P 200A</t>
  </si>
  <si>
    <t>A605</t>
    <phoneticPr fontId="13" type="noConversion"/>
  </si>
  <si>
    <t>6F-W16</t>
    <phoneticPr fontId="13" type="noConversion"/>
  </si>
  <si>
    <t>A2-8-3</t>
  </si>
  <si>
    <t>B2-8-3</t>
  </si>
  <si>
    <t>U-A2-42 / 2P 30A</t>
    <phoneticPr fontId="13" type="noConversion"/>
  </si>
  <si>
    <t>U-B2-42 / 2P 30A</t>
    <phoneticPr fontId="13" type="noConversion"/>
  </si>
  <si>
    <t>A606</t>
    <phoneticPr fontId="13" type="noConversion"/>
  </si>
  <si>
    <t>6F-W15</t>
    <phoneticPr fontId="13" type="noConversion"/>
  </si>
  <si>
    <t>A2-8-4</t>
  </si>
  <si>
    <t>B2-8-4</t>
  </si>
  <si>
    <t>U-A2-44 / 2P 30A</t>
    <phoneticPr fontId="13" type="noConversion"/>
  </si>
  <si>
    <t>U-B2-44 / 2P 30A</t>
    <phoneticPr fontId="13" type="noConversion"/>
  </si>
  <si>
    <t>A607</t>
    <phoneticPr fontId="13" type="noConversion"/>
  </si>
  <si>
    <t>6F-W14</t>
    <phoneticPr fontId="13" type="noConversion"/>
  </si>
  <si>
    <t>A2-8-5</t>
  </si>
  <si>
    <t>B2-8-5</t>
  </si>
  <si>
    <t>U-A2-46 / 2P 30A</t>
    <phoneticPr fontId="13" type="noConversion"/>
  </si>
  <si>
    <t>U-B2-46 / 2P 30A</t>
    <phoneticPr fontId="13" type="noConversion"/>
  </si>
  <si>
    <t>A608</t>
    <phoneticPr fontId="13" type="noConversion"/>
  </si>
  <si>
    <t>6F-W13</t>
    <phoneticPr fontId="13" type="noConversion"/>
  </si>
  <si>
    <t>A2-8-6</t>
  </si>
  <si>
    <t>B2-8-6</t>
  </si>
  <si>
    <t>U-A2-48 / 2P 30A</t>
    <phoneticPr fontId="13" type="noConversion"/>
  </si>
  <si>
    <t>U-B2-48 / 2P 30A</t>
    <phoneticPr fontId="13" type="noConversion"/>
  </si>
  <si>
    <t>A6-8-6(1)</t>
    <phoneticPr fontId="13" type="noConversion"/>
  </si>
  <si>
    <t>B6-8-6(1)</t>
    <phoneticPr fontId="13" type="noConversion"/>
  </si>
  <si>
    <t>U6-A6-45 / 2P 30A</t>
    <phoneticPr fontId="13" type="noConversion"/>
  </si>
  <si>
    <t>U6-B6-47 / 2P 30A</t>
    <phoneticPr fontId="13" type="noConversion"/>
  </si>
  <si>
    <t>U6-A6
4P 300A</t>
  </si>
  <si>
    <t>U6-B6
4P 300A</t>
  </si>
  <si>
    <t>LV-6A
#06, 3P 320A</t>
  </si>
  <si>
    <t>LV-6B
#02, 3P 320A</t>
  </si>
  <si>
    <t>A609</t>
    <phoneticPr fontId="13" type="noConversion"/>
  </si>
  <si>
    <t>6F-W12</t>
    <phoneticPr fontId="13" type="noConversion"/>
  </si>
  <si>
    <t>A5-8-7</t>
    <phoneticPr fontId="13" type="noConversion"/>
  </si>
  <si>
    <t>B5-8-7</t>
    <phoneticPr fontId="13" type="noConversion"/>
  </si>
  <si>
    <t>U6-A5-01 / 2P 30A</t>
    <phoneticPr fontId="13" type="noConversion"/>
  </si>
  <si>
    <t>U6-B5-01 / 2P 30A</t>
    <phoneticPr fontId="13" type="noConversion"/>
  </si>
  <si>
    <t>A6-8-7(1)</t>
    <phoneticPr fontId="13" type="noConversion"/>
  </si>
  <si>
    <t>B6-8-7(1)</t>
    <phoneticPr fontId="13" type="noConversion"/>
  </si>
  <si>
    <t>U6-A6-43 / 2P 30A</t>
    <phoneticPr fontId="13" type="noConversion"/>
  </si>
  <si>
    <t>U6-B6-45 / 2P 30A</t>
    <phoneticPr fontId="13" type="noConversion"/>
  </si>
  <si>
    <t>A610</t>
    <phoneticPr fontId="13" type="noConversion"/>
  </si>
  <si>
    <t>6F-W11</t>
    <phoneticPr fontId="13" type="noConversion"/>
  </si>
  <si>
    <t>A5-8-8</t>
    <phoneticPr fontId="13" type="noConversion"/>
  </si>
  <si>
    <t>B5-8-8</t>
    <phoneticPr fontId="13" type="noConversion"/>
  </si>
  <si>
    <t>U6-A5-03 / 2P 30A</t>
    <phoneticPr fontId="13" type="noConversion"/>
  </si>
  <si>
    <t>U6-B5-03 / 2P 30A</t>
    <phoneticPr fontId="13" type="noConversion"/>
  </si>
  <si>
    <t>A6-8-8(1)</t>
    <phoneticPr fontId="13" type="noConversion"/>
  </si>
  <si>
    <t>B6-8-8(1)</t>
    <phoneticPr fontId="13" type="noConversion"/>
  </si>
  <si>
    <t>U6-A6-41 / 2P 30A</t>
    <phoneticPr fontId="13" type="noConversion"/>
  </si>
  <si>
    <t>U6-B6-43 / 2P 30A</t>
    <phoneticPr fontId="13" type="noConversion"/>
  </si>
  <si>
    <t>6F-X19</t>
  </si>
  <si>
    <t>6F-X18</t>
  </si>
  <si>
    <t>6F-X17</t>
  </si>
  <si>
    <t>A5-9-2</t>
    <phoneticPr fontId="13" type="noConversion"/>
  </si>
  <si>
    <t>B5-9-2</t>
    <phoneticPr fontId="13" type="noConversion"/>
  </si>
  <si>
    <t>U6-A5-07 / 2P 30A</t>
    <phoneticPr fontId="13" type="noConversion"/>
  </si>
  <si>
    <t>U6-B5-07 / 2P 30A</t>
    <phoneticPr fontId="13" type="noConversion"/>
  </si>
  <si>
    <t>6F-X16</t>
  </si>
  <si>
    <t>A5-9-3</t>
  </si>
  <si>
    <t>B5-9-3</t>
  </si>
  <si>
    <t>U6-A5-09 / 2P 30A</t>
    <phoneticPr fontId="13" type="noConversion"/>
  </si>
  <si>
    <t>U6-B5-09 / 2P 30A</t>
    <phoneticPr fontId="13" type="noConversion"/>
  </si>
  <si>
    <t>A706</t>
    <phoneticPr fontId="13" type="noConversion"/>
  </si>
  <si>
    <t>6F-X15</t>
  </si>
  <si>
    <t>주식회사 씨엘엠앤에스</t>
    <phoneticPr fontId="13" type="noConversion"/>
  </si>
  <si>
    <t>A5-9-4</t>
  </si>
  <si>
    <t>B5-9-4</t>
  </si>
  <si>
    <t>U6-A5-11 / 2P 30A</t>
    <phoneticPr fontId="13" type="noConversion"/>
  </si>
  <si>
    <t>U6-B5-11 / 2P 30A</t>
    <phoneticPr fontId="13" type="noConversion"/>
  </si>
  <si>
    <t>A707</t>
    <phoneticPr fontId="13" type="noConversion"/>
  </si>
  <si>
    <t>6F-X14</t>
  </si>
  <si>
    <t>A5-9-5</t>
  </si>
  <si>
    <t>B5-9-5</t>
  </si>
  <si>
    <t>U6-A5-13 / 2P 30A</t>
    <phoneticPr fontId="13" type="noConversion"/>
  </si>
  <si>
    <t>U6-B5-13 / 2P 30A</t>
    <phoneticPr fontId="13" type="noConversion"/>
  </si>
  <si>
    <t>A708</t>
    <phoneticPr fontId="13" type="noConversion"/>
  </si>
  <si>
    <t>6F-X13</t>
  </si>
  <si>
    <t>A5-9-6</t>
  </si>
  <si>
    <t>B5-9-6</t>
  </si>
  <si>
    <t>U6-A5-15 / 2P 30A</t>
    <phoneticPr fontId="13" type="noConversion"/>
  </si>
  <si>
    <t>U6-B5-15 / 2P 30A</t>
    <phoneticPr fontId="13" type="noConversion"/>
  </si>
  <si>
    <t>A709</t>
    <phoneticPr fontId="13" type="noConversion"/>
  </si>
  <si>
    <t>6F-X12</t>
  </si>
  <si>
    <t>A5-9-7</t>
  </si>
  <si>
    <t>B5-9-7</t>
  </si>
  <si>
    <t>U6-A5-17 / 2P 30A</t>
    <phoneticPr fontId="13" type="noConversion"/>
  </si>
  <si>
    <t>U6-B5-17 / 2P 30A</t>
    <phoneticPr fontId="13" type="noConversion"/>
  </si>
  <si>
    <t>A710</t>
    <phoneticPr fontId="13" type="noConversion"/>
  </si>
  <si>
    <t>A5-9-8</t>
  </si>
  <si>
    <t>B5-9-8</t>
  </si>
  <si>
    <t>U6-A5-19 / 2P 30A</t>
    <phoneticPr fontId="13" type="noConversion"/>
  </si>
  <si>
    <t>U6-B5-19 / 2P 30A</t>
    <phoneticPr fontId="13" type="noConversion"/>
  </si>
  <si>
    <t>6F-Y19</t>
  </si>
  <si>
    <t>6F-Y18</t>
  </si>
  <si>
    <t>6F-Y17</t>
  </si>
  <si>
    <t>A5-10-2</t>
    <phoneticPr fontId="13" type="noConversion"/>
  </si>
  <si>
    <t>B5-10-2</t>
    <phoneticPr fontId="13" type="noConversion"/>
  </si>
  <si>
    <t>U6-A5-23 / 2P 30A</t>
    <phoneticPr fontId="13" type="noConversion"/>
  </si>
  <si>
    <t>U6-B5-23 / 2P 30A</t>
    <phoneticPr fontId="13" type="noConversion"/>
  </si>
  <si>
    <t>A806</t>
    <phoneticPr fontId="13" type="noConversion"/>
  </si>
  <si>
    <t>6F-Y16</t>
  </si>
  <si>
    <t>Pyler</t>
    <phoneticPr fontId="13" type="noConversion"/>
  </si>
  <si>
    <t>A5-10-3</t>
  </si>
  <si>
    <t>B5-10-3</t>
  </si>
  <si>
    <t>U6-A5-25 / 2P 30A</t>
    <phoneticPr fontId="13" type="noConversion"/>
  </si>
  <si>
    <t>U6-B5-25 / 2P 30A</t>
    <phoneticPr fontId="13" type="noConversion"/>
  </si>
  <si>
    <t>6F-Y15</t>
  </si>
  <si>
    <t>A5-10-4</t>
  </si>
  <si>
    <t>B5-10-4</t>
  </si>
  <si>
    <t>U6-A5-27 / 2P 30A</t>
    <phoneticPr fontId="13" type="noConversion"/>
  </si>
  <si>
    <t>U6-B5-27 / 2P 30A</t>
    <phoneticPr fontId="13" type="noConversion"/>
  </si>
  <si>
    <t>A807</t>
    <phoneticPr fontId="13" type="noConversion"/>
  </si>
  <si>
    <t>6F-Y14</t>
  </si>
  <si>
    <t>A5-10-5</t>
  </si>
  <si>
    <t>B5-10-5</t>
  </si>
  <si>
    <t>U6-A5-29 / 2P 30A</t>
    <phoneticPr fontId="13" type="noConversion"/>
  </si>
  <si>
    <t>U6-B5-29 / 2P 30A</t>
    <phoneticPr fontId="13" type="noConversion"/>
  </si>
  <si>
    <t>A808</t>
    <phoneticPr fontId="13" type="noConversion"/>
  </si>
  <si>
    <t>6F-Y13</t>
  </si>
  <si>
    <t>A5-10-6</t>
  </si>
  <si>
    <t>B5-10-6</t>
  </si>
  <si>
    <t>U6-A5-31 / 2P 30A</t>
    <phoneticPr fontId="13" type="noConversion"/>
  </si>
  <si>
    <t>U6-B5-31 / 2P 30A</t>
    <phoneticPr fontId="13" type="noConversion"/>
  </si>
  <si>
    <t>A809</t>
    <phoneticPr fontId="13" type="noConversion"/>
  </si>
  <si>
    <t>6F-Y12</t>
  </si>
  <si>
    <t>A5-10-7</t>
  </si>
  <si>
    <t>B5-10-7</t>
  </si>
  <si>
    <t>U6-A5-33 / 2P 30A</t>
    <phoneticPr fontId="13" type="noConversion"/>
  </si>
  <si>
    <t>U6-B5-33 / 2P 30A</t>
    <phoneticPr fontId="13" type="noConversion"/>
  </si>
  <si>
    <t>A810</t>
    <phoneticPr fontId="13" type="noConversion"/>
  </si>
  <si>
    <t>6F-Y11</t>
    <phoneticPr fontId="13" type="noConversion"/>
  </si>
  <si>
    <t>A5-10-8</t>
  </si>
  <si>
    <t>B5-10-8</t>
  </si>
  <si>
    <t>U6-A5-35 / 2P 30A</t>
    <phoneticPr fontId="13" type="noConversion"/>
  </si>
  <si>
    <t>U6-B5-35 / 2P 30A</t>
    <phoneticPr fontId="13" type="noConversion"/>
  </si>
  <si>
    <t>6F-AB18</t>
  </si>
  <si>
    <t>6F-AB17</t>
  </si>
  <si>
    <t>6F-AB16</t>
  </si>
  <si>
    <t>A6-5-4</t>
  </si>
  <si>
    <t>B6-5-4</t>
  </si>
  <si>
    <t>U6-A6-22 / 2P 30A</t>
    <phoneticPr fontId="13" type="noConversion"/>
  </si>
  <si>
    <t>U6-B6-22 / 2P 30A</t>
    <phoneticPr fontId="13" type="noConversion"/>
  </si>
  <si>
    <t>U6-A6
4P 300A</t>
    <phoneticPr fontId="13" type="noConversion"/>
  </si>
  <si>
    <t>U6-B6
4P 300A</t>
    <phoneticPr fontId="13" type="noConversion"/>
  </si>
  <si>
    <t>LV-6A
#06, 3P 320A</t>
    <phoneticPr fontId="13" type="noConversion"/>
  </si>
  <si>
    <t>LV-6B
#02, 3P 320A</t>
    <phoneticPr fontId="13" type="noConversion"/>
  </si>
  <si>
    <t>6F-AB15</t>
  </si>
  <si>
    <t>A6-5-5</t>
  </si>
  <si>
    <t>B6-5-5</t>
  </si>
  <si>
    <t>U6-A6-24 / 2P 30A</t>
    <phoneticPr fontId="13" type="noConversion"/>
  </si>
  <si>
    <t>U6-B6-24 / 2P 30A</t>
    <phoneticPr fontId="13" type="noConversion"/>
  </si>
  <si>
    <t>6F-AB14</t>
  </si>
  <si>
    <t>A6-5-6</t>
  </si>
  <si>
    <t>B6-5-6</t>
  </si>
  <si>
    <t>U6-A6-26 / 2P 30A</t>
    <phoneticPr fontId="13" type="noConversion"/>
  </si>
  <si>
    <t>U6-B6-26 / 2P 30A</t>
    <phoneticPr fontId="13" type="noConversion"/>
  </si>
  <si>
    <t>6F-AB13</t>
  </si>
  <si>
    <t>A6-5-7</t>
  </si>
  <si>
    <t>B6-5-7</t>
  </si>
  <si>
    <t>U6-A6-28 / 2P 30A</t>
    <phoneticPr fontId="13" type="noConversion"/>
  </si>
  <si>
    <t>U6-B6-28 / 2P 30A</t>
    <phoneticPr fontId="13" type="noConversion"/>
  </si>
  <si>
    <t>6F-AB12</t>
  </si>
  <si>
    <t>A2-5-8</t>
  </si>
  <si>
    <t>B2-5-8</t>
  </si>
  <si>
    <t>U-A2-33 / 2P 30A</t>
    <phoneticPr fontId="13" type="noConversion"/>
  </si>
  <si>
    <t>U-B2-33 / 2P 30A</t>
    <phoneticPr fontId="13" type="noConversion"/>
  </si>
  <si>
    <t>U-A2
4P 200A</t>
  </si>
  <si>
    <t>6F-AB11</t>
    <phoneticPr fontId="13" type="noConversion"/>
  </si>
  <si>
    <t>A2-5-9</t>
  </si>
  <si>
    <t>B2-5-9</t>
  </si>
  <si>
    <t>U-A2-35 / 2P 30A</t>
    <phoneticPr fontId="13" type="noConversion"/>
  </si>
  <si>
    <t>U-B2-35 / 2P 30A</t>
    <phoneticPr fontId="13" type="noConversion"/>
  </si>
  <si>
    <t>A101</t>
    <phoneticPr fontId="13" type="noConversion"/>
  </si>
  <si>
    <t>A102</t>
    <phoneticPr fontId="13" type="noConversion"/>
  </si>
  <si>
    <t>6F-AE19</t>
  </si>
  <si>
    <t>A103</t>
    <phoneticPr fontId="13" type="noConversion"/>
  </si>
  <si>
    <t>6F-AE18</t>
  </si>
  <si>
    <t>A104</t>
    <phoneticPr fontId="13" type="noConversion"/>
  </si>
  <si>
    <t>6F-AE17</t>
  </si>
  <si>
    <t>A105</t>
    <phoneticPr fontId="13" type="noConversion"/>
  </si>
  <si>
    <t>6F-AE16</t>
  </si>
  <si>
    <t>A6-2-4</t>
    <phoneticPr fontId="13" type="noConversion"/>
  </si>
  <si>
    <t>B6-2-4</t>
    <phoneticPr fontId="13" type="noConversion"/>
  </si>
  <si>
    <t>U6-A6-36 / 2P 30A</t>
    <phoneticPr fontId="13" type="noConversion"/>
  </si>
  <si>
    <t>U6-B6-36 / 2P 30A</t>
    <phoneticPr fontId="13" type="noConversion"/>
  </si>
  <si>
    <t>A106</t>
    <phoneticPr fontId="13" type="noConversion"/>
  </si>
  <si>
    <t>6F-AE15</t>
  </si>
  <si>
    <t>A6-2-5</t>
    <phoneticPr fontId="13" type="noConversion"/>
  </si>
  <si>
    <t>B6-2-5</t>
    <phoneticPr fontId="13" type="noConversion"/>
  </si>
  <si>
    <t>U6-A6-38 / 2P 30A</t>
    <phoneticPr fontId="13" type="noConversion"/>
  </si>
  <si>
    <t>U6-B6-38 / 2P 30A</t>
    <phoneticPr fontId="13" type="noConversion"/>
  </si>
  <si>
    <t>A107</t>
    <phoneticPr fontId="13" type="noConversion"/>
  </si>
  <si>
    <t>6F-AE14</t>
  </si>
  <si>
    <t>A6-2-6</t>
    <phoneticPr fontId="13" type="noConversion"/>
  </si>
  <si>
    <t>B6-2-6</t>
    <phoneticPr fontId="13" type="noConversion"/>
  </si>
  <si>
    <t>U6-A6-40 / 2P 30A</t>
    <phoneticPr fontId="13" type="noConversion"/>
  </si>
  <si>
    <t>U6-B6-40 / 2P 30A</t>
    <phoneticPr fontId="13" type="noConversion"/>
  </si>
  <si>
    <t>A108</t>
    <phoneticPr fontId="13" type="noConversion"/>
  </si>
  <si>
    <t>6F-AE13</t>
  </si>
  <si>
    <t>A6-2-7</t>
    <phoneticPr fontId="13" type="noConversion"/>
  </si>
  <si>
    <t>B6-2-7</t>
    <phoneticPr fontId="13" type="noConversion"/>
  </si>
  <si>
    <t>U6-A6-42 / 2P 30A</t>
    <phoneticPr fontId="13" type="noConversion"/>
  </si>
  <si>
    <t>U6-B6-42 / 2P 30A</t>
    <phoneticPr fontId="13" type="noConversion"/>
  </si>
  <si>
    <t>A109</t>
    <phoneticPr fontId="13" type="noConversion"/>
  </si>
  <si>
    <t>6F-AE12</t>
  </si>
  <si>
    <t>A6-2-8</t>
    <phoneticPr fontId="13" type="noConversion"/>
  </si>
  <si>
    <t>B6-2-8</t>
    <phoneticPr fontId="13" type="noConversion"/>
  </si>
  <si>
    <t>U6-A6-44 / 2P 30A</t>
    <phoneticPr fontId="13" type="noConversion"/>
  </si>
  <si>
    <t>U6-B6-44 / 2P 30A</t>
    <phoneticPr fontId="13" type="noConversion"/>
  </si>
  <si>
    <t>A110</t>
    <phoneticPr fontId="13" type="noConversion"/>
  </si>
  <si>
    <t>6F-AE11</t>
    <phoneticPr fontId="13" type="noConversion"/>
  </si>
  <si>
    <t>A6-2-9</t>
    <phoneticPr fontId="13" type="noConversion"/>
  </si>
  <si>
    <t>B6-2-9</t>
    <phoneticPr fontId="13" type="noConversion"/>
  </si>
  <si>
    <t>U6-A6-46 / 2P 30A</t>
    <phoneticPr fontId="13" type="noConversion"/>
  </si>
  <si>
    <t>U6-B6-46 / 2P 30A</t>
    <phoneticPr fontId="13" type="noConversion"/>
  </si>
  <si>
    <t>A201</t>
    <phoneticPr fontId="13" type="noConversion"/>
  </si>
  <si>
    <t>A202</t>
    <phoneticPr fontId="13" type="noConversion"/>
  </si>
  <si>
    <t>6F-AD19</t>
  </si>
  <si>
    <t>A203</t>
    <phoneticPr fontId="13" type="noConversion"/>
  </si>
  <si>
    <t>6F-AD18</t>
  </si>
  <si>
    <t>A204</t>
    <phoneticPr fontId="13" type="noConversion"/>
  </si>
  <si>
    <t>6F-AD17</t>
  </si>
  <si>
    <t>A205</t>
    <phoneticPr fontId="13" type="noConversion"/>
  </si>
  <si>
    <t>6F-AD16</t>
  </si>
  <si>
    <t>A6-3-4</t>
    <phoneticPr fontId="13" type="noConversion"/>
  </si>
  <si>
    <t>B6-3-4</t>
    <phoneticPr fontId="13" type="noConversion"/>
  </si>
  <si>
    <t>U6-A6-54 / 2P 30A</t>
    <phoneticPr fontId="13" type="noConversion"/>
  </si>
  <si>
    <t>U6-B6-54 / 2P 30A</t>
    <phoneticPr fontId="13" type="noConversion"/>
  </si>
  <si>
    <t>A206</t>
    <phoneticPr fontId="13" type="noConversion"/>
  </si>
  <si>
    <t>6F-AD15</t>
  </si>
  <si>
    <t>A6-3-5</t>
    <phoneticPr fontId="13" type="noConversion"/>
  </si>
  <si>
    <t>B6-3-5</t>
    <phoneticPr fontId="13" type="noConversion"/>
  </si>
  <si>
    <t>U6-A6-53 / 2P 30A</t>
    <phoneticPr fontId="13" type="noConversion"/>
  </si>
  <si>
    <t>U6-B6-53 / 2P 30A</t>
    <phoneticPr fontId="13" type="noConversion"/>
  </si>
  <si>
    <t>6F-AD14</t>
  </si>
  <si>
    <t>A6-3-6</t>
    <phoneticPr fontId="13" type="noConversion"/>
  </si>
  <si>
    <t>B6-3-6</t>
    <phoneticPr fontId="13" type="noConversion"/>
  </si>
  <si>
    <t>U6-A6-51 / 2P 30A</t>
    <phoneticPr fontId="13" type="noConversion"/>
  </si>
  <si>
    <t>U6-B6-51 / 2P 30A</t>
    <phoneticPr fontId="13" type="noConversion"/>
  </si>
  <si>
    <t>6F-AD13</t>
  </si>
  <si>
    <t>A6-3-7</t>
    <phoneticPr fontId="13" type="noConversion"/>
  </si>
  <si>
    <t>B6-3-7</t>
    <phoneticPr fontId="13" type="noConversion"/>
  </si>
  <si>
    <t>U6-A6-49 / 2P 30A</t>
    <phoneticPr fontId="13" type="noConversion"/>
  </si>
  <si>
    <t>U6-B6-49 / 2P 30A</t>
    <phoneticPr fontId="13" type="noConversion"/>
  </si>
  <si>
    <t>6F-AD12</t>
  </si>
  <si>
    <t>A2-3-8</t>
    <phoneticPr fontId="13" type="noConversion"/>
  </si>
  <si>
    <t>B2-3-8</t>
    <phoneticPr fontId="13" type="noConversion"/>
  </si>
  <si>
    <t>U6-A2-16 / 2P 30A</t>
    <phoneticPr fontId="13" type="noConversion"/>
  </si>
  <si>
    <t>U6-B2-16 / 2P 30A</t>
    <phoneticPr fontId="13" type="noConversion"/>
  </si>
  <si>
    <t>6F-AD11</t>
    <phoneticPr fontId="13" type="noConversion"/>
  </si>
  <si>
    <t>A2-3-9</t>
    <phoneticPr fontId="13" type="noConversion"/>
  </si>
  <si>
    <t>B2-3-9</t>
    <phoneticPr fontId="13" type="noConversion"/>
  </si>
  <si>
    <t>U6-A2-18 / 2P 30A</t>
    <phoneticPr fontId="13" type="noConversion"/>
  </si>
  <si>
    <t>U6-B2-18 / 2P 30A</t>
    <phoneticPr fontId="13" type="noConversion"/>
  </si>
  <si>
    <t>A303</t>
    <phoneticPr fontId="13" type="noConversion"/>
  </si>
  <si>
    <t>6F-AC18</t>
  </si>
  <si>
    <t>A304</t>
    <phoneticPr fontId="13" type="noConversion"/>
  </si>
  <si>
    <t>6F-AC17</t>
  </si>
  <si>
    <t>A305</t>
    <phoneticPr fontId="13" type="noConversion"/>
  </si>
  <si>
    <t>6F-AC16</t>
  </si>
  <si>
    <t>A6-4-4</t>
  </si>
  <si>
    <t>B6-4-4</t>
  </si>
  <si>
    <t>U6-A6-08 / 2P 30A</t>
    <phoneticPr fontId="13" type="noConversion"/>
  </si>
  <si>
    <t>U6-B6-08 / 2P 30A</t>
    <phoneticPr fontId="13" type="noConversion"/>
  </si>
  <si>
    <t>A306</t>
    <phoneticPr fontId="13" type="noConversion"/>
  </si>
  <si>
    <t>6F-AC15</t>
  </si>
  <si>
    <t>A6-4-5</t>
  </si>
  <si>
    <t>B6-4-5</t>
  </si>
  <si>
    <t>U6-A6-10 / 2P 30A</t>
    <phoneticPr fontId="13" type="noConversion"/>
  </si>
  <si>
    <t>U6-B6-10 / 2P 30A</t>
    <phoneticPr fontId="13" type="noConversion"/>
  </si>
  <si>
    <t>6F-AC14</t>
  </si>
  <si>
    <t>A6-4-6</t>
  </si>
  <si>
    <t>B6-4-6</t>
  </si>
  <si>
    <t>U6-A6-12 / 2P 30A</t>
    <phoneticPr fontId="13" type="noConversion"/>
  </si>
  <si>
    <t>U6-B6-12 / 2P 30A</t>
    <phoneticPr fontId="13" type="noConversion"/>
  </si>
  <si>
    <t>6F-AC13</t>
  </si>
  <si>
    <t>A6-4-7</t>
  </si>
  <si>
    <t>B6-4-7</t>
  </si>
  <si>
    <t>U6-A6-14 / 2P 30A</t>
    <phoneticPr fontId="13" type="noConversion"/>
  </si>
  <si>
    <t>U6-B6-14 / 2P 30A</t>
    <phoneticPr fontId="13" type="noConversion"/>
  </si>
  <si>
    <t>6F-AC12</t>
  </si>
  <si>
    <t>A1-4-8</t>
  </si>
  <si>
    <t>B1-4-8</t>
  </si>
  <si>
    <t>U-A1-48 / 2P 30A</t>
    <phoneticPr fontId="13" type="noConversion"/>
  </si>
  <si>
    <t>U-B1-48 / 2P 30A</t>
    <phoneticPr fontId="13" type="noConversion"/>
  </si>
  <si>
    <t>6F-AC11</t>
    <phoneticPr fontId="13" type="noConversion"/>
  </si>
  <si>
    <t>A5-4-9</t>
  </si>
  <si>
    <t>B5-4-9</t>
  </si>
  <si>
    <t>U6-A5-50 / 2P 30A</t>
    <phoneticPr fontId="13" type="noConversion"/>
  </si>
  <si>
    <t>U6-B5-50 / 2P 30A</t>
    <phoneticPr fontId="13" type="noConversion"/>
  </si>
  <si>
    <t>6F-AF11</t>
    <phoneticPr fontId="13" type="noConversion"/>
  </si>
  <si>
    <t>A1-1-9</t>
    <phoneticPr fontId="13" type="noConversion"/>
  </si>
  <si>
    <t>B1-1-9</t>
    <phoneticPr fontId="13" type="noConversion"/>
  </si>
  <si>
    <t>U-A1-17 / 2P 30A</t>
    <phoneticPr fontId="13" type="noConversion"/>
  </si>
  <si>
    <t>U-B1-17 / 2P 30A</t>
    <phoneticPr fontId="13" type="noConversion"/>
  </si>
  <si>
    <t>랙 배제결정('22.01.11)
차단기는 off 후 미사용 표기로 변경할 것</t>
    <phoneticPr fontId="13" type="noConversion"/>
  </si>
  <si>
    <t>6F-AF12</t>
  </si>
  <si>
    <t>A1-1-8</t>
    <phoneticPr fontId="13" type="noConversion"/>
  </si>
  <si>
    <t>B1-1-8</t>
    <phoneticPr fontId="13" type="noConversion"/>
  </si>
  <si>
    <t>U-A1-15 / 2P 30A</t>
    <phoneticPr fontId="13" type="noConversion"/>
  </si>
  <si>
    <t>U-B1-15 / 2P 30A</t>
    <phoneticPr fontId="13" type="noConversion"/>
  </si>
  <si>
    <t>6F-AF13</t>
  </si>
  <si>
    <t>A1-1-7</t>
    <phoneticPr fontId="13" type="noConversion"/>
  </si>
  <si>
    <t>B1-1-7</t>
    <phoneticPr fontId="13" type="noConversion"/>
  </si>
  <si>
    <t>U-A1-13 / 2P 30A</t>
    <phoneticPr fontId="13" type="noConversion"/>
  </si>
  <si>
    <t>U-B1-13 / 2P 30A</t>
    <phoneticPr fontId="13" type="noConversion"/>
  </si>
  <si>
    <t>6F-AF14</t>
  </si>
  <si>
    <t>A1-1-6</t>
    <phoneticPr fontId="13" type="noConversion"/>
  </si>
  <si>
    <t>B1-1-6</t>
    <phoneticPr fontId="13" type="noConversion"/>
  </si>
  <si>
    <t>U-A1-11 / 2P 30A</t>
    <phoneticPr fontId="13" type="noConversion"/>
  </si>
  <si>
    <t>U-B1-11 / 2P 30A</t>
    <phoneticPr fontId="13" type="noConversion"/>
  </si>
  <si>
    <t>6F-AF15</t>
  </si>
  <si>
    <t>A1-1-5</t>
    <phoneticPr fontId="13" type="noConversion"/>
  </si>
  <si>
    <t>B1-1-5</t>
    <phoneticPr fontId="13" type="noConversion"/>
  </si>
  <si>
    <t>U-A1-09 / 2P 30A</t>
    <phoneticPr fontId="13" type="noConversion"/>
  </si>
  <si>
    <t>U-B1-09 / 2P 30A</t>
    <phoneticPr fontId="13" type="noConversion"/>
  </si>
  <si>
    <t>6F-AF16</t>
  </si>
  <si>
    <t>A1-1-4</t>
    <phoneticPr fontId="13" type="noConversion"/>
  </si>
  <si>
    <t>B1-1-4</t>
    <phoneticPr fontId="13" type="noConversion"/>
  </si>
  <si>
    <t>U-A1-07 / 2P 30A</t>
    <phoneticPr fontId="13" type="noConversion"/>
  </si>
  <si>
    <t>U-B1-07 / 2P 30A</t>
    <phoneticPr fontId="13" type="noConversion"/>
  </si>
  <si>
    <t>6F-AF17</t>
  </si>
  <si>
    <t>6F-AF18</t>
  </si>
  <si>
    <t>6F-AF19</t>
  </si>
  <si>
    <t>G1101</t>
    <phoneticPr fontId="13" type="noConversion"/>
  </si>
  <si>
    <t>6F-AG10</t>
    <phoneticPr fontId="13" type="noConversion"/>
  </si>
  <si>
    <t>A1-35-1</t>
    <phoneticPr fontId="13" type="noConversion"/>
  </si>
  <si>
    <t>B1-35-1</t>
    <phoneticPr fontId="13" type="noConversion"/>
  </si>
  <si>
    <t>U-A1-02 / 2P 30A</t>
    <phoneticPr fontId="13" type="noConversion"/>
  </si>
  <si>
    <t>U-B1-02 / 2P 30A</t>
    <phoneticPr fontId="13" type="noConversion"/>
  </si>
  <si>
    <t>22/09/19 투입(임대장비 설정으로 선투입요청)</t>
    <phoneticPr fontId="13" type="noConversion"/>
  </si>
  <si>
    <t>G1102</t>
    <phoneticPr fontId="13" type="noConversion"/>
  </si>
  <si>
    <t>6F-AG11</t>
  </si>
  <si>
    <t>피플펀드</t>
  </si>
  <si>
    <t>A1-35-1(2)</t>
    <phoneticPr fontId="13" type="noConversion"/>
  </si>
  <si>
    <t>B1-35-1(2)</t>
    <phoneticPr fontId="13" type="noConversion"/>
  </si>
  <si>
    <t>U-A1-36 / 2P 30A</t>
    <phoneticPr fontId="13" type="noConversion"/>
  </si>
  <si>
    <t>U-B1-36 / 2P 30A</t>
    <phoneticPr fontId="13" type="noConversion"/>
  </si>
  <si>
    <t>22/09/23 투입</t>
    <phoneticPr fontId="13" type="noConversion"/>
  </si>
  <si>
    <t>A1-35-2(2)</t>
  </si>
  <si>
    <t>B1-35-2(2)</t>
  </si>
  <si>
    <t>U-A1-38 / 2P 30A</t>
    <phoneticPr fontId="13" type="noConversion"/>
  </si>
  <si>
    <t>U-B1-38 / 2P 30A</t>
    <phoneticPr fontId="13" type="noConversion"/>
  </si>
  <si>
    <t>B전원 : 도어락&amp;CCTV 전원 포함</t>
    <phoneticPr fontId="13" type="noConversion"/>
  </si>
  <si>
    <t>G1103</t>
    <phoneticPr fontId="13" type="noConversion"/>
  </si>
  <si>
    <t>6F-AG12</t>
    <phoneticPr fontId="13" type="noConversion"/>
  </si>
  <si>
    <t>A1-35-2</t>
  </si>
  <si>
    <t>B1-35-2</t>
  </si>
  <si>
    <t>U-A1-04 / 2P 30A</t>
    <phoneticPr fontId="13" type="noConversion"/>
  </si>
  <si>
    <t>U-B1-04 / 2P 30A</t>
    <phoneticPr fontId="13" type="noConversion"/>
  </si>
  <si>
    <t>22/09/23 투입</t>
  </si>
  <si>
    <t>G2101</t>
    <phoneticPr fontId="13" type="noConversion"/>
  </si>
  <si>
    <t>6F-AG13</t>
    <phoneticPr fontId="13" type="noConversion"/>
  </si>
  <si>
    <t>A1-35-3</t>
  </si>
  <si>
    <t>B1-35-3</t>
  </si>
  <si>
    <t>U-A1-06 / 2P 30A</t>
    <phoneticPr fontId="13" type="noConversion"/>
  </si>
  <si>
    <t>U-B1-06 / 2P 30A</t>
    <phoneticPr fontId="13" type="noConversion"/>
  </si>
  <si>
    <t>G2102</t>
  </si>
  <si>
    <t>6F-AG14</t>
    <phoneticPr fontId="13" type="noConversion"/>
  </si>
  <si>
    <t>A1-35-4</t>
  </si>
  <si>
    <t>B1-35-4</t>
  </si>
  <si>
    <t>U-A1-08 / 2P 30A</t>
    <phoneticPr fontId="13" type="noConversion"/>
  </si>
  <si>
    <t>U-B1-08 / 2P 30A</t>
    <phoneticPr fontId="13" type="noConversion"/>
  </si>
  <si>
    <t>G2103</t>
  </si>
  <si>
    <t>6F-AG15</t>
    <phoneticPr fontId="13" type="noConversion"/>
  </si>
  <si>
    <t>A1-35-5</t>
  </si>
  <si>
    <t>B1-35-5</t>
  </si>
  <si>
    <t>U-A1-10 / 2P 30A</t>
    <phoneticPr fontId="13" type="noConversion"/>
  </si>
  <si>
    <t>U-B1-10 / 2P 30A</t>
    <phoneticPr fontId="13" type="noConversion"/>
  </si>
  <si>
    <t>G2104</t>
  </si>
  <si>
    <t>6F-AG16</t>
    <phoneticPr fontId="13" type="noConversion"/>
  </si>
  <si>
    <t>A1-35-6</t>
    <phoneticPr fontId="13" type="noConversion"/>
  </si>
  <si>
    <t>B1-35-6</t>
    <phoneticPr fontId="13" type="noConversion"/>
  </si>
  <si>
    <t>U-A1-12 / 2P 30A</t>
    <phoneticPr fontId="13" type="noConversion"/>
  </si>
  <si>
    <t>U-B1-12 / 2P 30A</t>
    <phoneticPr fontId="13" type="noConversion"/>
  </si>
  <si>
    <t>G2105</t>
  </si>
  <si>
    <t>6F-AG17</t>
    <phoneticPr fontId="13" type="noConversion"/>
  </si>
  <si>
    <t>A1-35-7</t>
    <phoneticPr fontId="13" type="noConversion"/>
  </si>
  <si>
    <t>B1-35-7</t>
    <phoneticPr fontId="13" type="noConversion"/>
  </si>
  <si>
    <t>U-A1-14 / 2P 30A</t>
    <phoneticPr fontId="13" type="noConversion"/>
  </si>
  <si>
    <t>U-B1-14 / 2P 30A</t>
    <phoneticPr fontId="13" type="noConversion"/>
  </si>
  <si>
    <t>G2106</t>
  </si>
  <si>
    <t>6F-AG18</t>
    <phoneticPr fontId="13" type="noConversion"/>
  </si>
  <si>
    <t>A1-35-8</t>
  </si>
  <si>
    <t>B1-35-8</t>
  </si>
  <si>
    <t>U-A1-16 / 2P 30A</t>
    <phoneticPr fontId="13" type="noConversion"/>
  </si>
  <si>
    <t>U-B1-16 / 2P 30A</t>
    <phoneticPr fontId="13" type="noConversion"/>
  </si>
  <si>
    <t>G2107</t>
  </si>
  <si>
    <t>6F-AG19</t>
    <phoneticPr fontId="13" type="noConversion"/>
  </si>
  <si>
    <t>A4-36-1</t>
    <phoneticPr fontId="13" type="noConversion"/>
  </si>
  <si>
    <t>B4-36-1</t>
    <phoneticPr fontId="13" type="noConversion"/>
  </si>
  <si>
    <t>U-A4-19 / 2P 30A</t>
    <phoneticPr fontId="13" type="noConversion"/>
  </si>
  <si>
    <t>U-B4-19 / 2P 30A</t>
    <phoneticPr fontId="13" type="noConversion"/>
  </si>
  <si>
    <t>U-A4
4P 200A</t>
  </si>
  <si>
    <t>UPS 출력배전반(A)
#01, 4P 200A</t>
  </si>
  <si>
    <t>G2108</t>
  </si>
  <si>
    <t>6F-AG20</t>
  </si>
  <si>
    <t>A4-36-9</t>
    <phoneticPr fontId="13" type="noConversion"/>
  </si>
  <si>
    <t>B4-36-9</t>
    <phoneticPr fontId="13" type="noConversion"/>
  </si>
  <si>
    <t>U-A4-44 / 2P 30A</t>
    <phoneticPr fontId="13" type="noConversion"/>
  </si>
  <si>
    <t>U-B4-44 / 2P 30A</t>
    <phoneticPr fontId="13" type="noConversion"/>
  </si>
  <si>
    <t>2022/06/09 전기투입 (임시사용 랙)</t>
    <phoneticPr fontId="13" type="noConversion"/>
  </si>
  <si>
    <t>DE운용실 사무#1</t>
    <phoneticPr fontId="13" type="noConversion"/>
  </si>
  <si>
    <t>DEK 사무실</t>
    <phoneticPr fontId="13" type="noConversion"/>
  </si>
  <si>
    <t>A7-30-8</t>
    <phoneticPr fontId="13" type="noConversion"/>
  </si>
  <si>
    <t>U6-A7-02 / 2P 30</t>
    <phoneticPr fontId="13" type="noConversion"/>
  </si>
  <si>
    <t>2022.05.26 차단기 ON</t>
    <phoneticPr fontId="13" type="noConversion"/>
  </si>
  <si>
    <t>DE 출입통제Desk</t>
    <phoneticPr fontId="13" type="noConversion"/>
  </si>
  <si>
    <t>A7-31-1</t>
    <phoneticPr fontId="13" type="noConversion"/>
  </si>
  <si>
    <t>U6-A7-04 / 2P 30A</t>
    <phoneticPr fontId="13" type="noConversion"/>
  </si>
  <si>
    <t>2022.05.26 차단기 ON</t>
  </si>
  <si>
    <t>DE운용실 감시모니터</t>
    <phoneticPr fontId="13" type="noConversion"/>
  </si>
  <si>
    <t>B7-30-8</t>
    <phoneticPr fontId="13" type="noConversion"/>
  </si>
  <si>
    <t>U6-B7-02 / 2P 30</t>
    <phoneticPr fontId="13" type="noConversion"/>
  </si>
  <si>
    <t>DE운용실 사무#2</t>
    <phoneticPr fontId="13" type="noConversion"/>
  </si>
  <si>
    <t>B7-31-1</t>
    <phoneticPr fontId="13" type="noConversion"/>
  </si>
  <si>
    <t>U6-B7-04 / 2P 30</t>
    <phoneticPr fontId="13" type="noConversion"/>
  </si>
  <si>
    <t>6층 사무실</t>
    <phoneticPr fontId="13" type="noConversion"/>
  </si>
  <si>
    <t>U6-B7-20 / 2P 30A</t>
    <phoneticPr fontId="13" type="noConversion"/>
  </si>
  <si>
    <t>6층 인터넷장비</t>
    <phoneticPr fontId="13" type="noConversion"/>
  </si>
  <si>
    <t>A7-28-9</t>
    <phoneticPr fontId="13" type="noConversion"/>
  </si>
  <si>
    <t>U6-A7-40 / 2P 30A</t>
    <phoneticPr fontId="13" type="noConversion"/>
  </si>
  <si>
    <t>FMS 6층 전원</t>
    <phoneticPr fontId="13" type="noConversion"/>
  </si>
  <si>
    <t>U-A1-50 / 2P 30A</t>
    <phoneticPr fontId="13" type="noConversion"/>
  </si>
  <si>
    <t>신규 BMS(6F TPS실) Rack</t>
  </si>
  <si>
    <t>오차</t>
    <phoneticPr fontId="13" type="noConversion"/>
  </si>
  <si>
    <t>리셉터클 Name</t>
    <phoneticPr fontId="13" type="noConversion"/>
  </si>
  <si>
    <t>A501</t>
    <phoneticPr fontId="13" type="noConversion"/>
  </si>
  <si>
    <t>5F-A10</t>
    <phoneticPr fontId="13" type="noConversion"/>
  </si>
  <si>
    <t>1A-1-1</t>
  </si>
  <si>
    <t>1B-1-1</t>
    <phoneticPr fontId="13" type="noConversion"/>
  </si>
  <si>
    <t>PDU(A)-1-03 / 3P 30A</t>
    <phoneticPr fontId="13" type="noConversion"/>
  </si>
  <si>
    <t>PDU(B)-1-03 / 3P 30A</t>
    <phoneticPr fontId="13" type="noConversion"/>
  </si>
  <si>
    <t>PDU(A)-1
4P 150A</t>
    <phoneticPr fontId="13" type="noConversion"/>
  </si>
  <si>
    <t>PDU(B)-1
4P 150A</t>
    <phoneticPr fontId="13" type="noConversion"/>
  </si>
  <si>
    <t>UPS출력
배전반(A), #03
3P 150A</t>
    <phoneticPr fontId="13" type="noConversion"/>
  </si>
  <si>
    <t>UPS출력
배전반(B), #03
3P 150A</t>
    <phoneticPr fontId="13" type="noConversion"/>
  </si>
  <si>
    <t>TR-5A
1000KVA</t>
    <phoneticPr fontId="13" type="noConversion"/>
  </si>
  <si>
    <t>TR-5B
1000KVA</t>
    <phoneticPr fontId="13" type="noConversion"/>
  </si>
  <si>
    <t>A502</t>
  </si>
  <si>
    <t>5F-A11</t>
  </si>
  <si>
    <t>PCCW</t>
    <phoneticPr fontId="13" type="noConversion"/>
  </si>
  <si>
    <t>1A-1-2</t>
  </si>
  <si>
    <t>1B-1-2</t>
  </si>
  <si>
    <t>PDU(A)-1-05 / 3P 30A</t>
    <phoneticPr fontId="13" type="noConversion"/>
  </si>
  <si>
    <t>PDU(B)-1-05 / 3P 30A</t>
    <phoneticPr fontId="13" type="noConversion"/>
  </si>
  <si>
    <t>A503</t>
  </si>
  <si>
    <t>5F-A12</t>
  </si>
  <si>
    <t>1A-1-3</t>
  </si>
  <si>
    <t>1B-1-3</t>
  </si>
  <si>
    <t>PDU(A)-1-09 / 3P 30A</t>
    <phoneticPr fontId="13" type="noConversion"/>
  </si>
  <si>
    <t>PDU(B)-1-26 / 3P 20A</t>
    <phoneticPr fontId="13" type="noConversion"/>
  </si>
  <si>
    <t>A1-1-3(2)</t>
    <phoneticPr fontId="13" type="noConversion"/>
  </si>
  <si>
    <t>B1-1-3(2)</t>
    <phoneticPr fontId="13" type="noConversion"/>
  </si>
  <si>
    <t>PDU(A)-1-26 / 3P 20A</t>
    <phoneticPr fontId="13" type="noConversion"/>
  </si>
  <si>
    <t>PDU(B)-1-30 / 3P 20A</t>
    <phoneticPr fontId="13" type="noConversion"/>
  </si>
  <si>
    <t>5F-A13</t>
  </si>
  <si>
    <t>1A-1-4</t>
  </si>
  <si>
    <t>1B-1-4</t>
  </si>
  <si>
    <t>PDU(A)-1-11 / 3P 30A</t>
    <phoneticPr fontId="13" type="noConversion"/>
  </si>
  <si>
    <t>PDU(B)-1-09 / 3P 30A</t>
    <phoneticPr fontId="13" type="noConversion"/>
  </si>
  <si>
    <t>1A-1-4(2)</t>
    <phoneticPr fontId="13" type="noConversion"/>
  </si>
  <si>
    <t>1B-1-4(2)</t>
    <phoneticPr fontId="13" type="noConversion"/>
  </si>
  <si>
    <t>PDU(A)-1-13 / 3P 30A</t>
    <phoneticPr fontId="13" type="noConversion"/>
  </si>
  <si>
    <t>PDU(B)-1-11 / 3P 30A</t>
    <phoneticPr fontId="13" type="noConversion"/>
  </si>
  <si>
    <t>5F-A14</t>
  </si>
  <si>
    <t>9A-1-5</t>
    <phoneticPr fontId="13" type="noConversion"/>
  </si>
  <si>
    <t>9B-1-5</t>
    <phoneticPr fontId="13" type="noConversion"/>
  </si>
  <si>
    <t>PDU(A)-9-01 / 3P 30A</t>
    <phoneticPr fontId="13" type="noConversion"/>
  </si>
  <si>
    <t>PDU(B)-9-07 / 3P 30A</t>
    <phoneticPr fontId="13" type="noConversion"/>
  </si>
  <si>
    <t>PDU(A)-9
4P 200A</t>
    <phoneticPr fontId="13" type="noConversion"/>
  </si>
  <si>
    <t>PDU(B)-9
4P 200A</t>
    <phoneticPr fontId="13" type="noConversion"/>
  </si>
  <si>
    <t>UPS출력
배전반(A), #09
3P 200A</t>
    <phoneticPr fontId="13" type="noConversion"/>
  </si>
  <si>
    <t>UPS출력
배전반(B), #09
3P 200A</t>
    <phoneticPr fontId="13" type="noConversion"/>
  </si>
  <si>
    <t>A506</t>
  </si>
  <si>
    <t>5F-A15</t>
  </si>
  <si>
    <t>9A-1-6</t>
  </si>
  <si>
    <t>9B-1-6</t>
  </si>
  <si>
    <t>PDU(A)-9-03 / 3P 30A</t>
    <phoneticPr fontId="13" type="noConversion"/>
  </si>
  <si>
    <t>PDU(B)-9-03 / 3P 30A</t>
    <phoneticPr fontId="13" type="noConversion"/>
  </si>
  <si>
    <t>A507</t>
  </si>
  <si>
    <t>5F-A16</t>
  </si>
  <si>
    <t>9A-1-7</t>
  </si>
  <si>
    <t>9B-1-7</t>
  </si>
  <si>
    <t>PDU(A)-9-05 / 3P 30A</t>
    <phoneticPr fontId="13" type="noConversion"/>
  </si>
  <si>
    <t>PDU(B)-9-05 / 3P 30A</t>
    <phoneticPr fontId="13" type="noConversion"/>
  </si>
  <si>
    <t>A508</t>
  </si>
  <si>
    <t>5F-A17</t>
  </si>
  <si>
    <t>9A-1-8</t>
  </si>
  <si>
    <t>9B-1-8</t>
  </si>
  <si>
    <t>PDU(A)-9-02 / 3P 30A</t>
    <phoneticPr fontId="13" type="noConversion"/>
  </si>
  <si>
    <t>PDU(B)-9-02 / 3P 30A</t>
    <phoneticPr fontId="13" type="noConversion"/>
  </si>
  <si>
    <t>A1-1-8(2)</t>
    <phoneticPr fontId="13" type="noConversion"/>
  </si>
  <si>
    <t>B1-1-8(2)</t>
    <phoneticPr fontId="13" type="noConversion"/>
  </si>
  <si>
    <t>PDU(A)-1-28 / 3P 20A</t>
    <phoneticPr fontId="13" type="noConversion"/>
  </si>
  <si>
    <t>PDU(B)-1-28 / 3P 20A</t>
    <phoneticPr fontId="13" type="noConversion"/>
  </si>
  <si>
    <t>5F-A18</t>
  </si>
  <si>
    <t>9A-1-9</t>
    <phoneticPr fontId="13" type="noConversion"/>
  </si>
  <si>
    <t>9B-1-9</t>
    <phoneticPr fontId="13" type="noConversion"/>
  </si>
  <si>
    <t>PDU(A)-9-04 / 3P 30A</t>
    <phoneticPr fontId="13" type="noConversion"/>
  </si>
  <si>
    <t>PDU(B)-9-04 / 3P 30A</t>
    <phoneticPr fontId="13" type="noConversion"/>
  </si>
  <si>
    <t>A510</t>
  </si>
  <si>
    <t>5F-A19</t>
  </si>
  <si>
    <t>9A-1-10</t>
  </si>
  <si>
    <t>9B-1-10</t>
  </si>
  <si>
    <t>PDU(A)-9-06 / 3P 30A</t>
    <phoneticPr fontId="13" type="noConversion"/>
  </si>
  <si>
    <t>PDU(B)-9-06 / 3P 30A</t>
    <phoneticPr fontId="13" type="noConversion"/>
  </si>
  <si>
    <t>A601</t>
    <phoneticPr fontId="13" type="noConversion"/>
  </si>
  <si>
    <t>5F-B10</t>
    <phoneticPr fontId="13" type="noConversion"/>
  </si>
  <si>
    <t>A1-2-1</t>
    <phoneticPr fontId="13" type="noConversion"/>
  </si>
  <si>
    <t>B1-2-1</t>
    <phoneticPr fontId="13" type="noConversion"/>
  </si>
  <si>
    <t>PDU(A)-1-15 / 3P 20A</t>
    <phoneticPr fontId="13" type="noConversion"/>
  </si>
  <si>
    <t>PDU(B)-1-13 / 3P 20A</t>
    <phoneticPr fontId="13" type="noConversion"/>
  </si>
  <si>
    <t>국제연동망 테스트</t>
    <phoneticPr fontId="13" type="noConversion"/>
  </si>
  <si>
    <t>A602</t>
  </si>
  <si>
    <t>5F-B11</t>
  </si>
  <si>
    <t>A1-2-2</t>
  </si>
  <si>
    <t>B1-2-2</t>
  </si>
  <si>
    <t>PDU(A)-1-17 / 3P 20A</t>
    <phoneticPr fontId="13" type="noConversion"/>
  </si>
  <si>
    <t>PDU(B)-1-15 / 3P 20A</t>
    <phoneticPr fontId="13" type="noConversion"/>
  </si>
  <si>
    <t>A603</t>
  </si>
  <si>
    <t>PDU(A)-3
4P 300A</t>
    <phoneticPr fontId="13" type="noConversion"/>
  </si>
  <si>
    <t>PDU(B)-3
4P 300A</t>
    <phoneticPr fontId="13" type="noConversion"/>
  </si>
  <si>
    <t>UPS출력
배전반(A), #01
3P 300A</t>
    <phoneticPr fontId="13" type="noConversion"/>
  </si>
  <si>
    <t>UPS출력
배전반(B), #01
3P 300A</t>
    <phoneticPr fontId="13" type="noConversion"/>
  </si>
  <si>
    <t>23/08/23 차단기 투입</t>
  </si>
  <si>
    <t>5F-B12</t>
  </si>
  <si>
    <t>A1-2-3</t>
  </si>
  <si>
    <t>B1-2-3</t>
  </si>
  <si>
    <t>PDU(A)-1-19 / 3P 20A</t>
    <phoneticPr fontId="13" type="noConversion"/>
  </si>
  <si>
    <t>PDU(B)-1-17 / 3P 20A</t>
    <phoneticPr fontId="13" type="noConversion"/>
  </si>
  <si>
    <t>A604</t>
  </si>
  <si>
    <t>5F-B13</t>
  </si>
  <si>
    <t>A1-2-4</t>
  </si>
  <si>
    <t>B1-2-4</t>
  </si>
  <si>
    <t>PDU(A)-1-21 / 3P 20A</t>
    <phoneticPr fontId="13" type="noConversion"/>
  </si>
  <si>
    <t>PDU(B)-1-19 / 3P 20A</t>
    <phoneticPr fontId="13" type="noConversion"/>
  </si>
  <si>
    <t>A605</t>
  </si>
  <si>
    <t>5F-B14</t>
  </si>
  <si>
    <t>A1-2-5</t>
  </si>
  <si>
    <t>B1-2-5</t>
  </si>
  <si>
    <t>PDU(A)-1-23 / 3P 20A</t>
    <phoneticPr fontId="13" type="noConversion"/>
  </si>
  <si>
    <t>PDU(B)-1-21 / 3P 20A</t>
    <phoneticPr fontId="13" type="noConversion"/>
  </si>
  <si>
    <t>22/09/23, 06시 전기투입</t>
    <phoneticPr fontId="13" type="noConversion"/>
  </si>
  <si>
    <t>A606</t>
  </si>
  <si>
    <t>5F-B15</t>
  </si>
  <si>
    <t>다코스 &amp; NTT</t>
    <phoneticPr fontId="13" type="noConversion"/>
  </si>
  <si>
    <t>A1-2-6</t>
  </si>
  <si>
    <t>B1-2-6</t>
  </si>
  <si>
    <t>PDU(A)-1-25 / 3P 20A</t>
    <phoneticPr fontId="13" type="noConversion"/>
  </si>
  <si>
    <t>PDU(B)-1-23 / 3P 20A</t>
    <phoneticPr fontId="13" type="noConversion"/>
  </si>
  <si>
    <t>A3-2-6(2)</t>
    <phoneticPr fontId="13" type="noConversion"/>
  </si>
  <si>
    <t>B3-2-6(2)</t>
    <phoneticPr fontId="13" type="noConversion"/>
  </si>
  <si>
    <t>PDU(A)-3-28 / 3P 20A</t>
    <phoneticPr fontId="13" type="noConversion"/>
  </si>
  <si>
    <t>PDU(B)-3-28 / 3P 20A</t>
    <phoneticPr fontId="13" type="noConversion"/>
  </si>
  <si>
    <t>5F-B16</t>
  </si>
  <si>
    <t>A1-2-7</t>
  </si>
  <si>
    <t>B1-2-7</t>
  </si>
  <si>
    <t>PDU(A)-1-27 / 3P 20A</t>
    <phoneticPr fontId="13" type="noConversion"/>
  </si>
  <si>
    <t>PDU(B)-1-25 / 3P 20A</t>
    <phoneticPr fontId="13" type="noConversion"/>
  </si>
  <si>
    <t>PDU(B)-1
4P 150A</t>
  </si>
  <si>
    <t>A608</t>
  </si>
  <si>
    <t>5F-B17</t>
  </si>
  <si>
    <t>COLT</t>
    <phoneticPr fontId="13" type="noConversion"/>
  </si>
  <si>
    <t>A1-2-8</t>
  </si>
  <si>
    <t>B1-2-8</t>
  </si>
  <si>
    <t>PDU(A)-1-29 / 3P 20A</t>
    <phoneticPr fontId="13" type="noConversion"/>
  </si>
  <si>
    <t>PDU(B)-1-27 / 3P 20A</t>
    <phoneticPr fontId="13" type="noConversion"/>
  </si>
  <si>
    <t>미사용</t>
    <phoneticPr fontId="13" type="noConversion"/>
  </si>
  <si>
    <t>PDU(A)-3-07</t>
    <phoneticPr fontId="13" type="noConversion"/>
  </si>
  <si>
    <t>PDU(B)-3-07</t>
    <phoneticPr fontId="13" type="noConversion"/>
  </si>
  <si>
    <t>PDU(A)-3-07 / 3P 30A</t>
    <phoneticPr fontId="13" type="noConversion"/>
  </si>
  <si>
    <t>PDU(B)-3-07 / 3P 30A</t>
    <phoneticPr fontId="13" type="noConversion"/>
  </si>
  <si>
    <t>DU(A)-3
4P 300A</t>
    <phoneticPr fontId="13" type="noConversion"/>
  </si>
  <si>
    <t>'21/10/29 신규구성</t>
    <phoneticPr fontId="13" type="noConversion"/>
  </si>
  <si>
    <t>PDU(A)-3-09</t>
    <phoneticPr fontId="13" type="noConversion"/>
  </si>
  <si>
    <t>PDU(B)-3-09</t>
    <phoneticPr fontId="13" type="noConversion"/>
  </si>
  <si>
    <t>PDU(A)-3-09 / 3P 30A</t>
    <phoneticPr fontId="13" type="noConversion"/>
  </si>
  <si>
    <t>PDU(B)-3-09 / 3P 30A</t>
    <phoneticPr fontId="13" type="noConversion"/>
  </si>
  <si>
    <t>5F-B18</t>
  </si>
  <si>
    <t>A2-2-9</t>
    <phoneticPr fontId="13" type="noConversion"/>
  </si>
  <si>
    <t>B1-2-9</t>
  </si>
  <si>
    <t>PDU(A)-2-03 / 3P 30A</t>
    <phoneticPr fontId="13" type="noConversion"/>
  </si>
  <si>
    <t>PDU(B)-1-32 / 3P 20A</t>
    <phoneticPr fontId="13" type="noConversion"/>
  </si>
  <si>
    <t>PDU(A)-2
4P 150A</t>
    <phoneticPr fontId="13" type="noConversion"/>
  </si>
  <si>
    <t>UPS출력
배전반(A), #04
3P 150A</t>
    <phoneticPr fontId="13" type="noConversion"/>
  </si>
  <si>
    <t>A610</t>
  </si>
  <si>
    <t>5F-B19</t>
  </si>
  <si>
    <t>A2-2-10</t>
  </si>
  <si>
    <t>B2-2-10</t>
    <phoneticPr fontId="13" type="noConversion"/>
  </si>
  <si>
    <t>PDU(A)-2-05 / 3P 30A</t>
    <phoneticPr fontId="13" type="noConversion"/>
  </si>
  <si>
    <t>PDU(B)-2-03 / 3P 30A</t>
    <phoneticPr fontId="13" type="noConversion"/>
  </si>
  <si>
    <t>PDU(B)-2
4P 150A</t>
    <phoneticPr fontId="13" type="noConversion"/>
  </si>
  <si>
    <t>UPS출력
배전반(B), #04
3P 150A</t>
    <phoneticPr fontId="13" type="noConversion"/>
  </si>
  <si>
    <t>A702</t>
    <phoneticPr fontId="13" type="noConversion"/>
  </si>
  <si>
    <t>A703</t>
    <phoneticPr fontId="13" type="noConversion"/>
  </si>
  <si>
    <t>5F-C12</t>
    <phoneticPr fontId="13" type="noConversion"/>
  </si>
  <si>
    <t>A1-3-3</t>
    <phoneticPr fontId="13" type="noConversion"/>
  </si>
  <si>
    <t>B1-3-3</t>
    <phoneticPr fontId="13" type="noConversion"/>
  </si>
  <si>
    <t>PDU(A)-1-06 / 3P 30A</t>
    <phoneticPr fontId="13" type="noConversion"/>
  </si>
  <si>
    <t>PDU(B)-1-04 / 3P 30A</t>
    <phoneticPr fontId="13" type="noConversion"/>
  </si>
  <si>
    <t>21/11/30 전기투입</t>
    <phoneticPr fontId="13" type="noConversion"/>
  </si>
  <si>
    <t>A704</t>
    <phoneticPr fontId="13" type="noConversion"/>
  </si>
  <si>
    <t>5F-C13</t>
  </si>
  <si>
    <t>A1-3-4</t>
  </si>
  <si>
    <t>B1-3-4</t>
  </si>
  <si>
    <t>PDU(A)-1-08 / 3P 20A</t>
    <phoneticPr fontId="13" type="noConversion"/>
  </si>
  <si>
    <t>PDU(B)-1-06 / 3P 30A</t>
    <phoneticPr fontId="13" type="noConversion"/>
  </si>
  <si>
    <t>QDF
전기 미사용</t>
    <phoneticPr fontId="13" type="noConversion"/>
  </si>
  <si>
    <t>A705</t>
    <phoneticPr fontId="13" type="noConversion"/>
  </si>
  <si>
    <t>5F-C14</t>
  </si>
  <si>
    <t>A1-3-5</t>
  </si>
  <si>
    <t>B1-3-5</t>
  </si>
  <si>
    <t>PDU(A)-1-10 / 3P 20A</t>
    <phoneticPr fontId="13" type="noConversion"/>
  </si>
  <si>
    <t>PDU(B)-1-08 / 3P 30A</t>
    <phoneticPr fontId="13" type="noConversion"/>
  </si>
  <si>
    <t>5F-C15</t>
  </si>
  <si>
    <t>A1-3-6</t>
  </si>
  <si>
    <t>B1-3-6</t>
  </si>
  <si>
    <t>PDU(A)-1-12 / 3P 20A</t>
    <phoneticPr fontId="13" type="noConversion"/>
  </si>
  <si>
    <t>PDU(B)-1-10 / 3P 20A</t>
    <phoneticPr fontId="13" type="noConversion"/>
  </si>
  <si>
    <t>5F-C16</t>
  </si>
  <si>
    <t>A1-3-7</t>
  </si>
  <si>
    <t>B1-3-7</t>
  </si>
  <si>
    <t>PDU(A)-1-14 / 3P 20A</t>
    <phoneticPr fontId="13" type="noConversion"/>
  </si>
  <si>
    <t>PDU(B)-1-12 / 3P 20A</t>
    <phoneticPr fontId="13" type="noConversion"/>
  </si>
  <si>
    <t>5F-C17</t>
  </si>
  <si>
    <t>A1-3-8</t>
  </si>
  <si>
    <t>B1-3-8</t>
  </si>
  <si>
    <t>PDU(A)-1-16 / 3P 20A</t>
    <phoneticPr fontId="13" type="noConversion"/>
  </si>
  <si>
    <t>PDU(B)-1-14 / 3P 20A</t>
    <phoneticPr fontId="13" type="noConversion"/>
  </si>
  <si>
    <t>5F-C18</t>
  </si>
  <si>
    <t>A1-3-9</t>
  </si>
  <si>
    <t>B1-3-9</t>
  </si>
  <si>
    <t>PDU(A)-1-18 / 3P 20A</t>
    <phoneticPr fontId="13" type="noConversion"/>
  </si>
  <si>
    <t>PDU(B)-1-16 / 3P 20A</t>
    <phoneticPr fontId="13" type="noConversion"/>
  </si>
  <si>
    <t>5F-C19</t>
  </si>
  <si>
    <t>A1-3-10</t>
  </si>
  <si>
    <t>B1-3-10</t>
  </si>
  <si>
    <t>PDU(A)-1-20 / 3P 20A</t>
    <phoneticPr fontId="13" type="noConversion"/>
  </si>
  <si>
    <t>PDU(B)-1-18 / 3P 20A</t>
    <phoneticPr fontId="13" type="noConversion"/>
  </si>
  <si>
    <t>5F-D12</t>
    <phoneticPr fontId="13" type="noConversion"/>
  </si>
  <si>
    <t>A2-4-3</t>
    <phoneticPr fontId="13" type="noConversion"/>
  </si>
  <si>
    <t>B2-4-3</t>
    <phoneticPr fontId="13" type="noConversion"/>
  </si>
  <si>
    <t>PDU(A)-2-11 / 3P 20A</t>
    <phoneticPr fontId="13" type="noConversion"/>
  </si>
  <si>
    <t>PDU(B)-2-09 / 3P 30A</t>
    <phoneticPr fontId="13" type="noConversion"/>
  </si>
  <si>
    <t>A804</t>
    <phoneticPr fontId="13" type="noConversion"/>
  </si>
  <si>
    <t>5F-D13</t>
  </si>
  <si>
    <t>A2-4-4</t>
  </si>
  <si>
    <t>B2-4-4</t>
  </si>
  <si>
    <t>PDU(A)-2-13 / 3P 20A</t>
    <phoneticPr fontId="13" type="noConversion"/>
  </si>
  <si>
    <t>PDU(B)-2-11 / 3P 20A</t>
    <phoneticPr fontId="13" type="noConversion"/>
  </si>
  <si>
    <t>A805</t>
    <phoneticPr fontId="13" type="noConversion"/>
  </si>
  <si>
    <t>5F-D14</t>
  </si>
  <si>
    <t>A2-4-5</t>
  </si>
  <si>
    <t>B2-4-5</t>
  </si>
  <si>
    <t>PDU(A)-2-15 / 3P 20A</t>
    <phoneticPr fontId="13" type="noConversion"/>
  </si>
  <si>
    <t>PDU(B)-2-13 / 3P 20A</t>
    <phoneticPr fontId="13" type="noConversion"/>
  </si>
  <si>
    <t>5F-D15</t>
  </si>
  <si>
    <t>A2-4-6</t>
  </si>
  <si>
    <t>B2-4-6</t>
  </si>
  <si>
    <t>PDU(A)-2-17 / 3P 20A</t>
    <phoneticPr fontId="13" type="noConversion"/>
  </si>
  <si>
    <t>PDU(B)-2-15 / 3P 20A</t>
    <phoneticPr fontId="13" type="noConversion"/>
  </si>
  <si>
    <t>PDU(A)-3-A-12</t>
    <phoneticPr fontId="13" type="noConversion"/>
  </si>
  <si>
    <t>PDU(B)-3-B-12</t>
    <phoneticPr fontId="13" type="noConversion"/>
  </si>
  <si>
    <t>PDU(A)-3-A-12 / 3P 30A</t>
    <phoneticPr fontId="13" type="noConversion"/>
  </si>
  <si>
    <t>PDU(B)-3-B-12 / 3P 30A</t>
    <phoneticPr fontId="13" type="noConversion"/>
  </si>
  <si>
    <t>'21.09.29 전기투입</t>
    <phoneticPr fontId="13" type="noConversion"/>
  </si>
  <si>
    <t>5F-D16</t>
  </si>
  <si>
    <t>A2-4-7</t>
  </si>
  <si>
    <t>B2-4-7</t>
  </si>
  <si>
    <t>PDU(A)-2-19 / 3P 20A</t>
    <phoneticPr fontId="13" type="noConversion"/>
  </si>
  <si>
    <t>PDU(B)-2-17 / 3P 20A</t>
    <phoneticPr fontId="13" type="noConversion"/>
  </si>
  <si>
    <t>A1-4-7(2)</t>
    <phoneticPr fontId="13" type="noConversion"/>
  </si>
  <si>
    <t>B1-4-7(2)</t>
    <phoneticPr fontId="13" type="noConversion"/>
  </si>
  <si>
    <t>PDU(A)-1-22 / 3P 20A</t>
    <phoneticPr fontId="13" type="noConversion"/>
  </si>
  <si>
    <t>PDU(B)-1-22 / 3P 20A</t>
    <phoneticPr fontId="13" type="noConversion"/>
  </si>
  <si>
    <t>5F-D17</t>
  </si>
  <si>
    <t>A2-4-8</t>
  </si>
  <si>
    <t>B2-4-8</t>
  </si>
  <si>
    <t>PDU(A)-2-21 / 3P 20A</t>
    <phoneticPr fontId="13" type="noConversion"/>
  </si>
  <si>
    <t>PDU(B)-2-19 / 3P 20A</t>
    <phoneticPr fontId="13" type="noConversion"/>
  </si>
  <si>
    <t>5F-D18</t>
  </si>
  <si>
    <t>A2-4-9</t>
  </si>
  <si>
    <t>B2-4-9</t>
  </si>
  <si>
    <t>PDU(A)-2-23 / 3P 20A</t>
    <phoneticPr fontId="13" type="noConversion"/>
  </si>
  <si>
    <t>PDU(B)-2-21 / 3P 20A</t>
    <phoneticPr fontId="13" type="noConversion"/>
  </si>
  <si>
    <t>-</t>
    <phoneticPr fontId="13" type="noConversion"/>
  </si>
  <si>
    <t>PDU(A)-1-30 / 3P 20A</t>
    <phoneticPr fontId="13" type="noConversion"/>
  </si>
  <si>
    <t>임시</t>
    <phoneticPr fontId="13" type="noConversion"/>
  </si>
  <si>
    <t>5F-D19</t>
  </si>
  <si>
    <t>A2-4-10</t>
  </si>
  <si>
    <t>B2-4-10</t>
  </si>
  <si>
    <t>PDU(A)-2-25 / 3P 20A</t>
    <phoneticPr fontId="13" type="noConversion"/>
  </si>
  <si>
    <t>PDU(B)-2-23 / 3P 20A</t>
    <phoneticPr fontId="13" type="noConversion"/>
  </si>
  <si>
    <t>5F-E12</t>
    <phoneticPr fontId="13" type="noConversion"/>
  </si>
  <si>
    <t>A2-5-3</t>
    <phoneticPr fontId="13" type="noConversion"/>
  </si>
  <si>
    <t>B2-5-3</t>
    <phoneticPr fontId="13" type="noConversion"/>
  </si>
  <si>
    <t>PDU(A)-2-31 / 3P 20A</t>
    <phoneticPr fontId="13" type="noConversion"/>
  </si>
  <si>
    <t>PDU(B)-2-29 / 3P 20A</t>
    <phoneticPr fontId="13" type="noConversion"/>
  </si>
  <si>
    <t>5F-E13</t>
  </si>
  <si>
    <t>A2-5-4</t>
  </si>
  <si>
    <t>B2-5-4</t>
  </si>
  <si>
    <t>PDU(A)-2-04 / 3P 30A</t>
    <phoneticPr fontId="13" type="noConversion"/>
  </si>
  <si>
    <t>PDU(B)-2-31 / 3P 20A</t>
    <phoneticPr fontId="13" type="noConversion"/>
  </si>
  <si>
    <t>A905</t>
    <phoneticPr fontId="13" type="noConversion"/>
  </si>
  <si>
    <t>5F-E14</t>
  </si>
  <si>
    <t>A2-5-5</t>
  </si>
  <si>
    <t>B2-5-5</t>
  </si>
  <si>
    <t>PDU(A)-2-06 / 3P 30A</t>
    <phoneticPr fontId="13" type="noConversion"/>
  </si>
  <si>
    <t>PDU(B)-2-04 / 3P 30A</t>
    <phoneticPr fontId="13" type="noConversion"/>
  </si>
  <si>
    <t>A906</t>
    <phoneticPr fontId="13" type="noConversion"/>
  </si>
  <si>
    <t>5F-E15</t>
  </si>
  <si>
    <t>A2-5-6</t>
  </si>
  <si>
    <t>B2-5-6</t>
  </si>
  <si>
    <t>PDU(A)-2-08 / 3P 30A</t>
    <phoneticPr fontId="13" type="noConversion"/>
  </si>
  <si>
    <t>PDU(B)-2-06 / 3P 30A</t>
    <phoneticPr fontId="13" type="noConversion"/>
  </si>
  <si>
    <t>A907</t>
    <phoneticPr fontId="13" type="noConversion"/>
  </si>
  <si>
    <t>5F-E16</t>
  </si>
  <si>
    <t>A2-5-7</t>
  </si>
  <si>
    <t>B2-5-7</t>
  </si>
  <si>
    <t>PDU(A)-2-10 / 3P 30A</t>
    <phoneticPr fontId="13" type="noConversion"/>
  </si>
  <si>
    <t>PDU(B)-2-08 / 3P 30A</t>
    <phoneticPr fontId="13" type="noConversion"/>
  </si>
  <si>
    <t>A908</t>
    <phoneticPr fontId="13" type="noConversion"/>
  </si>
  <si>
    <t>5F-E17</t>
  </si>
  <si>
    <t>PDU(A)-2-12 / 3P 20A</t>
    <phoneticPr fontId="13" type="noConversion"/>
  </si>
  <si>
    <t>PDU(B)-2-10 / 3P 30A</t>
    <phoneticPr fontId="13" type="noConversion"/>
  </si>
  <si>
    <t>A909</t>
    <phoneticPr fontId="13" type="noConversion"/>
  </si>
  <si>
    <t>5F-E18</t>
  </si>
  <si>
    <t>PDU(A)-2-14 / 3P 20A</t>
    <phoneticPr fontId="13" type="noConversion"/>
  </si>
  <si>
    <t>PDU(B)-2-12 / 3P 20A</t>
    <phoneticPr fontId="13" type="noConversion"/>
  </si>
  <si>
    <t>A910</t>
    <phoneticPr fontId="13" type="noConversion"/>
  </si>
  <si>
    <t>5F-E19</t>
  </si>
  <si>
    <t>A2-5-10</t>
  </si>
  <si>
    <t>B2-5-10</t>
  </si>
  <si>
    <t>PDU(A)-2-16 / 3P 20A</t>
    <phoneticPr fontId="13" type="noConversion"/>
  </si>
  <si>
    <t>PDU(B)-2-14 / 3P 20A</t>
    <phoneticPr fontId="13" type="noConversion"/>
  </si>
  <si>
    <t>A1-5-10(2)</t>
    <phoneticPr fontId="13" type="noConversion"/>
  </si>
  <si>
    <t>B1-5-10(2)</t>
    <phoneticPr fontId="13" type="noConversion"/>
  </si>
  <si>
    <t>PDU(A)-1-24 / 3P 20A</t>
    <phoneticPr fontId="13" type="noConversion"/>
  </si>
  <si>
    <t>PDU(B)-1-24 / 3P 20A</t>
    <phoneticPr fontId="13" type="noConversion"/>
  </si>
  <si>
    <t>5F-F12</t>
    <phoneticPr fontId="13" type="noConversion"/>
  </si>
  <si>
    <t>A2-6-3</t>
    <phoneticPr fontId="13" type="noConversion"/>
  </si>
  <si>
    <t>B2-6-3</t>
    <phoneticPr fontId="13" type="noConversion"/>
  </si>
  <si>
    <t>PDU(A)-2-22 / 3P 20A</t>
    <phoneticPr fontId="13" type="noConversion"/>
  </si>
  <si>
    <t>PDU(B)-2-20 / 3P 20A</t>
    <phoneticPr fontId="13" type="noConversion"/>
  </si>
  <si>
    <t>5F-F13</t>
  </si>
  <si>
    <t>A2-6-4</t>
  </si>
  <si>
    <t>B2-6-4</t>
  </si>
  <si>
    <t>PDU(A)-2-24 / 3P 20A</t>
    <phoneticPr fontId="13" type="noConversion"/>
  </si>
  <si>
    <t>PDU(B)-2-22 / 3P 20A</t>
    <phoneticPr fontId="13" type="noConversion"/>
  </si>
  <si>
    <t>A1005</t>
    <phoneticPr fontId="13" type="noConversion"/>
  </si>
  <si>
    <t>5F-F14</t>
  </si>
  <si>
    <t>A2-6-5</t>
  </si>
  <si>
    <t>B2-6-5</t>
  </si>
  <si>
    <t>PDU(A)-2-26 / 3P 20A</t>
    <phoneticPr fontId="13" type="noConversion"/>
  </si>
  <si>
    <t>PDU(B)-2-24 / 3P 20A</t>
    <phoneticPr fontId="13" type="noConversion"/>
  </si>
  <si>
    <t>A1006</t>
  </si>
  <si>
    <t>5F-F15</t>
  </si>
  <si>
    <t>A2-6-6</t>
  </si>
  <si>
    <t>B2-6-6</t>
  </si>
  <si>
    <t>PDU(A)-2-28 / 3P 20A</t>
    <phoneticPr fontId="13" type="noConversion"/>
  </si>
  <si>
    <t>PDU(B)-2-26 / 3P 20A</t>
    <phoneticPr fontId="13" type="noConversion"/>
  </si>
  <si>
    <t>21/11/30해지</t>
    <phoneticPr fontId="13" type="noConversion"/>
  </si>
  <si>
    <t>A1007</t>
  </si>
  <si>
    <t>5F-F16</t>
  </si>
  <si>
    <t>A2-6-7</t>
  </si>
  <si>
    <t>B2-6-7</t>
  </si>
  <si>
    <t>PDU(A)-2-30 / 3P 20A</t>
    <phoneticPr fontId="13" type="noConversion"/>
  </si>
  <si>
    <t>PDU(B)-2-28 / 3P 20A</t>
    <phoneticPr fontId="13" type="noConversion"/>
  </si>
  <si>
    <t>A1008</t>
  </si>
  <si>
    <t>5F-F17</t>
  </si>
  <si>
    <t>A2-6-8</t>
  </si>
  <si>
    <t>B2-6-8</t>
  </si>
  <si>
    <t>PDU(A)-2-32 / 3P 20A</t>
    <phoneticPr fontId="13" type="noConversion"/>
  </si>
  <si>
    <t>PDU(B)-2-30 / 3P 20A</t>
    <phoneticPr fontId="13" type="noConversion"/>
  </si>
  <si>
    <t>B425</t>
    <phoneticPr fontId="13" type="noConversion"/>
  </si>
  <si>
    <t>5F-M-08</t>
    <phoneticPr fontId="13" type="noConversion"/>
  </si>
  <si>
    <t>1A-4-3</t>
  </si>
  <si>
    <t>1B-4-3</t>
  </si>
  <si>
    <t>U5-1A-46 / 2P 30A</t>
    <phoneticPr fontId="13" type="noConversion"/>
  </si>
  <si>
    <t>U5-1B-46 / 2P 30A</t>
    <phoneticPr fontId="13" type="noConversion"/>
  </si>
  <si>
    <t>U5-1A
4P 300A</t>
    <phoneticPr fontId="13" type="noConversion"/>
  </si>
  <si>
    <t>U5-1B
4P 300A</t>
    <phoneticPr fontId="13" type="noConversion"/>
  </si>
  <si>
    <t>LV-5A #01
3P 320A</t>
    <phoneticPr fontId="13" type="noConversion"/>
  </si>
  <si>
    <t>LV-5B #01
3P 320A</t>
    <phoneticPr fontId="13" type="noConversion"/>
  </si>
  <si>
    <t>변익준M 랙</t>
    <phoneticPr fontId="13" type="noConversion"/>
  </si>
  <si>
    <t>R12</t>
    <phoneticPr fontId="13" type="noConversion"/>
  </si>
  <si>
    <t>KG이니시스</t>
    <phoneticPr fontId="13" type="noConversion"/>
  </si>
  <si>
    <t>B117</t>
    <phoneticPr fontId="13" type="noConversion"/>
  </si>
  <si>
    <t>R11</t>
    <phoneticPr fontId="13" type="noConversion"/>
  </si>
  <si>
    <t>KG이니시스</t>
  </si>
  <si>
    <t>R10</t>
    <phoneticPr fontId="13" type="noConversion"/>
  </si>
  <si>
    <t>B119</t>
  </si>
  <si>
    <t>R9</t>
    <phoneticPr fontId="13" type="noConversion"/>
  </si>
  <si>
    <t>B120</t>
  </si>
  <si>
    <t>R8</t>
    <phoneticPr fontId="13" type="noConversion"/>
  </si>
  <si>
    <t>B121</t>
  </si>
  <si>
    <t>R7</t>
    <phoneticPr fontId="13" type="noConversion"/>
  </si>
  <si>
    <t>R6</t>
    <phoneticPr fontId="13" type="noConversion"/>
  </si>
  <si>
    <t>R5</t>
    <phoneticPr fontId="13" type="noConversion"/>
  </si>
  <si>
    <t>R4</t>
    <phoneticPr fontId="13" type="noConversion"/>
  </si>
  <si>
    <t>R3</t>
    <phoneticPr fontId="13" type="noConversion"/>
  </si>
  <si>
    <t>R2</t>
    <phoneticPr fontId="13" type="noConversion"/>
  </si>
  <si>
    <t>R1</t>
    <phoneticPr fontId="13" type="noConversion"/>
  </si>
  <si>
    <t>R13</t>
    <phoneticPr fontId="13" type="noConversion"/>
  </si>
  <si>
    <t>R14</t>
    <phoneticPr fontId="13" type="noConversion"/>
  </si>
  <si>
    <t>R15</t>
    <phoneticPr fontId="13" type="noConversion"/>
  </si>
  <si>
    <t>R16</t>
    <phoneticPr fontId="13" type="noConversion"/>
  </si>
  <si>
    <t>R17</t>
  </si>
  <si>
    <t>R18</t>
  </si>
  <si>
    <t>R19</t>
  </si>
  <si>
    <t>R20</t>
  </si>
  <si>
    <t>R21</t>
    <phoneticPr fontId="13" type="noConversion"/>
  </si>
  <si>
    <t>R22</t>
    <phoneticPr fontId="13" type="noConversion"/>
  </si>
  <si>
    <t>R23</t>
    <phoneticPr fontId="13" type="noConversion"/>
  </si>
  <si>
    <t>R24</t>
    <phoneticPr fontId="13" type="noConversion"/>
  </si>
  <si>
    <t>5F-O18</t>
  </si>
  <si>
    <t>2A-4-8</t>
  </si>
  <si>
    <t>2B-4-8</t>
  </si>
  <si>
    <t>U5-2A-05 / 2P 30A</t>
    <phoneticPr fontId="13" type="noConversion"/>
  </si>
  <si>
    <t>U5-2B-05 / 2P 30A</t>
    <phoneticPr fontId="13" type="noConversion"/>
  </si>
  <si>
    <t>U5-2A
4P 300A</t>
    <phoneticPr fontId="13" type="noConversion"/>
  </si>
  <si>
    <t>U5-2B
4P 300A</t>
    <phoneticPr fontId="13" type="noConversion"/>
  </si>
  <si>
    <t>LV-5A #02
3P 320A</t>
    <phoneticPr fontId="13" type="noConversion"/>
  </si>
  <si>
    <t>LV-5B #02
3P 320A</t>
    <phoneticPr fontId="13" type="noConversion"/>
  </si>
  <si>
    <t>5F-O19</t>
  </si>
  <si>
    <t>2A-4-9</t>
  </si>
  <si>
    <t>2B-4-9</t>
  </si>
  <si>
    <t>U5-2A-07 / 2P 30A</t>
    <phoneticPr fontId="13" type="noConversion"/>
  </si>
  <si>
    <t>U5-2B-07 / 2P 30A</t>
    <phoneticPr fontId="13" type="noConversion"/>
  </si>
  <si>
    <t>5F-O20</t>
  </si>
  <si>
    <t>2A-4-10</t>
  </si>
  <si>
    <t>2B-4-10</t>
  </si>
  <si>
    <t>U5-2A-09 / 2P 30A</t>
    <phoneticPr fontId="13" type="noConversion"/>
  </si>
  <si>
    <t>U5-2B-09 / 2P 30A</t>
    <phoneticPr fontId="13" type="noConversion"/>
  </si>
  <si>
    <t>5F-O21</t>
  </si>
  <si>
    <t>2A-4-11</t>
  </si>
  <si>
    <t>2B-4-11</t>
  </si>
  <si>
    <t>U5-2A-11 / 2P 30A</t>
    <phoneticPr fontId="13" type="noConversion"/>
  </si>
  <si>
    <t>U5-2B-11 / 2P 30A</t>
    <phoneticPr fontId="13" type="noConversion"/>
  </si>
  <si>
    <t>C305</t>
  </si>
  <si>
    <t>5F-O22</t>
  </si>
  <si>
    <t>2A-4-12</t>
  </si>
  <si>
    <t>2B-4-12</t>
  </si>
  <si>
    <t>U5-2A-13 / 2P 30A</t>
    <phoneticPr fontId="13" type="noConversion"/>
  </si>
  <si>
    <t>U5-2B-13 / 2P 30A</t>
    <phoneticPr fontId="13" type="noConversion"/>
  </si>
  <si>
    <t>C306</t>
  </si>
  <si>
    <t>5F-O23</t>
  </si>
  <si>
    <t>2A-4-13</t>
  </si>
  <si>
    <t>2B-4-13</t>
  </si>
  <si>
    <t>U5-2A-15 / 2P 30A</t>
    <phoneticPr fontId="13" type="noConversion"/>
  </si>
  <si>
    <t>U5-2B-15 / 2P 30A</t>
    <phoneticPr fontId="13" type="noConversion"/>
  </si>
  <si>
    <t>5F-O24</t>
  </si>
  <si>
    <t>2A-4-14</t>
  </si>
  <si>
    <t>2B-4-14</t>
  </si>
  <si>
    <t>U5-2A-17 / 2P 30A</t>
    <phoneticPr fontId="13" type="noConversion"/>
  </si>
  <si>
    <t>U5-2B-17 / 2P 30A</t>
    <phoneticPr fontId="13" type="noConversion"/>
  </si>
  <si>
    <t>5F-N18</t>
  </si>
  <si>
    <t>2A-5-8</t>
    <phoneticPr fontId="13" type="noConversion"/>
  </si>
  <si>
    <t>2B-5-8</t>
  </si>
  <si>
    <t>U5-2A-35 / 2P 30A</t>
    <phoneticPr fontId="13" type="noConversion"/>
  </si>
  <si>
    <t>U5-2B-35 / 2P 30A</t>
    <phoneticPr fontId="13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</si>
  <si>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</si>
  <si>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</si>
  <si>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</si>
  <si>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</si>
  <si>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</si>
  <si>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</si>
  <si>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3" type="noConversion"/>
  </si>
  <si>
    <t>5F-M12</t>
  </si>
  <si>
    <t>5F-M13</t>
  </si>
  <si>
    <t>5F-M14</t>
  </si>
  <si>
    <t>5F-M15</t>
  </si>
  <si>
    <t>5F-M16</t>
  </si>
  <si>
    <t>5F-K11</t>
    <phoneticPr fontId="13" type="noConversion"/>
  </si>
  <si>
    <t>3A-8-1</t>
    <phoneticPr fontId="13" type="noConversion"/>
  </si>
  <si>
    <t>3B-8-1</t>
    <phoneticPr fontId="13" type="noConversion"/>
  </si>
  <si>
    <t>U5-3A-01 / 2P 30A</t>
    <phoneticPr fontId="13" type="noConversion"/>
  </si>
  <si>
    <t>U5-3B-01 / 2P 30A</t>
    <phoneticPr fontId="13" type="noConversion"/>
  </si>
  <si>
    <t>U5-3A
4P 300A</t>
    <phoneticPr fontId="13" type="noConversion"/>
  </si>
  <si>
    <t>U5-3B
4P 300A</t>
    <phoneticPr fontId="13" type="noConversion"/>
  </si>
  <si>
    <t>LV-5A #03
3P 320A</t>
    <phoneticPr fontId="13" type="noConversion"/>
  </si>
  <si>
    <t>LV-5B #03
3P 320A</t>
    <phoneticPr fontId="13" type="noConversion"/>
  </si>
  <si>
    <t>C602</t>
  </si>
  <si>
    <t>5F-K12</t>
  </si>
  <si>
    <t>3A-8-2</t>
  </si>
  <si>
    <t>3B-8-2</t>
  </si>
  <si>
    <t>U5-3A-03 / 2P 30A</t>
    <phoneticPr fontId="13" type="noConversion"/>
  </si>
  <si>
    <t>U5-3B-03 / 2P 30A</t>
    <phoneticPr fontId="13" type="noConversion"/>
  </si>
  <si>
    <t>C603</t>
  </si>
  <si>
    <t>5F-K13</t>
  </si>
  <si>
    <t>3A-8-3</t>
  </si>
  <si>
    <t>3B-8-3</t>
  </si>
  <si>
    <t>U5-3A-05 / 2P 30A</t>
    <phoneticPr fontId="13" type="noConversion"/>
  </si>
  <si>
    <t>U5-3B-05 / 2P 30A</t>
    <phoneticPr fontId="13" type="noConversion"/>
  </si>
  <si>
    <t>C604</t>
  </si>
  <si>
    <t>5F-K14</t>
  </si>
  <si>
    <t>3A-8-4</t>
  </si>
  <si>
    <t>3B-8-4</t>
  </si>
  <si>
    <t>U5-3A-09 / 2P 30A</t>
    <phoneticPr fontId="13" type="noConversion"/>
  </si>
  <si>
    <t>U5-3B-07 / 2P 30A</t>
    <phoneticPr fontId="13" type="noConversion"/>
  </si>
  <si>
    <t>C605</t>
  </si>
  <si>
    <t>5F-K15</t>
  </si>
  <si>
    <t>3A-8-5</t>
  </si>
  <si>
    <t>3B-8-5</t>
  </si>
  <si>
    <t>U5-3A-11 / 2P 30A</t>
    <phoneticPr fontId="13" type="noConversion"/>
  </si>
  <si>
    <t>U5-3B-09 / 2P 30A</t>
    <phoneticPr fontId="13" type="noConversion"/>
  </si>
  <si>
    <t>C606</t>
  </si>
  <si>
    <t>5F-K16</t>
  </si>
  <si>
    <t>3A-8-6</t>
  </si>
  <si>
    <t>3B-8-6</t>
  </si>
  <si>
    <t>U5-3A-13 / 2P 30A</t>
    <phoneticPr fontId="13" type="noConversion"/>
  </si>
  <si>
    <t>U5-3B-11 / 2P 30A</t>
    <phoneticPr fontId="13" type="noConversion"/>
  </si>
  <si>
    <t>C607</t>
  </si>
  <si>
    <t>5F-K17</t>
  </si>
  <si>
    <t>3A-8-7</t>
  </si>
  <si>
    <t>3B-8-7</t>
  </si>
  <si>
    <t>U5-3A-15 / 2P 30A</t>
    <phoneticPr fontId="13" type="noConversion"/>
  </si>
  <si>
    <t>U5-3B-15 / 2P 30A</t>
    <phoneticPr fontId="13" type="noConversion"/>
  </si>
  <si>
    <t>C608</t>
  </si>
  <si>
    <t>5F-K18</t>
  </si>
  <si>
    <t>3A-8-8</t>
  </si>
  <si>
    <t>3B-8-8</t>
  </si>
  <si>
    <t>U5-3A-17 / 2P 30A</t>
    <phoneticPr fontId="13" type="noConversion"/>
  </si>
  <si>
    <t>U5-3B-17 / 2P 30A</t>
    <phoneticPr fontId="13" type="noConversion"/>
  </si>
  <si>
    <t>C609</t>
  </si>
  <si>
    <t>C610</t>
  </si>
  <si>
    <t>5F-J11</t>
    <phoneticPr fontId="13" type="noConversion"/>
  </si>
  <si>
    <t>3A-9-1</t>
    <phoneticPr fontId="13" type="noConversion"/>
  </si>
  <si>
    <t>3B-9-1</t>
    <phoneticPr fontId="13" type="noConversion"/>
  </si>
  <si>
    <t>U5-3A-19 / 2P 30A</t>
    <phoneticPr fontId="13" type="noConversion"/>
  </si>
  <si>
    <t>U5-3B-19 / 2P 30A</t>
    <phoneticPr fontId="13" type="noConversion"/>
  </si>
  <si>
    <t>C702</t>
  </si>
  <si>
    <t>5F-J12</t>
  </si>
  <si>
    <t>3A-9-2</t>
  </si>
  <si>
    <t>3B-9-2</t>
  </si>
  <si>
    <t>U5-3A-21 / 2P 30A</t>
    <phoneticPr fontId="13" type="noConversion"/>
  </si>
  <si>
    <t>U5-3B-21 / 2P 30A</t>
    <phoneticPr fontId="13" type="noConversion"/>
  </si>
  <si>
    <t>C703</t>
  </si>
  <si>
    <t>5F-J13</t>
  </si>
  <si>
    <t>3A-9-3</t>
  </si>
  <si>
    <t>3B-9-3</t>
  </si>
  <si>
    <t>U5-3A-23 / 2P 30A</t>
    <phoneticPr fontId="13" type="noConversion"/>
  </si>
  <si>
    <t>U5-3B-23 / 2P 30A</t>
    <phoneticPr fontId="13" type="noConversion"/>
  </si>
  <si>
    <t>C704</t>
  </si>
  <si>
    <t>5F-J14</t>
  </si>
  <si>
    <t>3A-9-4</t>
  </si>
  <si>
    <t>3B-9-4</t>
  </si>
  <si>
    <t>U5-3A-27 / 2P 30A</t>
    <phoneticPr fontId="13" type="noConversion"/>
  </si>
  <si>
    <t>U5-3B-25 / 2P 30A</t>
    <phoneticPr fontId="13" type="noConversion"/>
  </si>
  <si>
    <t>C705</t>
  </si>
  <si>
    <t>5F-J15</t>
  </si>
  <si>
    <t>3A-9-5</t>
  </si>
  <si>
    <t>3B-9-5</t>
  </si>
  <si>
    <t>U5-3A-29 / 2P 30A</t>
    <phoneticPr fontId="13" type="noConversion"/>
  </si>
  <si>
    <t>U5-3B-27 / 2P 30A</t>
    <phoneticPr fontId="13" type="noConversion"/>
  </si>
  <si>
    <t>C706</t>
  </si>
  <si>
    <t>5F-J16</t>
  </si>
  <si>
    <t>3A-9-6</t>
  </si>
  <si>
    <t>3B-9-6</t>
  </si>
  <si>
    <t>U5-3A-31 / 2P 30A</t>
    <phoneticPr fontId="13" type="noConversion"/>
  </si>
  <si>
    <t>U5-3B-29 / 2P 30A</t>
    <phoneticPr fontId="13" type="noConversion"/>
  </si>
  <si>
    <t>C707</t>
  </si>
  <si>
    <t>5F-J17</t>
  </si>
  <si>
    <t>3A-9-7</t>
  </si>
  <si>
    <t>3B-9-7</t>
  </si>
  <si>
    <t>U5-3A-33 / 2P 30A</t>
    <phoneticPr fontId="13" type="noConversion"/>
  </si>
  <si>
    <t>U5-3B-33 / 2P 30A</t>
    <phoneticPr fontId="13" type="noConversion"/>
  </si>
  <si>
    <t>C708</t>
  </si>
  <si>
    <t>5F-J18</t>
  </si>
  <si>
    <t>3A-9-8</t>
  </si>
  <si>
    <t>3B-9-8</t>
  </si>
  <si>
    <t>U5-3A-35 / 2P 30A</t>
    <phoneticPr fontId="13" type="noConversion"/>
  </si>
  <si>
    <t>U5-3B-35 / 2P 30A</t>
    <phoneticPr fontId="13" type="noConversion"/>
  </si>
  <si>
    <t>C709</t>
  </si>
  <si>
    <t>C710</t>
  </si>
  <si>
    <t>5F-I11</t>
    <phoneticPr fontId="13" type="noConversion"/>
  </si>
  <si>
    <t>3A-10-1</t>
    <phoneticPr fontId="13" type="noConversion"/>
  </si>
  <si>
    <t>3B-10-1</t>
    <phoneticPr fontId="13" type="noConversion"/>
  </si>
  <si>
    <t>U5-3A-37 / 2P 30A</t>
    <phoneticPr fontId="13" type="noConversion"/>
  </si>
  <si>
    <t>U5-3B-37 / 2P 30A</t>
    <phoneticPr fontId="13" type="noConversion"/>
  </si>
  <si>
    <t>OFF</t>
    <phoneticPr fontId="13" type="noConversion"/>
  </si>
  <si>
    <t>5F-I12</t>
  </si>
  <si>
    <t>3A-10-2</t>
  </si>
  <si>
    <t>3B-10-2</t>
  </si>
  <si>
    <t>U5-3A-39 / 2P 30A</t>
    <phoneticPr fontId="13" type="noConversion"/>
  </si>
  <si>
    <t>U5-3B-39 / 2P 30A</t>
    <phoneticPr fontId="13" type="noConversion"/>
  </si>
  <si>
    <t>C803</t>
  </si>
  <si>
    <t>5F-I13</t>
  </si>
  <si>
    <t>3A-10-3</t>
  </si>
  <si>
    <t>3B-10-3</t>
  </si>
  <si>
    <t>U5-3A-41 / 2P 30A</t>
    <phoneticPr fontId="13" type="noConversion"/>
  </si>
  <si>
    <t>U5-3B-41 / 2P 30A</t>
    <phoneticPr fontId="13" type="noConversion"/>
  </si>
  <si>
    <t>C804</t>
  </si>
  <si>
    <t>5F-I14</t>
  </si>
  <si>
    <t>3A-10-4</t>
  </si>
  <si>
    <t>3B-10-4</t>
  </si>
  <si>
    <t>U5-3A-45 / 2P 30A</t>
    <phoneticPr fontId="13" type="noConversion"/>
  </si>
  <si>
    <t>U5-3B-43 / 2P 30A</t>
    <phoneticPr fontId="13" type="noConversion"/>
  </si>
  <si>
    <t>C805</t>
  </si>
  <si>
    <t>5F-I15</t>
  </si>
  <si>
    <t>3A-10-5</t>
  </si>
  <si>
    <t>3B-10-5</t>
  </si>
  <si>
    <t>U5-3A-47 / 2P 30A</t>
    <phoneticPr fontId="13" type="noConversion"/>
  </si>
  <si>
    <t>U5-3B-45 / 2P 30A</t>
    <phoneticPr fontId="13" type="noConversion"/>
  </si>
  <si>
    <t>C806</t>
  </si>
  <si>
    <t>5F-I16</t>
  </si>
  <si>
    <t>3A-10-6</t>
  </si>
  <si>
    <t>3B-10-6</t>
  </si>
  <si>
    <t>U5-3A-49 / 2P 30A</t>
    <phoneticPr fontId="13" type="noConversion"/>
  </si>
  <si>
    <t>U5-3B-47 / 2P 30A</t>
    <phoneticPr fontId="13" type="noConversion"/>
  </si>
  <si>
    <t>C807</t>
  </si>
  <si>
    <t>5F-I17</t>
  </si>
  <si>
    <t>3A-10-7</t>
  </si>
  <si>
    <t>3B-10-7</t>
  </si>
  <si>
    <t>U5-3A-51 / 2P 30A</t>
    <phoneticPr fontId="13" type="noConversion"/>
  </si>
  <si>
    <t>U5-3B-51 / 2P 30A</t>
    <phoneticPr fontId="13" type="noConversion"/>
  </si>
  <si>
    <t>C808</t>
  </si>
  <si>
    <t>5F-I18</t>
  </si>
  <si>
    <t>3A-10-8</t>
  </si>
  <si>
    <t>3B-10-8</t>
  </si>
  <si>
    <t>U5-3A-53 / 2P 30A</t>
    <phoneticPr fontId="13" type="noConversion"/>
  </si>
  <si>
    <t>U5-3B-53 / 2P 30A</t>
    <phoneticPr fontId="13" type="noConversion"/>
  </si>
  <si>
    <t>C809</t>
  </si>
  <si>
    <t>C810</t>
  </si>
  <si>
    <t>5F-H11</t>
    <phoneticPr fontId="13" type="noConversion"/>
  </si>
  <si>
    <t>3A-11-1</t>
    <phoneticPr fontId="13" type="noConversion"/>
  </si>
  <si>
    <t>3B-11-1</t>
    <phoneticPr fontId="13" type="noConversion"/>
  </si>
  <si>
    <t>U5-3A-02 / 2P 30A</t>
    <phoneticPr fontId="13" type="noConversion"/>
  </si>
  <si>
    <t>U5-3B-02 / 2P 30A</t>
    <phoneticPr fontId="13" type="noConversion"/>
  </si>
  <si>
    <t>C902</t>
  </si>
  <si>
    <t>5F-H12</t>
  </si>
  <si>
    <t>3A-11-2</t>
  </si>
  <si>
    <t>3B-11-2</t>
  </si>
  <si>
    <t>U5-3A-04 / 2P 30A</t>
    <phoneticPr fontId="13" type="noConversion"/>
  </si>
  <si>
    <t>U5-3B-04 / 2P 30A</t>
    <phoneticPr fontId="13" type="noConversion"/>
  </si>
  <si>
    <t>C903</t>
  </si>
  <si>
    <t>5F-H13</t>
  </si>
  <si>
    <t>3A-11-3</t>
  </si>
  <si>
    <t>3B-11-3</t>
  </si>
  <si>
    <t>U5-3A-06 / 2P 30A</t>
    <phoneticPr fontId="13" type="noConversion"/>
  </si>
  <si>
    <t>U5-3B-06 / 2P 30A</t>
    <phoneticPr fontId="13" type="noConversion"/>
  </si>
  <si>
    <t>C904</t>
  </si>
  <si>
    <t>5F-H14</t>
  </si>
  <si>
    <t>3A-11-4</t>
  </si>
  <si>
    <t>3B-11-4</t>
  </si>
  <si>
    <t>U5-3A-08 / 2P 30A</t>
    <phoneticPr fontId="13" type="noConversion"/>
  </si>
  <si>
    <t>U5-3B-08 / 2P 30A</t>
    <phoneticPr fontId="13" type="noConversion"/>
  </si>
  <si>
    <t>5F-H15</t>
  </si>
  <si>
    <t>3A-11-5</t>
  </si>
  <si>
    <t>3B-11-5</t>
  </si>
  <si>
    <t>U5-3A-10 / 2P 30A</t>
    <phoneticPr fontId="13" type="noConversion"/>
  </si>
  <si>
    <t>U5-3B-10 / 2P 30A</t>
    <phoneticPr fontId="13" type="noConversion"/>
  </si>
  <si>
    <t>C906</t>
  </si>
  <si>
    <t>5F-H16</t>
  </si>
  <si>
    <t>3A-11-6</t>
  </si>
  <si>
    <t>3B-11-6</t>
  </si>
  <si>
    <t>U5-3A-12 / 2P 30A</t>
    <phoneticPr fontId="13" type="noConversion"/>
  </si>
  <si>
    <t>U5-3B-12 / 2P 30A</t>
    <phoneticPr fontId="13" type="noConversion"/>
  </si>
  <si>
    <t>C907</t>
  </si>
  <si>
    <t>5F-H17</t>
  </si>
  <si>
    <t>3A-11-7</t>
  </si>
  <si>
    <t>3B-11-7</t>
  </si>
  <si>
    <t>U5-3A-14 / 2P 30A</t>
    <phoneticPr fontId="13" type="noConversion"/>
  </si>
  <si>
    <t>U5-3B-16 / 2P 30A</t>
    <phoneticPr fontId="13" type="noConversion"/>
  </si>
  <si>
    <t>C908</t>
  </si>
  <si>
    <t>5F-H18</t>
  </si>
  <si>
    <t>3A-11-8</t>
  </si>
  <si>
    <t>3B-11-8</t>
  </si>
  <si>
    <t>U5-3A-16 / 2P 30A</t>
    <phoneticPr fontId="13" type="noConversion"/>
  </si>
  <si>
    <t>U5-3B-18 / 2P 30A</t>
    <phoneticPr fontId="13" type="noConversion"/>
  </si>
  <si>
    <t>C909</t>
  </si>
  <si>
    <t>C910</t>
  </si>
  <si>
    <t>5F-G11</t>
    <phoneticPr fontId="13" type="noConversion"/>
  </si>
  <si>
    <t>3A-12-1</t>
    <phoneticPr fontId="13" type="noConversion"/>
  </si>
  <si>
    <t>3B-12-1</t>
    <phoneticPr fontId="13" type="noConversion"/>
  </si>
  <si>
    <t>U5-3A-18 / 2P 30A</t>
    <phoneticPr fontId="13" type="noConversion"/>
  </si>
  <si>
    <t>U5-3B-20 / 2P 30A</t>
    <phoneticPr fontId="13" type="noConversion"/>
  </si>
  <si>
    <t>5F-G12</t>
  </si>
  <si>
    <t>3A-12-2</t>
  </si>
  <si>
    <t>3B-12-2</t>
  </si>
  <si>
    <t>U5-3A-20 / 2P 30A</t>
    <phoneticPr fontId="13" type="noConversion"/>
  </si>
  <si>
    <t>U5-3B-22 / 2P 30A</t>
    <phoneticPr fontId="13" type="noConversion"/>
  </si>
  <si>
    <t>C1003</t>
  </si>
  <si>
    <t>5F-G13</t>
  </si>
  <si>
    <t>3A-12-3</t>
  </si>
  <si>
    <t>3B-12-3</t>
  </si>
  <si>
    <t>U5-3A-22 / 2P 30A</t>
    <phoneticPr fontId="13" type="noConversion"/>
  </si>
  <si>
    <t>U5-3B-24 / 2P 30A</t>
    <phoneticPr fontId="13" type="noConversion"/>
  </si>
  <si>
    <t>C1004</t>
  </si>
  <si>
    <t>5F-G14</t>
  </si>
  <si>
    <t>3A-12-4</t>
  </si>
  <si>
    <t>3B-12-4</t>
  </si>
  <si>
    <t>U5-3A-24 / 2P 30A</t>
    <phoneticPr fontId="13" type="noConversion"/>
  </si>
  <si>
    <t>U5-3B-26 / 2P 30A</t>
    <phoneticPr fontId="13" type="noConversion"/>
  </si>
  <si>
    <t>C1005</t>
  </si>
  <si>
    <t>5F-G15</t>
  </si>
  <si>
    <t>3A-12-5</t>
  </si>
  <si>
    <t>3B-12-5</t>
  </si>
  <si>
    <t>U5-3A-26 / 2P 30A</t>
    <phoneticPr fontId="13" type="noConversion"/>
  </si>
  <si>
    <t>U5-3B-28 / 2P 30A</t>
    <phoneticPr fontId="13" type="noConversion"/>
  </si>
  <si>
    <t>C1006</t>
  </si>
  <si>
    <t>5F-G16</t>
  </si>
  <si>
    <t>3A-12-6</t>
  </si>
  <si>
    <t>3B-12-6</t>
  </si>
  <si>
    <t>U5-3A-28 / 2P 30A</t>
    <phoneticPr fontId="13" type="noConversion"/>
  </si>
  <si>
    <t>U5-3B-30 / 2P 30A</t>
    <phoneticPr fontId="13" type="noConversion"/>
  </si>
  <si>
    <t>C1007</t>
  </si>
  <si>
    <t>5F-G17</t>
  </si>
  <si>
    <t>3A-12-7</t>
  </si>
  <si>
    <t>3B-12-7</t>
  </si>
  <si>
    <t>U5-3A-30 / 2P 30A</t>
    <phoneticPr fontId="13" type="noConversion"/>
  </si>
  <si>
    <t>U5-3B-34 / 2P 30A</t>
    <phoneticPr fontId="13" type="noConversion"/>
  </si>
  <si>
    <t>C1008</t>
  </si>
  <si>
    <t>5F-G18</t>
  </si>
  <si>
    <t>3A-12-8</t>
  </si>
  <si>
    <t>3B-12-8</t>
  </si>
  <si>
    <t>U5-3A-32 / 2P 30A</t>
    <phoneticPr fontId="13" type="noConversion"/>
  </si>
  <si>
    <t>U5-3B-36 / 2P 30A</t>
    <phoneticPr fontId="13" type="noConversion"/>
  </si>
  <si>
    <t>C1009</t>
  </si>
  <si>
    <t>C1010</t>
  </si>
  <si>
    <t>1B-1-1</t>
  </si>
  <si>
    <t>U5-1A-01 / 2P 30A</t>
    <phoneticPr fontId="13" type="noConversion"/>
  </si>
  <si>
    <t>U5-1B-01 / 2P 30A</t>
    <phoneticPr fontId="13" type="noConversion"/>
  </si>
  <si>
    <t>5F-R12</t>
    <phoneticPr fontId="13" type="noConversion"/>
  </si>
  <si>
    <t>U5-1A-03 / 2P 30A</t>
    <phoneticPr fontId="13" type="noConversion"/>
  </si>
  <si>
    <t>U5-1B-03 / 2P 30A</t>
    <phoneticPr fontId="13" type="noConversion"/>
  </si>
  <si>
    <t>5F-R13</t>
  </si>
  <si>
    <t>U5-1A-05 / 2P 30A</t>
    <phoneticPr fontId="13" type="noConversion"/>
  </si>
  <si>
    <t>U5-1B-05 / 2P 30A</t>
    <phoneticPr fontId="13" type="noConversion"/>
  </si>
  <si>
    <t>5F-R14</t>
  </si>
  <si>
    <t>U5-1A-07 / 2P 30A</t>
    <phoneticPr fontId="13" type="noConversion"/>
  </si>
  <si>
    <t>U5-1B-07 / 2P 30A</t>
    <phoneticPr fontId="13" type="noConversion"/>
  </si>
  <si>
    <t>5F-R15</t>
  </si>
  <si>
    <t>Cloudflare</t>
    <phoneticPr fontId="13" type="noConversion"/>
  </si>
  <si>
    <t>1A-1-5</t>
  </si>
  <si>
    <t>1B-1-5</t>
  </si>
  <si>
    <t>U5-1A-09 / 2P 30A</t>
    <phoneticPr fontId="13" type="noConversion"/>
  </si>
  <si>
    <t>U5-1B-09 / 2P 30A</t>
    <phoneticPr fontId="13" type="noConversion"/>
  </si>
  <si>
    <t>5F-R16</t>
  </si>
  <si>
    <t>Cloudflare</t>
  </si>
  <si>
    <t>1A-1-6</t>
  </si>
  <si>
    <t>1B-1-6</t>
  </si>
  <si>
    <t>U5-1A-11 / 2P 30A</t>
    <phoneticPr fontId="13" type="noConversion"/>
  </si>
  <si>
    <t>U5-1B-11 / 2P 30A</t>
    <phoneticPr fontId="13" type="noConversion"/>
  </si>
  <si>
    <t>5F-R17</t>
  </si>
  <si>
    <t>1A-1-7</t>
  </si>
  <si>
    <t>1B-1-7</t>
  </si>
  <si>
    <t>U5-1A-13 / 2P 30A</t>
    <phoneticPr fontId="13" type="noConversion"/>
  </si>
  <si>
    <t>U5-1B-13 / 2P 30A</t>
    <phoneticPr fontId="13" type="noConversion"/>
  </si>
  <si>
    <t>G1104</t>
    <phoneticPr fontId="13" type="noConversion"/>
  </si>
  <si>
    <t>5F-R18</t>
  </si>
  <si>
    <t>1A-1-8</t>
  </si>
  <si>
    <t>1B-1-8</t>
  </si>
  <si>
    <t>U5-1A-15 / 2P 30A</t>
    <phoneticPr fontId="13" type="noConversion"/>
  </si>
  <si>
    <t>U5-1B-15 / 2P 30A</t>
    <phoneticPr fontId="13" type="noConversion"/>
  </si>
  <si>
    <t>G1105</t>
    <phoneticPr fontId="13" type="noConversion"/>
  </si>
  <si>
    <t>5F-R19</t>
  </si>
  <si>
    <t>1A-1-9</t>
  </si>
  <si>
    <t>1B-1-9</t>
  </si>
  <si>
    <t>U5-1A-17 / 2P 30A</t>
    <phoneticPr fontId="13" type="noConversion"/>
  </si>
  <si>
    <t>U5-1B-17 / 2P 30A</t>
    <phoneticPr fontId="13" type="noConversion"/>
  </si>
  <si>
    <t>G1201</t>
    <phoneticPr fontId="13" type="noConversion"/>
  </si>
  <si>
    <t>번호없음</t>
    <phoneticPr fontId="13" type="noConversion"/>
  </si>
  <si>
    <t>1A-2-1</t>
    <phoneticPr fontId="13" type="noConversion"/>
  </si>
  <si>
    <t>1B-2-1</t>
    <phoneticPr fontId="13" type="noConversion"/>
  </si>
  <si>
    <t>U5-1A-31 / 2P 30A</t>
    <phoneticPr fontId="13" type="noConversion"/>
  </si>
  <si>
    <t>U5-1B-31 / 2P 30A</t>
  </si>
  <si>
    <t>G1202</t>
  </si>
  <si>
    <t>5F-Q12</t>
    <phoneticPr fontId="13" type="noConversion"/>
  </si>
  <si>
    <t>1A-2-2</t>
  </si>
  <si>
    <t>1B-2-2</t>
  </si>
  <si>
    <t>U5-1A-33 / 2P 30A</t>
    <phoneticPr fontId="13" type="noConversion"/>
  </si>
  <si>
    <t>U5-1B-33 / 2P 30A</t>
    <phoneticPr fontId="13" type="noConversion"/>
  </si>
  <si>
    <t>G1203</t>
  </si>
  <si>
    <t>5F-Q13</t>
  </si>
  <si>
    <t>1A-2-3</t>
  </si>
  <si>
    <t>1B-2-3</t>
  </si>
  <si>
    <t>U5-1A-35 / 2P 30A</t>
    <phoneticPr fontId="13" type="noConversion"/>
  </si>
  <si>
    <t>U5-1B-35 / 2P 30A</t>
    <phoneticPr fontId="13" type="noConversion"/>
  </si>
  <si>
    <t>G1204</t>
  </si>
  <si>
    <t>5F-Q14</t>
  </si>
  <si>
    <t>1A-2-4</t>
  </si>
  <si>
    <t>1B-2-4</t>
  </si>
  <si>
    <t>U5-1A-37 / 2P 30A</t>
    <phoneticPr fontId="13" type="noConversion"/>
  </si>
  <si>
    <t>U5-1B-37 / 2P 30A</t>
    <phoneticPr fontId="13" type="noConversion"/>
  </si>
  <si>
    <t>G1205</t>
  </si>
  <si>
    <t>5F-Q15</t>
  </si>
  <si>
    <t>1A-2-5</t>
  </si>
  <si>
    <t>1B-2-5</t>
  </si>
  <si>
    <t>U5-1A-39 / 2P 30A</t>
    <phoneticPr fontId="13" type="noConversion"/>
  </si>
  <si>
    <t>U5-1B-39 / 2P 30A</t>
    <phoneticPr fontId="13" type="noConversion"/>
  </si>
  <si>
    <t>5F-Q16</t>
  </si>
  <si>
    <t>1A-2-6</t>
  </si>
  <si>
    <t>1B-2-6</t>
  </si>
  <si>
    <t>U5-1A-41 / 2P 30A</t>
    <phoneticPr fontId="13" type="noConversion"/>
  </si>
  <si>
    <t>U5-1B-41 / 2P 30A</t>
    <phoneticPr fontId="13" type="noConversion"/>
  </si>
  <si>
    <t>5F-Q17</t>
  </si>
  <si>
    <t>1A-2-7</t>
  </si>
  <si>
    <t>1B-2-7</t>
  </si>
  <si>
    <t>U5-1A-43 / 2P 30A</t>
    <phoneticPr fontId="13" type="noConversion"/>
  </si>
  <si>
    <t>U5-1B-43 / 2P 30A</t>
    <phoneticPr fontId="13" type="noConversion"/>
  </si>
  <si>
    <t>5F-Q18</t>
  </si>
  <si>
    <t>1A-2-8</t>
  </si>
  <si>
    <t>1B-2-8</t>
  </si>
  <si>
    <t>U5-1A-45 / 2P 30A</t>
    <phoneticPr fontId="13" type="noConversion"/>
  </si>
  <si>
    <t>U5-1B-45 / 2P 30A</t>
    <phoneticPr fontId="13" type="noConversion"/>
  </si>
  <si>
    <t>5F-Q19</t>
  </si>
  <si>
    <t>1A-2-9</t>
  </si>
  <si>
    <t>1B-2-9</t>
  </si>
  <si>
    <t>U5-1A-47 / 2P 30A</t>
    <phoneticPr fontId="13" type="noConversion"/>
  </si>
  <si>
    <t>U5-1B-47 / 2P 30A</t>
    <phoneticPr fontId="13" type="noConversion"/>
  </si>
  <si>
    <t>5F-P-12</t>
    <phoneticPr fontId="13" type="noConversion"/>
  </si>
  <si>
    <t>구글</t>
    <phoneticPr fontId="13" type="noConversion"/>
  </si>
  <si>
    <t>1A-1-10</t>
  </si>
  <si>
    <t>1B-1-10</t>
  </si>
  <si>
    <t>U5-1A-19 / 2P 30A</t>
    <phoneticPr fontId="13" type="noConversion"/>
  </si>
  <si>
    <t>U5-1B-19 / 2P 30A</t>
    <phoneticPr fontId="13" type="noConversion"/>
  </si>
  <si>
    <t>구글104</t>
    <phoneticPr fontId="13" type="noConversion"/>
  </si>
  <si>
    <t>5F-P-13</t>
    <phoneticPr fontId="13" type="noConversion"/>
  </si>
  <si>
    <t>1A-1-11</t>
  </si>
  <si>
    <t>1B-1-11</t>
  </si>
  <si>
    <t>U5-1A-21 / 2P 30A</t>
    <phoneticPr fontId="13" type="noConversion"/>
  </si>
  <si>
    <t>U5-1B-21 / 2P 30A</t>
    <phoneticPr fontId="13" type="noConversion"/>
  </si>
  <si>
    <t>구글103</t>
    <phoneticPr fontId="13" type="noConversion"/>
  </si>
  <si>
    <t>5F-P-14</t>
    <phoneticPr fontId="13" type="noConversion"/>
  </si>
  <si>
    <t>1A-1-12</t>
  </si>
  <si>
    <t>1B-1-12</t>
  </si>
  <si>
    <t>U5-1A-23 / 2P 30A</t>
    <phoneticPr fontId="13" type="noConversion"/>
  </si>
  <si>
    <t>U5-1B-23 / 2P 30A</t>
    <phoneticPr fontId="13" type="noConversion"/>
  </si>
  <si>
    <t>구글102</t>
    <phoneticPr fontId="13" type="noConversion"/>
  </si>
  <si>
    <t>5F-P-15</t>
    <phoneticPr fontId="13" type="noConversion"/>
  </si>
  <si>
    <t>1A-1-13</t>
  </si>
  <si>
    <t>1B-1-13</t>
  </si>
  <si>
    <t>U5-1A-25 / 2P 30A</t>
    <phoneticPr fontId="13" type="noConversion"/>
  </si>
  <si>
    <t>U5-1B-25 / 2P 30A</t>
    <phoneticPr fontId="13" type="noConversion"/>
  </si>
  <si>
    <t>구글101</t>
    <phoneticPr fontId="13" type="noConversion"/>
  </si>
  <si>
    <t>1A-4-1</t>
    <phoneticPr fontId="13" type="noConversion"/>
  </si>
  <si>
    <t>U5-1A-42 / 2P 30A</t>
    <phoneticPr fontId="13" type="noConversion"/>
  </si>
  <si>
    <t>5F-O12</t>
    <phoneticPr fontId="13" type="noConversion"/>
  </si>
  <si>
    <t>1A-4-2</t>
  </si>
  <si>
    <t>1B-4-2</t>
  </si>
  <si>
    <t>U5-1A-44 / 2P 30A</t>
    <phoneticPr fontId="13" type="noConversion"/>
  </si>
  <si>
    <t>U5-1B-44 / 2P 30A</t>
    <phoneticPr fontId="13" type="noConversion"/>
  </si>
  <si>
    <t>G2203</t>
    <phoneticPr fontId="13" type="noConversion"/>
  </si>
  <si>
    <t>5F-O-14</t>
    <phoneticPr fontId="13" type="noConversion"/>
  </si>
  <si>
    <t>1A-2-12</t>
  </si>
  <si>
    <t>1B-2-12</t>
  </si>
  <si>
    <t>U5-1A-04 / 2P 30A</t>
    <phoneticPr fontId="13" type="noConversion"/>
  </si>
  <si>
    <t>U5-1B-04 / 2P 30A</t>
    <phoneticPr fontId="13" type="noConversion"/>
  </si>
  <si>
    <t>구글202</t>
    <phoneticPr fontId="13" type="noConversion"/>
  </si>
  <si>
    <t>G2204</t>
  </si>
  <si>
    <t>5F-O-15</t>
    <phoneticPr fontId="13" type="noConversion"/>
  </si>
  <si>
    <t>1A-2-13</t>
  </si>
  <si>
    <t>1B-2-13</t>
  </si>
  <si>
    <t>U5-1A-06 / 2P 30A</t>
    <phoneticPr fontId="13" type="noConversion"/>
  </si>
  <si>
    <t>U5-1B-06 / 2P 30A</t>
    <phoneticPr fontId="13" type="noConversion"/>
  </si>
  <si>
    <t>구글201</t>
    <phoneticPr fontId="13" type="noConversion"/>
  </si>
  <si>
    <t>시스템박스</t>
    <phoneticPr fontId="13" type="noConversion"/>
  </si>
  <si>
    <t>1A-2-15</t>
  </si>
  <si>
    <t>U5-1A-10 / 2P 30A</t>
    <phoneticPr fontId="13" type="noConversion"/>
  </si>
  <si>
    <t>지문인식기</t>
    <phoneticPr fontId="13" type="noConversion"/>
  </si>
  <si>
    <t>1B-2-15</t>
  </si>
  <si>
    <t>U5-1B-10 / 2P 30A</t>
    <phoneticPr fontId="13" type="noConversion"/>
  </si>
  <si>
    <t>G3101</t>
    <phoneticPr fontId="13" type="noConversion"/>
  </si>
  <si>
    <t>5F-M-04</t>
    <phoneticPr fontId="13" type="noConversion"/>
  </si>
  <si>
    <t>보다폰#3</t>
  </si>
  <si>
    <t>G3102</t>
  </si>
  <si>
    <t>5F-M-05</t>
    <phoneticPr fontId="13" type="noConversion"/>
  </si>
  <si>
    <t>U5-1A-50 / 2P 30A</t>
    <phoneticPr fontId="13" type="noConversion"/>
  </si>
  <si>
    <t>U5-1B-50 / 2P 30A</t>
    <phoneticPr fontId="13" type="noConversion"/>
  </si>
  <si>
    <t>보다폰#2</t>
  </si>
  <si>
    <t>1A-4-5</t>
  </si>
  <si>
    <t>G3103</t>
  </si>
  <si>
    <t>5F-M-06</t>
    <phoneticPr fontId="13" type="noConversion"/>
  </si>
  <si>
    <t>U5-1A-3P-02  / 3P 60A</t>
    <phoneticPr fontId="13" type="noConversion"/>
  </si>
  <si>
    <t>U5-1B-3P-02  / 3P 60A</t>
    <phoneticPr fontId="13" type="noConversion"/>
  </si>
  <si>
    <t>보다폰 정류기</t>
    <phoneticPr fontId="13" type="noConversion"/>
  </si>
  <si>
    <t>U5-1A-48 / 2P 30A</t>
    <phoneticPr fontId="13" type="noConversion"/>
  </si>
  <si>
    <t>U5-1B-48 / 2P 30A</t>
    <phoneticPr fontId="13" type="noConversion"/>
  </si>
  <si>
    <t>보다폰#1</t>
    <phoneticPr fontId="13" type="noConversion"/>
  </si>
  <si>
    <t>1A-4-4</t>
  </si>
  <si>
    <t>2A-5-1</t>
    <phoneticPr fontId="13" type="noConversion"/>
  </si>
  <si>
    <t>2B-5-1</t>
    <phoneticPr fontId="13" type="noConversion"/>
  </si>
  <si>
    <t>U5-2A-21 / 2P 30A</t>
    <phoneticPr fontId="13" type="noConversion"/>
  </si>
  <si>
    <t>U5-2B-21 / 2P 30A</t>
    <phoneticPr fontId="13" type="noConversion"/>
  </si>
  <si>
    <t>5F-N12</t>
    <phoneticPr fontId="13" type="noConversion"/>
  </si>
  <si>
    <t>2A-5-2</t>
  </si>
  <si>
    <t>2B-5-2</t>
  </si>
  <si>
    <t>U5-2A-23 / 2P 30A</t>
    <phoneticPr fontId="13" type="noConversion"/>
  </si>
  <si>
    <t>U5-2B-23 / 2P 30A</t>
    <phoneticPr fontId="13" type="noConversion"/>
  </si>
  <si>
    <t>5F-N13</t>
  </si>
  <si>
    <t>2A-5-3</t>
  </si>
  <si>
    <t>2B-5-3</t>
  </si>
  <si>
    <t>U5-2A-25 / 2P 30A</t>
    <phoneticPr fontId="13" type="noConversion"/>
  </si>
  <si>
    <t>U5-2B-25 / 2P 30A</t>
    <phoneticPr fontId="13" type="noConversion"/>
  </si>
  <si>
    <t>5F-N14</t>
  </si>
  <si>
    <t>2A-5-4</t>
  </si>
  <si>
    <t>2B-5-4</t>
  </si>
  <si>
    <t>U5-2A-27 / 2P 30A</t>
    <phoneticPr fontId="13" type="noConversion"/>
  </si>
  <si>
    <t>U5-2B-27 / 2P 30A</t>
    <phoneticPr fontId="13" type="noConversion"/>
  </si>
  <si>
    <t>5F-N15</t>
  </si>
  <si>
    <t>2A-5-5</t>
  </si>
  <si>
    <t>2B-5-5</t>
  </si>
  <si>
    <t>U5-2A-29 / 2P 30A</t>
    <phoneticPr fontId="13" type="noConversion"/>
  </si>
  <si>
    <t>U5-2B-29 / 2P 30A</t>
    <phoneticPr fontId="13" type="noConversion"/>
  </si>
  <si>
    <t>5F-N16</t>
  </si>
  <si>
    <t>2A-5-6</t>
  </si>
  <si>
    <t>2B-5-6</t>
  </si>
  <si>
    <t>U5-2A-31 / 2P 30A</t>
    <phoneticPr fontId="13" type="noConversion"/>
  </si>
  <si>
    <t>U5-2B-31 / 2P 30A</t>
    <phoneticPr fontId="13" type="noConversion"/>
  </si>
  <si>
    <t>5F-N17</t>
  </si>
  <si>
    <t>2A-5-7</t>
    <phoneticPr fontId="13" type="noConversion"/>
  </si>
  <si>
    <t>2B-5-7</t>
    <phoneticPr fontId="13" type="noConversion"/>
  </si>
  <si>
    <t>U5-2A-33 / 2P 30A</t>
    <phoneticPr fontId="13" type="noConversion"/>
  </si>
  <si>
    <t>U5-2B-33 / 2P 30A</t>
    <phoneticPr fontId="13" type="noConversion"/>
  </si>
  <si>
    <t>5F-O16</t>
  </si>
  <si>
    <t>2A-4-6</t>
    <phoneticPr fontId="13" type="noConversion"/>
  </si>
  <si>
    <t>2B-4-6</t>
    <phoneticPr fontId="13" type="noConversion"/>
  </si>
  <si>
    <t>U5-2A-01 / 2P 30A</t>
    <phoneticPr fontId="13" type="noConversion"/>
  </si>
  <si>
    <t>U5-2B-01 / 2P 30A</t>
    <phoneticPr fontId="13" type="noConversion"/>
  </si>
  <si>
    <t>5F-O17</t>
  </si>
  <si>
    <t>2A-4-7</t>
    <phoneticPr fontId="13" type="noConversion"/>
  </si>
  <si>
    <t>2B-4-7</t>
    <phoneticPr fontId="13" type="noConversion"/>
  </si>
  <si>
    <t>U5-2A-03 / 2P 30A</t>
    <phoneticPr fontId="13" type="noConversion"/>
  </si>
  <si>
    <t>U5-2B-03 / 2P 30A</t>
    <phoneticPr fontId="13" type="noConversion"/>
  </si>
  <si>
    <t>1A-3-1</t>
    <phoneticPr fontId="13" type="noConversion"/>
  </si>
  <si>
    <t>1B-3-1</t>
    <phoneticPr fontId="13" type="noConversion"/>
  </si>
  <si>
    <t>U5-1A-12 / 2P 30A</t>
    <phoneticPr fontId="13" type="noConversion"/>
  </si>
  <si>
    <t>U5-1B-12 / 2P 30A</t>
    <phoneticPr fontId="13" type="noConversion"/>
  </si>
  <si>
    <t>5F-P12</t>
    <phoneticPr fontId="13" type="noConversion"/>
  </si>
  <si>
    <t>1A-3-2</t>
  </si>
  <si>
    <t>1B-3-2</t>
  </si>
  <si>
    <t>U5-1A-14 / 2P 30A</t>
    <phoneticPr fontId="13" type="noConversion"/>
  </si>
  <si>
    <t>U5-1B-14 / 2P 30A</t>
    <phoneticPr fontId="13" type="noConversion"/>
  </si>
  <si>
    <t>5F-P13</t>
  </si>
  <si>
    <t>1A-3-3</t>
  </si>
  <si>
    <t>1B-3-3</t>
  </si>
  <si>
    <t>U5-1A-16 / 2P 30A</t>
    <phoneticPr fontId="13" type="noConversion"/>
  </si>
  <si>
    <t>U5-1B-16 / 2P 30A</t>
    <phoneticPr fontId="13" type="noConversion"/>
  </si>
  <si>
    <t>5F-P14</t>
  </si>
  <si>
    <t>1A-3-4</t>
  </si>
  <si>
    <t>1B-3-4</t>
  </si>
  <si>
    <t>U5-1A-18 / 2P 30A</t>
    <phoneticPr fontId="13" type="noConversion"/>
  </si>
  <si>
    <t>U5-1B-18 / 2P 30A</t>
    <phoneticPr fontId="13" type="noConversion"/>
  </si>
  <si>
    <t>5F-P15</t>
  </si>
  <si>
    <t>1A-3-5</t>
  </si>
  <si>
    <t>1B-3-5</t>
  </si>
  <si>
    <t>U5-1A-20 / 2P 30A</t>
    <phoneticPr fontId="13" type="noConversion"/>
  </si>
  <si>
    <t>U5-1B-20 / 2P 30A</t>
    <phoneticPr fontId="13" type="noConversion"/>
  </si>
  <si>
    <t>5F-P16</t>
  </si>
  <si>
    <t>1A-3-6</t>
  </si>
  <si>
    <t>1B-3-6</t>
  </si>
  <si>
    <t>U5-1A-22 / 2P 30A</t>
    <phoneticPr fontId="13" type="noConversion"/>
  </si>
  <si>
    <t>U5-1B-22 / 2P 30A</t>
    <phoneticPr fontId="13" type="noConversion"/>
  </si>
  <si>
    <t>5F-P17</t>
  </si>
  <si>
    <t>1A-3-7</t>
    <phoneticPr fontId="13" type="noConversion"/>
  </si>
  <si>
    <t>1B-3-7</t>
    <phoneticPr fontId="13" type="noConversion"/>
  </si>
  <si>
    <t>U5-1A-24 / 2P 30A</t>
    <phoneticPr fontId="13" type="noConversion"/>
  </si>
  <si>
    <t>U5-1B-24 / 2P 30A</t>
    <phoneticPr fontId="13" type="noConversion"/>
  </si>
  <si>
    <t>5F-P18</t>
  </si>
  <si>
    <t>1A-3-8</t>
  </si>
  <si>
    <t>1B-3-8</t>
  </si>
  <si>
    <t>U5-1A-26 / 2P 30A</t>
    <phoneticPr fontId="13" type="noConversion"/>
  </si>
  <si>
    <t>U5-1B-26 / 2P 30A</t>
    <phoneticPr fontId="13" type="noConversion"/>
  </si>
  <si>
    <t>5F-P19</t>
  </si>
  <si>
    <t>1A-3-9</t>
  </si>
  <si>
    <t>1B-3-9</t>
  </si>
  <si>
    <t>U5-1A-28 / 2P 30A</t>
    <phoneticPr fontId="13" type="noConversion"/>
  </si>
  <si>
    <t>U5-1B-28 / 2P 30A</t>
    <phoneticPr fontId="13" type="noConversion"/>
  </si>
  <si>
    <t>5F-P20</t>
  </si>
  <si>
    <t>1A-3-10</t>
  </si>
  <si>
    <t>1B-3-10</t>
  </si>
  <si>
    <t>U5-1A-30 / 2P 30A</t>
    <phoneticPr fontId="13" type="noConversion"/>
  </si>
  <si>
    <t>U5-1B-30 / 2P 30A</t>
    <phoneticPr fontId="13" type="noConversion"/>
  </si>
  <si>
    <t>5F-P21</t>
  </si>
  <si>
    <t>1A-3-11</t>
  </si>
  <si>
    <t>1B-3-11</t>
  </si>
  <si>
    <t>U5-1A-32 / 2P 30A</t>
    <phoneticPr fontId="13" type="noConversion"/>
  </si>
  <si>
    <t>U5-1B-32 / 2P 30A</t>
    <phoneticPr fontId="13" type="noConversion"/>
  </si>
  <si>
    <t>5F-P22</t>
  </si>
  <si>
    <t>1A-3-12</t>
  </si>
  <si>
    <t>1B-3-12</t>
  </si>
  <si>
    <t>U5-1A-34 / 2P 30A</t>
    <phoneticPr fontId="13" type="noConversion"/>
  </si>
  <si>
    <t>U5-1B-34 / 2P 30A</t>
    <phoneticPr fontId="13" type="noConversion"/>
  </si>
  <si>
    <t>5F-P23</t>
  </si>
  <si>
    <t>1A-3-13</t>
  </si>
  <si>
    <t>1B-3-13</t>
  </si>
  <si>
    <t>U5-1A-36 / 2P 30A</t>
    <phoneticPr fontId="13" type="noConversion"/>
  </si>
  <si>
    <t>U5-1B-36 / 2P 30A</t>
    <phoneticPr fontId="13" type="noConversion"/>
  </si>
  <si>
    <t>5F-P24</t>
  </si>
  <si>
    <t>1A-3-14</t>
  </si>
  <si>
    <t>1B-3-14</t>
  </si>
  <si>
    <t>U5-1A-38 / 2P 30A</t>
    <phoneticPr fontId="13" type="noConversion"/>
  </si>
  <si>
    <t>U5-1B-38 / 2P 30A</t>
    <phoneticPr fontId="13" type="noConversion"/>
  </si>
  <si>
    <t>1B-3-15</t>
  </si>
  <si>
    <t>U5-1B-40 / 2P 30A</t>
    <phoneticPr fontId="13" type="noConversion"/>
  </si>
  <si>
    <t>미구축</t>
    <phoneticPr fontId="13" type="noConversion"/>
  </si>
  <si>
    <t>5F-Q20</t>
  </si>
  <si>
    <t>1A-2-10</t>
  </si>
  <si>
    <t>1B-2-10</t>
  </si>
  <si>
    <t>U5-1A-49 / 2P 30A</t>
    <phoneticPr fontId="13" type="noConversion"/>
  </si>
  <si>
    <t>U5-1B-49 / 2P 30A</t>
    <phoneticPr fontId="13" type="noConversion"/>
  </si>
  <si>
    <t>5F-Q21</t>
  </si>
  <si>
    <t>1A-2-11</t>
  </si>
  <si>
    <t>1B-2-11</t>
  </si>
  <si>
    <t>U5-1A-02 / 2P 30A</t>
    <phoneticPr fontId="13" type="noConversion"/>
  </si>
  <si>
    <t>U5-1B-02 / 2P 30A</t>
    <phoneticPr fontId="13" type="noConversion"/>
  </si>
  <si>
    <t>5F-Q24</t>
  </si>
  <si>
    <t>1A-2-14</t>
  </si>
  <si>
    <t>1B-2-14</t>
  </si>
  <si>
    <t>U5-1A-08 / 2P 30A</t>
    <phoneticPr fontId="13" type="noConversion"/>
  </si>
  <si>
    <t>U5-1B-08 / 2P 30A</t>
    <phoneticPr fontId="13" type="noConversion"/>
  </si>
  <si>
    <t>5F-R24</t>
  </si>
  <si>
    <t>1A-1-14</t>
  </si>
  <si>
    <t>1B-1-14</t>
  </si>
  <si>
    <t>U5-1A-27 / 2P 30A</t>
    <phoneticPr fontId="13" type="noConversion"/>
  </si>
  <si>
    <t>U5-1B-27 / 2P 30A</t>
    <phoneticPr fontId="13" type="noConversion"/>
  </si>
  <si>
    <t>1A-1-15</t>
  </si>
  <si>
    <t>1B-1-15</t>
  </si>
  <si>
    <t>U5-1A-29 / 2P 30A</t>
    <phoneticPr fontId="13" type="noConversion"/>
  </si>
  <si>
    <t>U5-1B-29 / 2P 30A</t>
    <phoneticPr fontId="13" type="noConversion"/>
  </si>
  <si>
    <t>PDU(B)-2-32 / 3P 20A</t>
    <phoneticPr fontId="13" type="noConversion"/>
  </si>
  <si>
    <t>pacnet
내
분전반2식</t>
    <phoneticPr fontId="19" type="noConversion"/>
  </si>
  <si>
    <t>PDU-08-A
4P 200A</t>
    <phoneticPr fontId="13" type="noConversion"/>
  </si>
  <si>
    <t>UPS출력
배전반(A), #08
3P 200A</t>
    <phoneticPr fontId="13" type="noConversion"/>
  </si>
  <si>
    <t>PDU-08-B
4P 200A</t>
  </si>
  <si>
    <t>UPS출력
배전반(B), #08
3P 200A</t>
  </si>
  <si>
    <t>TR-5B
1000KVA</t>
  </si>
  <si>
    <t>싱텔</t>
    <phoneticPr fontId="13" type="noConversion"/>
  </si>
  <si>
    <t>싱텔 SKB CWDM</t>
    <phoneticPr fontId="13" type="noConversion"/>
  </si>
  <si>
    <t>싱텔 SKB CWDM A전원</t>
    <phoneticPr fontId="13" type="noConversion"/>
  </si>
  <si>
    <t>싱텔 SKB CWDM B전원</t>
    <phoneticPr fontId="13" type="noConversion"/>
  </si>
  <si>
    <t>PDU(A)-3-13 / 2P 30A</t>
    <phoneticPr fontId="13" type="noConversion"/>
  </si>
  <si>
    <t>PDU(B)-3-13 / 2P 30A</t>
    <phoneticPr fontId="13" type="noConversion"/>
  </si>
  <si>
    <t>UPS출력
배전반(B),
#01, 3P 300A</t>
    <phoneticPr fontId="13" type="noConversion"/>
  </si>
  <si>
    <t>TR-5A
1000KVA</t>
  </si>
  <si>
    <t>single-2</t>
  </si>
  <si>
    <t>PUD(A)-2-21</t>
    <phoneticPr fontId="13" type="noConversion"/>
  </si>
  <si>
    <t>PDU(A)-3-23 / 2P 20A</t>
  </si>
  <si>
    <t>single-2</t>
    <phoneticPr fontId="13" type="noConversion"/>
  </si>
  <si>
    <t>PUD(A)-2-27</t>
    <phoneticPr fontId="13" type="noConversion"/>
  </si>
  <si>
    <t>PDU(A)-3-29 / 2P 20A</t>
  </si>
  <si>
    <t>KT Rack #2 (소형 임시정류기)</t>
    <phoneticPr fontId="13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</si>
  <si>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</si>
  <si>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</si>
  <si>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</si>
  <si>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</si>
  <si>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</si>
  <si>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</si>
  <si>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3" type="noConversion"/>
  </si>
  <si>
    <t>DACOM EOS</t>
    <phoneticPr fontId="13" type="noConversion"/>
  </si>
  <si>
    <t>PDU(B)-3-23 / 2P 20A</t>
    <phoneticPr fontId="13" type="noConversion"/>
  </si>
  <si>
    <t>PDU(B)-3-25 / 2P 20A</t>
    <phoneticPr fontId="13" type="noConversion"/>
  </si>
  <si>
    <t>SKB2.5G전용
PDU B3 27</t>
  </si>
  <si>
    <t>PDU(B)-3-27 / 2P 20A</t>
    <phoneticPr fontId="13" type="noConversion"/>
  </si>
  <si>
    <t>데이콤 AC전원</t>
  </si>
  <si>
    <t>PDU(B)-3-29 / 2P 20A</t>
    <phoneticPr fontId="13" type="noConversion"/>
  </si>
  <si>
    <t>kt mspp 전원</t>
  </si>
  <si>
    <t>PDU(B)-3-24 / 2P 20A</t>
    <phoneticPr fontId="13" type="noConversion"/>
  </si>
  <si>
    <t>TNSI A</t>
  </si>
  <si>
    <t>PDU(B)-3-30 / 2P 20A</t>
    <phoneticPr fontId="13" type="noConversion"/>
  </si>
  <si>
    <t>텔스트라</t>
    <phoneticPr fontId="19" type="noConversion"/>
  </si>
  <si>
    <t>C2C 정류기 B1</t>
  </si>
  <si>
    <t>C2C 정류기 A1</t>
  </si>
  <si>
    <t>UPS출력
배전반(A), #12
3P 100A</t>
    <phoneticPr fontId="13" type="noConversion"/>
  </si>
  <si>
    <t>UPS출력
배전반(B), #12
3P 100A</t>
    <phoneticPr fontId="13" type="noConversion"/>
  </si>
  <si>
    <t>텔스트라</t>
    <phoneticPr fontId="13" type="noConversion"/>
  </si>
  <si>
    <t>Telstra</t>
  </si>
  <si>
    <t>C2C 정류기 B2</t>
  </si>
  <si>
    <t>C2C 정류기 A2</t>
  </si>
  <si>
    <t>UPS출력
배전반(A), #11
3P 100A</t>
    <phoneticPr fontId="13" type="noConversion"/>
  </si>
  <si>
    <t>UPS출력
배전반(B), #11
3P 100A</t>
    <phoneticPr fontId="1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</si>
  <si>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3" type="noConversion"/>
  </si>
  <si>
    <t>PDU(A)-3-01(3상)
/ 3P 50A</t>
    <phoneticPr fontId="13" type="noConversion"/>
  </si>
  <si>
    <t>AC PDU(A)-3A</t>
  </si>
  <si>
    <t>PDU(A)-3-02(3상)
/ 3P 50A</t>
    <phoneticPr fontId="1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</si>
  <si>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3" type="noConversion"/>
  </si>
  <si>
    <t>PDU(B)-3-01(3상)
/ 3P 50A</t>
    <phoneticPr fontId="13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</si>
  <si>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3" type="noConversion"/>
  </si>
  <si>
    <t>PDU(B)-3-02(3상)
/ 3P 50A</t>
    <phoneticPr fontId="13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</si>
  <si>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3" type="noConversion"/>
  </si>
  <si>
    <t>RTX Rack#1 / R1-1-1</t>
    <phoneticPr fontId="13" type="noConversion"/>
  </si>
  <si>
    <t>RTX Rack#1 / R1-1-2</t>
    <phoneticPr fontId="13" type="noConversion"/>
  </si>
  <si>
    <t>LG PDU(A1), #01 / 2P 50A</t>
    <phoneticPr fontId="13" type="noConversion"/>
  </si>
  <si>
    <t>LG PDU (B1), #01 /2P 50A</t>
    <phoneticPr fontId="13" type="noConversion"/>
  </si>
  <si>
    <t>LG PDU (A1)</t>
    <phoneticPr fontId="13" type="noConversion"/>
  </si>
  <si>
    <t>LG PDU (B1)</t>
    <phoneticPr fontId="13" type="noConversion"/>
  </si>
  <si>
    <t>LV-5A, #05
3P 320A</t>
    <phoneticPr fontId="13" type="noConversion"/>
  </si>
  <si>
    <t>LV-5B, #04
3P 320A</t>
    <phoneticPr fontId="13" type="noConversion"/>
  </si>
  <si>
    <t>RTX Rack#1 / R1-1-3</t>
    <phoneticPr fontId="13" type="noConversion"/>
  </si>
  <si>
    <t>RTX Rack#1 / R1-1-4</t>
    <phoneticPr fontId="13" type="noConversion"/>
  </si>
  <si>
    <t>LG PDU(A2), #01 / 2P 50A</t>
    <phoneticPr fontId="13" type="noConversion"/>
  </si>
  <si>
    <t>LG PDU (B2), #01 / 2P 50A</t>
    <phoneticPr fontId="13" type="noConversion"/>
  </si>
  <si>
    <t>LG PDU (A2)</t>
    <phoneticPr fontId="13" type="noConversion"/>
  </si>
  <si>
    <t>LG PDU (B2)</t>
    <phoneticPr fontId="13" type="noConversion"/>
  </si>
  <si>
    <t>LV-5A, #06
3P 320A</t>
    <phoneticPr fontId="13" type="noConversion"/>
  </si>
  <si>
    <t>LV-5B, #05
3P 320A</t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</si>
  <si>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</si>
  <si>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</si>
  <si>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</si>
  <si>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Rack#2 / R1-2-2</t>
    <phoneticPr fontId="13" type="noConversion"/>
  </si>
  <si>
    <t>LG PDU(A1), #03 / 2P 50A</t>
    <phoneticPr fontId="13" type="noConversion"/>
  </si>
  <si>
    <t>LG PDU (B1), #03 /2P 50A</t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</si>
  <si>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</si>
  <si>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</si>
  <si>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#03 / 2P 50A</t>
    <phoneticPr fontId="13" type="noConversion"/>
  </si>
  <si>
    <t>LG PDU (B2), #03 / 2P 50A</t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</si>
  <si>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</si>
  <si>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</si>
  <si>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Rack#3 / R1-3-2</t>
    <phoneticPr fontId="13" type="noConversion"/>
  </si>
  <si>
    <t>LG PDU(A1), #05 / 2P 50A</t>
    <phoneticPr fontId="13" type="noConversion"/>
  </si>
  <si>
    <t>LG PDU (B1), #05 /2P 50A</t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</si>
  <si>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</si>
  <si>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</si>
  <si>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#05 / 2P 50A</t>
    <phoneticPr fontId="13" type="noConversion"/>
  </si>
  <si>
    <t>LG PDU (B2), #05 / 2P 50A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</si>
  <si>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</si>
  <si>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</si>
  <si>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Rack#4 / R2-1-2</t>
    <phoneticPr fontId="13" type="noConversion"/>
  </si>
  <si>
    <t>LG PDU(A1), #07 / 2P 50A</t>
    <phoneticPr fontId="13" type="noConversion"/>
  </si>
  <si>
    <t>LG PDU (B1), #07 /2P 50A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</si>
  <si>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</si>
  <si>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</si>
  <si>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#07 / 2P 50A</t>
    <phoneticPr fontId="13" type="noConversion"/>
  </si>
  <si>
    <t>LG PDU (B2), #07 / 2P 50A</t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</si>
  <si>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</si>
  <si>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</si>
  <si>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Rack#5 / R2-2-2</t>
    <phoneticPr fontId="13" type="noConversion"/>
  </si>
  <si>
    <t>LG PDU(A1), #09 / 2P 50A</t>
    <phoneticPr fontId="13" type="noConversion"/>
  </si>
  <si>
    <t>LG PDU (B1), #09 /2P 50A</t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</si>
  <si>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</si>
  <si>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</si>
  <si>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#09 / 2P 50A</t>
    <phoneticPr fontId="13" type="noConversion"/>
  </si>
  <si>
    <t>LG PDU (B2), #09 / 2P 50A</t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</si>
  <si>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</si>
  <si>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</si>
  <si>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Rack#6 / R2-3-2</t>
    <phoneticPr fontId="13" type="noConversion"/>
  </si>
  <si>
    <t>LG PDU(A1), #11 / 2P 50A</t>
    <phoneticPr fontId="13" type="noConversion"/>
  </si>
  <si>
    <t>LG PDU (B1), #11 /2P 50A</t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</si>
  <si>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</si>
  <si>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</si>
  <si>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#11 / 2P 50A</t>
    <phoneticPr fontId="13" type="noConversion"/>
  </si>
  <si>
    <t>LG PDU (B2), #11 / 2P 50A</t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</si>
  <si>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</si>
  <si>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</si>
  <si>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Rack#7 / R2-4-2</t>
    <phoneticPr fontId="13" type="noConversion"/>
  </si>
  <si>
    <t>LG PDU(A1), #13 / 2P 50A</t>
    <phoneticPr fontId="13" type="noConversion"/>
  </si>
  <si>
    <t>LG PDU (B1), #13 /2P 50A</t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</si>
  <si>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</si>
  <si>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</si>
  <si>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#13 / 2P 50A</t>
    <phoneticPr fontId="13" type="noConversion"/>
  </si>
  <si>
    <t>LG PDU (B2), #13 / 2P 50A</t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</si>
  <si>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</si>
  <si>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</si>
  <si>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Rack#8 / R3-1-2</t>
    <phoneticPr fontId="13" type="noConversion"/>
  </si>
  <si>
    <t>LG PDU(A1), #02 / 2P 50A</t>
    <phoneticPr fontId="13" type="noConversion"/>
  </si>
  <si>
    <t>LG PDU (B1), #02 /2P 50A</t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</si>
  <si>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</si>
  <si>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</si>
  <si>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#02 / 2P 50A</t>
    <phoneticPr fontId="13" type="noConversion"/>
  </si>
  <si>
    <t>LG PDU (B2), #02 / 2P 50A</t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</si>
  <si>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</si>
  <si>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</si>
  <si>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Rack#9 / R3-2-2</t>
    <phoneticPr fontId="13" type="noConversion"/>
  </si>
  <si>
    <t>LG PDU(A1), #04 / 2P 50A</t>
    <phoneticPr fontId="13" type="noConversion"/>
  </si>
  <si>
    <t>LG PDU (B1), #04 /2P 50A</t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</si>
  <si>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</si>
  <si>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</si>
  <si>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#04 / 2P 50A</t>
    <phoneticPr fontId="13" type="noConversion"/>
  </si>
  <si>
    <t>LG PDU (B2), #04 / 2P 50A</t>
    <phoneticPr fontId="13" type="noConversion"/>
  </si>
  <si>
    <t>NW/Mgmt Rack /
 R3-3</t>
    <phoneticPr fontId="13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</si>
  <si>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</si>
  <si>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NW/Mgmt Rack /
 R3-3-2</t>
    <phoneticPr fontId="13" type="noConversion"/>
  </si>
  <si>
    <t>LG PDU(A1), #06 / 2P 30A</t>
    <phoneticPr fontId="13" type="noConversion"/>
  </si>
  <si>
    <t>LG PDU (B1), #06 /2P 30A</t>
    <phoneticPr fontId="13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</si>
  <si>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</si>
  <si>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</si>
  <si>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</si>
  <si>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</si>
  <si>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#06 / 2P 30A</t>
    <phoneticPr fontId="13" type="noConversion"/>
  </si>
  <si>
    <t>LG PDU (B2), #06 / 2P 30A</t>
    <phoneticPr fontId="13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</si>
  <si>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</si>
  <si>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</si>
  <si>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3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</si>
  <si>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</si>
  <si>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A40 Rack#1 / R4-1-2</t>
    <phoneticPr fontId="13" type="noConversion"/>
  </si>
  <si>
    <t>LG PDU(A1), #08 / 2P 50A</t>
    <phoneticPr fontId="13" type="noConversion"/>
  </si>
  <si>
    <t>LG PDU (B1), #08 /2P 50A</t>
    <phoneticPr fontId="13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</si>
  <si>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</si>
  <si>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</si>
  <si>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#08 / 2P 50A</t>
    <phoneticPr fontId="13" type="noConversion"/>
  </si>
  <si>
    <t>LG PDU (B2), #08 / 2P 50A</t>
    <phoneticPr fontId="13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</si>
  <si>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</si>
  <si>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</si>
  <si>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A40 Rack#2 / R4-2-2</t>
    <phoneticPr fontId="13" type="noConversion"/>
  </si>
  <si>
    <t>LG PDU(A1), #10 / 2P 50A</t>
    <phoneticPr fontId="13" type="noConversion"/>
  </si>
  <si>
    <t>LG PDU (B1), #10 /2P 50A</t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</si>
  <si>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</si>
  <si>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</si>
  <si>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#10 / 2P 50A</t>
    <phoneticPr fontId="13" type="noConversion"/>
  </si>
  <si>
    <t>LG PDU (B2), #10 / 2P 50A</t>
    <phoneticPr fontId="13" type="noConversion"/>
  </si>
  <si>
    <t>NetApp FAS#1 / R4-3</t>
    <phoneticPr fontId="13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</si>
  <si>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</si>
  <si>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NetApp FAS#1 / R4-3-2</t>
    <phoneticPr fontId="13" type="noConversion"/>
  </si>
  <si>
    <t>LG PDU(A1), #12 / 2P 30A</t>
    <phoneticPr fontId="13" type="noConversion"/>
  </si>
  <si>
    <t>LG PDU (B1), #12 /2P 30A</t>
    <phoneticPr fontId="13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</si>
  <si>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</si>
  <si>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</si>
  <si>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#12 / 2P 30A</t>
    <phoneticPr fontId="13" type="noConversion"/>
  </si>
  <si>
    <t>LG PDU (B2), #12 / 2P 30A</t>
    <phoneticPr fontId="13" type="noConversion"/>
  </si>
  <si>
    <t>NetApp AFF#2 / R4-4</t>
    <phoneticPr fontId="13" type="noConversion"/>
  </si>
  <si>
    <t>NetApp AFF#2 /
 R4-4-1</t>
    <phoneticPr fontId="13" type="noConversion"/>
  </si>
  <si>
    <t>NetApp AFF#2 /
 R4-4-2</t>
    <phoneticPr fontId="13" type="noConversion"/>
  </si>
  <si>
    <t>LG PDU(A1), #14 / 2P 30A</t>
    <phoneticPr fontId="13" type="noConversion"/>
  </si>
  <si>
    <t>LG PDU (B1), #14 /2P 30A</t>
    <phoneticPr fontId="13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</si>
  <si>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</si>
  <si>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</si>
  <si>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#14 / 2P 30A</t>
    <phoneticPr fontId="13" type="noConversion"/>
  </si>
  <si>
    <t>LG PDU (B2), #14 / 2P 30A</t>
    <phoneticPr fontId="13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</si>
  <si>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3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</si>
  <si>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</si>
  <si>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DGX Rack#1 / R5-1-2</t>
    <phoneticPr fontId="13" type="noConversion"/>
  </si>
  <si>
    <t>LG PDU(A1), #15 / 2P 30A</t>
    <phoneticPr fontId="13" type="noConversion"/>
  </si>
  <si>
    <t>LG PDU (B1), #15 /2P 30A</t>
    <phoneticPr fontId="13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</si>
  <si>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</si>
  <si>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</si>
  <si>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#15 / 2P 30A</t>
    <phoneticPr fontId="13" type="noConversion"/>
  </si>
  <si>
    <t>LG PDU (B2), #15 / 2P 30A</t>
    <phoneticPr fontId="13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</si>
  <si>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</si>
  <si>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t>DGX Rack#2 / R5-2-1</t>
    <phoneticPr fontId="13" type="noConversion"/>
  </si>
  <si>
    <t>DGX Rack#2 / R5-2-2</t>
    <phoneticPr fontId="13" type="noConversion"/>
  </si>
  <si>
    <t>LG PDU(A1), #17 / 2P 30A</t>
    <phoneticPr fontId="13" type="noConversion"/>
  </si>
  <si>
    <t>LG PDU (B1), #17 /2P 30A</t>
    <phoneticPr fontId="13" type="noConversion"/>
  </si>
  <si>
    <t>DGX Rack#2 / R5-2-3</t>
    <phoneticPr fontId="13" type="noConversion"/>
  </si>
  <si>
    <t>DGX Rack#2 / R5-2-4</t>
    <phoneticPr fontId="13" type="noConversion"/>
  </si>
  <si>
    <t>LG PDU(A2), #17 / 2P 30A</t>
    <phoneticPr fontId="13" type="noConversion"/>
  </si>
  <si>
    <t>LG PDU (B2), #17 / 2P 30A</t>
    <phoneticPr fontId="13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</si>
  <si>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</si>
  <si>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t>DGX Rack#3 / R5-3-1</t>
    <phoneticPr fontId="13" type="noConversion"/>
  </si>
  <si>
    <t>DGX Rack#3 / R5-3-2</t>
    <phoneticPr fontId="13" type="noConversion"/>
  </si>
  <si>
    <t>LG PDU(A1), #19 / 2P 30A</t>
    <phoneticPr fontId="13" type="noConversion"/>
  </si>
  <si>
    <t>LG PDU (B1), #19 /2P 30A</t>
    <phoneticPr fontId="13" type="noConversion"/>
  </si>
  <si>
    <t>DGX Rack#3 / R5-3-3</t>
    <phoneticPr fontId="13" type="noConversion"/>
  </si>
  <si>
    <t>DGX Rack#3 / R5-3-4</t>
    <phoneticPr fontId="13" type="noConversion"/>
  </si>
  <si>
    <t>LG PDU(A2), #19 / 2P 30A</t>
    <phoneticPr fontId="13" type="noConversion"/>
  </si>
  <si>
    <t>LG PDU (B2), #19 / 2P 30A</t>
    <phoneticPr fontId="13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</si>
  <si>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</si>
  <si>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</si>
  <si>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예비Rack#1 / R6-1-2</t>
    <phoneticPr fontId="13" type="noConversion"/>
  </si>
  <si>
    <t>LG PDU(A1), #16 / 2P 50A</t>
    <phoneticPr fontId="13" type="noConversion"/>
  </si>
  <si>
    <t>LG PDU (B1), #16 /2P 50A</t>
    <phoneticPr fontId="13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</si>
  <si>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</si>
  <si>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</si>
  <si>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#16 / 2P 50A</t>
    <phoneticPr fontId="13" type="noConversion"/>
  </si>
  <si>
    <t>LG PDU (B2), #16 / 2P 50A</t>
    <phoneticPr fontId="13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</si>
  <si>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</si>
  <si>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</si>
  <si>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예비Rack#2 / R6-2-2</t>
    <phoneticPr fontId="13" type="noConversion"/>
  </si>
  <si>
    <t>LG PDU(A1), #18 / 2P 50A</t>
    <phoneticPr fontId="13" type="noConversion"/>
  </si>
  <si>
    <t>LG PDU (B1), #18 /2P 50A</t>
    <phoneticPr fontId="13" type="noConversion"/>
  </si>
  <si>
    <t>예비Rack#2 / R6-2-3</t>
    <phoneticPr fontId="13" type="noConversion"/>
  </si>
  <si>
    <t>예비Rack#2 / R6-2-4</t>
    <phoneticPr fontId="13" type="noConversion"/>
  </si>
  <si>
    <t>LG PDU(A2), #18 / 2P 50A</t>
    <phoneticPr fontId="13" type="noConversion"/>
  </si>
  <si>
    <t>LG PDU (B2), #18 / 2P 50A</t>
    <phoneticPr fontId="13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</si>
  <si>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</si>
  <si>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</si>
  <si>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예비Rack#3 / R6-3-2</t>
    <phoneticPr fontId="13" type="noConversion"/>
  </si>
  <si>
    <t>LG PDU(A1), #20 / 2P 50A</t>
    <phoneticPr fontId="13" type="noConversion"/>
  </si>
  <si>
    <t>LG PDU (B1), #20 /2P 50A</t>
    <phoneticPr fontId="13" type="noConversion"/>
  </si>
  <si>
    <t>예비Rack#3 / R6-3-3</t>
    <phoneticPr fontId="13" type="noConversion"/>
  </si>
  <si>
    <t>예비Rack#3 / R6-3-4</t>
    <phoneticPr fontId="13" type="noConversion"/>
  </si>
  <si>
    <t>LG PDU(A2), #20 / 2P 50A</t>
    <phoneticPr fontId="13" type="noConversion"/>
  </si>
  <si>
    <t>LG PDU (B2), #20 / 2P 50A</t>
    <phoneticPr fontId="13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</si>
  <si>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</si>
  <si>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</si>
  <si>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예비Rack#4 / R6-4-2</t>
    <phoneticPr fontId="13" type="noConversion"/>
  </si>
  <si>
    <t>LG PDU(A1), #22 / 2P 50A</t>
    <phoneticPr fontId="13" type="noConversion"/>
  </si>
  <si>
    <t>LG PDU (B1), #22 /2P 50A</t>
    <phoneticPr fontId="13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</si>
  <si>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</si>
  <si>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</si>
  <si>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#22 / 2P 50A</t>
    <phoneticPr fontId="13" type="noConversion"/>
  </si>
  <si>
    <t>LG PDU (B2), #22 / 2P 50A</t>
    <phoneticPr fontId="13" type="noConversion"/>
  </si>
  <si>
    <t>신규 BMS(4F TPS실) Rack</t>
  </si>
  <si>
    <t>신규 BMS(5F TPS실) Rack</t>
  </si>
  <si>
    <t>합 계</t>
    <phoneticPr fontId="13" type="noConversion"/>
  </si>
  <si>
    <t>4층 랙별 전기공급계통</t>
    <phoneticPr fontId="13" type="noConversion"/>
  </si>
  <si>
    <t>열 구분
(부스바명)</t>
    <phoneticPr fontId="13" type="noConversion"/>
  </si>
  <si>
    <t>세종 관리 Name
(IDC 관리명).</t>
    <phoneticPr fontId="13" type="noConversion"/>
  </si>
  <si>
    <t>DEK차단기 정보수정</t>
    <phoneticPr fontId="13" type="noConversion"/>
  </si>
  <si>
    <t>상</t>
    <phoneticPr fontId="13" type="noConversion"/>
  </si>
  <si>
    <t>하</t>
    <phoneticPr fontId="13" type="noConversion"/>
  </si>
  <si>
    <t>정류기</t>
    <phoneticPr fontId="13" type="noConversion"/>
  </si>
  <si>
    <t>정류기1호기</t>
    <phoneticPr fontId="13" type="noConversion"/>
  </si>
  <si>
    <t>KEN 1 #01 / 4P 100A</t>
    <phoneticPr fontId="13" type="noConversion"/>
  </si>
  <si>
    <t>KEN 1
4P 300A</t>
    <phoneticPr fontId="13" type="noConversion"/>
  </si>
  <si>
    <t>LV-4B #01
(3P 320A)</t>
    <phoneticPr fontId="13" type="noConversion"/>
  </si>
  <si>
    <t>TR-4B
(1000kVA)</t>
    <phoneticPr fontId="13" type="noConversion"/>
  </si>
  <si>
    <t>정류기2호기</t>
  </si>
  <si>
    <t>KEN 8 #01 / 4P 100A</t>
    <phoneticPr fontId="13" type="noConversion"/>
  </si>
  <si>
    <t>KEN 8
4P 300A</t>
    <phoneticPr fontId="13" type="noConversion"/>
  </si>
  <si>
    <t>LV-4A #01
(3P 320A)</t>
    <phoneticPr fontId="13" type="noConversion"/>
  </si>
  <si>
    <t>TR-4A
(1000kVA)</t>
    <phoneticPr fontId="13" type="noConversion"/>
  </si>
  <si>
    <t>항온항습기</t>
    <phoneticPr fontId="13" type="noConversion"/>
  </si>
  <si>
    <t>CRAC 4E-1호기(20RT)</t>
  </si>
  <si>
    <t>KEN 7 #02 / 4P 200A</t>
    <phoneticPr fontId="13" type="noConversion"/>
  </si>
  <si>
    <t>KEN 7
4P 300A</t>
    <phoneticPr fontId="13" type="noConversion"/>
  </si>
  <si>
    <t>LV-4B #05
(3P 320A)</t>
    <phoneticPr fontId="13" type="noConversion"/>
  </si>
  <si>
    <t>CRAC 4E-2호기(20RT)</t>
  </si>
  <si>
    <t>KEN 7 #03 / 4P 200A</t>
    <phoneticPr fontId="13" type="noConversion"/>
  </si>
  <si>
    <t>101~111Bay
/POP B열</t>
    <phoneticPr fontId="13" type="noConversion"/>
  </si>
  <si>
    <t>세종인터넷</t>
    <phoneticPr fontId="13" type="noConversion"/>
  </si>
  <si>
    <t>KEN 1 #03 / 2P 100A</t>
    <phoneticPr fontId="13" type="noConversion"/>
  </si>
  <si>
    <t>KEN 8 #03 / 2P 100A</t>
    <phoneticPr fontId="13" type="noConversion"/>
  </si>
  <si>
    <t>세종 Core Room</t>
    <phoneticPr fontId="13" type="noConversion"/>
  </si>
  <si>
    <t>201~211Bay
/POP C열</t>
    <phoneticPr fontId="13" type="noConversion"/>
  </si>
  <si>
    <t>KEN 1 #04 / 2P 100A</t>
    <phoneticPr fontId="13" type="noConversion"/>
  </si>
  <si>
    <t>KEN 8 #04 / 2P 100A</t>
    <phoneticPr fontId="13" type="noConversion"/>
  </si>
  <si>
    <t>301~311Bay
/POP D열</t>
    <phoneticPr fontId="13" type="noConversion"/>
  </si>
  <si>
    <t>KEN 1 #05 / 2P 100A</t>
    <phoneticPr fontId="13" type="noConversion"/>
  </si>
  <si>
    <t>KEN 8 #05 / 2P 100A</t>
    <phoneticPr fontId="13" type="noConversion"/>
  </si>
  <si>
    <t>401~411Bay
/POP E열</t>
    <phoneticPr fontId="13" type="noConversion"/>
  </si>
  <si>
    <t>KEN 1 #02 / 2P 100A</t>
    <phoneticPr fontId="13" type="noConversion"/>
  </si>
  <si>
    <t>KEN 8 #02 / 2P 100A</t>
    <phoneticPr fontId="13" type="noConversion"/>
  </si>
  <si>
    <t>501~511Bay
/POP F열</t>
    <phoneticPr fontId="13" type="noConversion"/>
  </si>
  <si>
    <t>KEN 2 #02 / 2P 100A</t>
    <phoneticPr fontId="13" type="noConversion"/>
  </si>
  <si>
    <t>KEN 9 #02 / 2P 100A</t>
    <phoneticPr fontId="13" type="noConversion"/>
  </si>
  <si>
    <t>KEN 2
4P 300A</t>
    <phoneticPr fontId="13" type="noConversion"/>
  </si>
  <si>
    <t>KEN 9
4P 300A</t>
    <phoneticPr fontId="13" type="noConversion"/>
  </si>
  <si>
    <t>LV-4B #06
(3P 320A)</t>
    <phoneticPr fontId="13" type="noConversion"/>
  </si>
  <si>
    <t>LV-4A #06
(3P 320A)</t>
    <phoneticPr fontId="13" type="noConversion"/>
  </si>
  <si>
    <t>601~611Bay
/1구역 B열</t>
    <phoneticPr fontId="13" type="noConversion"/>
  </si>
  <si>
    <t>KEN 2 #03 / 2P 100A</t>
    <phoneticPr fontId="13" type="noConversion"/>
  </si>
  <si>
    <t>KEN 9 #03 / 2P 100A</t>
    <phoneticPr fontId="13" type="noConversion"/>
  </si>
  <si>
    <t>철거
('21.10월)</t>
    <phoneticPr fontId="13" type="noConversion"/>
  </si>
  <si>
    <t>1구역 D열</t>
    <phoneticPr fontId="13" type="noConversion"/>
  </si>
  <si>
    <t>4F-D11</t>
  </si>
  <si>
    <t>KEN 2 #05  / 2P 100A</t>
    <phoneticPr fontId="13" type="noConversion"/>
  </si>
  <si>
    <t>KEN 9 #05  / 2P 100A</t>
    <phoneticPr fontId="13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</si>
  <si>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</si>
  <si>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</si>
  <si>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</si>
  <si>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</si>
  <si>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</si>
  <si>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</si>
  <si>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</si>
  <si>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</si>
  <si>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</si>
  <si>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</si>
  <si>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</si>
  <si>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</si>
  <si>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</si>
  <si>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</si>
  <si>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3" type="noConversion"/>
  </si>
  <si>
    <t>4F-E11</t>
  </si>
  <si>
    <t>KEN 2 #06 / 2P 100A</t>
    <phoneticPr fontId="13" type="noConversion"/>
  </si>
  <si>
    <t>KEN 9 #06 / 2P 100A</t>
    <phoneticPr fontId="13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</si>
  <si>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</si>
  <si>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</si>
  <si>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</si>
  <si>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</si>
  <si>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</si>
  <si>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</si>
  <si>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</si>
  <si>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</si>
  <si>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</si>
  <si>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</si>
  <si>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</si>
  <si>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</si>
  <si>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</si>
  <si>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3" type="noConversion"/>
  </si>
  <si>
    <t>4F-F11</t>
  </si>
  <si>
    <t>KEN 2 #07 / 2P 100A</t>
    <phoneticPr fontId="13" type="noConversion"/>
  </si>
  <si>
    <t>KEN 9 #07 / 2P 100A</t>
    <phoneticPr fontId="13" type="noConversion"/>
  </si>
  <si>
    <t>C802</t>
  </si>
  <si>
    <t>4F-F12</t>
  </si>
  <si>
    <t>4F-F13</t>
  </si>
  <si>
    <t>4F-F14</t>
  </si>
  <si>
    <t>4F-F15</t>
  </si>
  <si>
    <t>세틀뱅크</t>
    <phoneticPr fontId="13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</si>
  <si>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</si>
  <si>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</si>
  <si>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</si>
  <si>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</si>
  <si>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</si>
  <si>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</si>
  <si>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</si>
  <si>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</si>
  <si>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</si>
  <si>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3" type="noConversion"/>
  </si>
  <si>
    <t>4F-G11</t>
  </si>
  <si>
    <t>KEN 2 #08 / 2P 100A</t>
    <phoneticPr fontId="13" type="noConversion"/>
  </si>
  <si>
    <t>KEN 9 #08 / 2P 100A</t>
    <phoneticPr fontId="13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</si>
  <si>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</si>
  <si>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</si>
  <si>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</si>
  <si>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</si>
  <si>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</si>
  <si>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</si>
  <si>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</si>
  <si>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</si>
  <si>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</si>
  <si>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</si>
  <si>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</si>
  <si>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</si>
  <si>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</si>
  <si>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3" type="noConversion"/>
  </si>
  <si>
    <t>4F-H11</t>
  </si>
  <si>
    <t>KEN 1 #07 / 2P 100A</t>
    <phoneticPr fontId="13" type="noConversion"/>
  </si>
  <si>
    <t>KEN 8 #07 / 2P 100A</t>
    <phoneticPr fontId="13" type="noConversion"/>
  </si>
  <si>
    <t>4F-H12</t>
  </si>
  <si>
    <t>22/05/01 해지</t>
    <phoneticPr fontId="13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</si>
  <si>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</si>
  <si>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</si>
  <si>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</si>
  <si>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</si>
  <si>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</si>
  <si>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</si>
  <si>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</si>
  <si>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</si>
  <si>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</si>
  <si>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</si>
  <si>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3" type="noConversion"/>
  </si>
  <si>
    <t>4F-J11</t>
    <phoneticPr fontId="13" type="noConversion"/>
  </si>
  <si>
    <t>KEN 1 #06 / 2P 100A</t>
    <phoneticPr fontId="13" type="noConversion"/>
  </si>
  <si>
    <t>KEN 8 #06</t>
    <phoneticPr fontId="13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</si>
  <si>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</si>
  <si>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</si>
  <si>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</si>
  <si>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</si>
  <si>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</si>
  <si>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</si>
  <si>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</si>
  <si>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</si>
  <si>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</si>
  <si>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3" type="noConversion"/>
  </si>
  <si>
    <t>4F-K11</t>
    <phoneticPr fontId="13" type="noConversion"/>
  </si>
  <si>
    <t>KEN 3 #01 / 2P 100A</t>
    <phoneticPr fontId="13" type="noConversion"/>
  </si>
  <si>
    <t>KEN 10 #01 / 2P 100A</t>
    <phoneticPr fontId="13" type="noConversion"/>
  </si>
  <si>
    <t>KEN 3
4P 300A</t>
    <phoneticPr fontId="13" type="noConversion"/>
  </si>
  <si>
    <t>KEN 10
4P 300A</t>
    <phoneticPr fontId="13" type="noConversion"/>
  </si>
  <si>
    <t>LV-4B #03
(3P 320A)</t>
    <phoneticPr fontId="13" type="noConversion"/>
  </si>
  <si>
    <t>LV-4A #03
(3P 320A)</t>
    <phoneticPr fontId="13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</si>
  <si>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</si>
  <si>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</si>
  <si>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</si>
  <si>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</si>
  <si>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</si>
  <si>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</si>
  <si>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</si>
  <si>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</si>
  <si>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</si>
  <si>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3" type="noConversion"/>
  </si>
  <si>
    <t>4F-L11</t>
    <phoneticPr fontId="13" type="noConversion"/>
  </si>
  <si>
    <t>KEN 3 #02 / 2P 100A</t>
    <phoneticPr fontId="13" type="noConversion"/>
  </si>
  <si>
    <t>KEN 10 #02 / 2P 100A</t>
    <phoneticPr fontId="13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</si>
  <si>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</si>
  <si>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</si>
  <si>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</si>
  <si>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</si>
  <si>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</si>
  <si>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</si>
  <si>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</si>
  <si>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</si>
  <si>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</si>
  <si>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3" type="noConversion"/>
  </si>
  <si>
    <t>4F-M11</t>
    <phoneticPr fontId="13" type="noConversion"/>
  </si>
  <si>
    <t>KEN 3 #03 / 2P 100A</t>
    <phoneticPr fontId="13" type="noConversion"/>
  </si>
  <si>
    <t>KEN 10 #03 / 2P 100A</t>
    <phoneticPr fontId="13" type="noConversion"/>
  </si>
  <si>
    <t>4F-M12</t>
  </si>
  <si>
    <t>Singtel</t>
    <phoneticPr fontId="13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</si>
  <si>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</si>
  <si>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</si>
  <si>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</si>
  <si>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</si>
  <si>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</si>
  <si>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</si>
  <si>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</si>
  <si>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</si>
  <si>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</si>
  <si>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</si>
  <si>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3" type="noConversion"/>
  </si>
  <si>
    <t>KEN 3 #04 / 2P 100A</t>
    <phoneticPr fontId="13" type="noConversion"/>
  </si>
  <si>
    <t>KEN 10 #04 / 2P 100A</t>
    <phoneticPr fontId="13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</si>
  <si>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</si>
  <si>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</si>
  <si>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</si>
  <si>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</si>
  <si>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</si>
  <si>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</si>
  <si>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</si>
  <si>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</si>
  <si>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</si>
  <si>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</si>
  <si>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</si>
  <si>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</si>
  <si>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3" type="noConversion"/>
  </si>
  <si>
    <t>4F-Z11</t>
    <phoneticPr fontId="13" type="noConversion"/>
  </si>
  <si>
    <t>KEN 3 #5 / 2P 100A</t>
    <phoneticPr fontId="13" type="noConversion"/>
  </si>
  <si>
    <t>KEN 10 #5 / 2P 100A</t>
    <phoneticPr fontId="13" type="noConversion"/>
  </si>
  <si>
    <t>spare</t>
    <phoneticPr fontId="13" type="noConversion"/>
  </si>
  <si>
    <t>4F-Z12</t>
  </si>
  <si>
    <t>4F-Z13</t>
  </si>
  <si>
    <t>4F-Z14</t>
  </si>
  <si>
    <t>G3202</t>
    <phoneticPr fontId="13" type="noConversion"/>
  </si>
  <si>
    <t>N #02</t>
    <phoneticPr fontId="13" type="noConversion"/>
  </si>
  <si>
    <t>N #04 &amp; N #05</t>
    <phoneticPr fontId="13" type="noConversion"/>
  </si>
  <si>
    <t>N #01 &amp; N #03</t>
    <phoneticPr fontId="13" type="noConversion"/>
  </si>
  <si>
    <t>N #06</t>
    <phoneticPr fontId="13" type="noConversion"/>
  </si>
  <si>
    <t>3구역 O열</t>
    <phoneticPr fontId="13" type="noConversion"/>
  </si>
  <si>
    <t>KEN 3 #6 / 2P 100A</t>
    <phoneticPr fontId="13" type="noConversion"/>
  </si>
  <si>
    <t>KEN 10 #6 / 2P 100A</t>
    <phoneticPr fontId="13" type="noConversion"/>
  </si>
  <si>
    <t>O #01</t>
    <phoneticPr fontId="13" type="noConversion"/>
  </si>
  <si>
    <t>O #03</t>
    <phoneticPr fontId="13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</si>
  <si>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</si>
  <si>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</si>
  <si>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</si>
  <si>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</si>
  <si>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</si>
  <si>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</si>
  <si>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</si>
  <si>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</si>
  <si>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</si>
  <si>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</si>
  <si>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</si>
  <si>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</si>
  <si>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</si>
  <si>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</si>
  <si>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</si>
  <si>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</si>
  <si>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</si>
  <si>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</si>
  <si>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</si>
  <si>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3" type="noConversion"/>
  </si>
  <si>
    <t>4F-P20</t>
  </si>
  <si>
    <t>KEN 3 #7 / 2P 100A</t>
    <phoneticPr fontId="13" type="noConversion"/>
  </si>
  <si>
    <t>KEN 10 #7 / 2P 100A</t>
    <phoneticPr fontId="13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</si>
  <si>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</si>
  <si>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</si>
  <si>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</si>
  <si>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</si>
  <si>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</si>
  <si>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</si>
  <si>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</si>
  <si>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</si>
  <si>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3" type="noConversion"/>
  </si>
  <si>
    <t>KEN 3 #8 / 2P 100A</t>
    <phoneticPr fontId="13" type="noConversion"/>
  </si>
  <si>
    <t>KEN 10 #8 / 2P 100A</t>
    <phoneticPr fontId="13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</si>
  <si>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</si>
  <si>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</si>
  <si>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</si>
  <si>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</si>
  <si>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</si>
  <si>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</si>
  <si>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</si>
  <si>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</si>
  <si>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3" type="noConversion"/>
  </si>
  <si>
    <t>4F-R20</t>
  </si>
  <si>
    <t>KEN 3 #9 / 2P 100A</t>
    <phoneticPr fontId="13" type="noConversion"/>
  </si>
  <si>
    <t>KEN 10 #9 / 2P 100A</t>
    <phoneticPr fontId="13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</si>
  <si>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</si>
  <si>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</si>
  <si>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</si>
  <si>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</si>
  <si>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</si>
  <si>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</si>
  <si>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</si>
  <si>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</si>
  <si>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3" type="noConversion"/>
  </si>
  <si>
    <t>4F-S20</t>
  </si>
  <si>
    <t>KEN 3 #10 / 2P 100A</t>
    <phoneticPr fontId="13" type="noConversion"/>
  </si>
  <si>
    <t>KEN 10 #10 / 2P 100A</t>
    <phoneticPr fontId="13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</si>
  <si>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</si>
  <si>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</si>
  <si>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</si>
  <si>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</si>
  <si>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</si>
  <si>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</si>
  <si>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</si>
  <si>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</si>
  <si>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</si>
  <si>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3" type="noConversion"/>
  </si>
  <si>
    <t>G3201</t>
    <phoneticPr fontId="13" type="noConversion"/>
  </si>
  <si>
    <t>KEN 6 #09 / 2P 100A</t>
    <phoneticPr fontId="13" type="noConversion"/>
  </si>
  <si>
    <t>KEN 13 #09 / 2P 100A</t>
    <phoneticPr fontId="13" type="noConversion"/>
  </si>
  <si>
    <t>KEN 6
4P 300A</t>
    <phoneticPr fontId="13" type="noConversion"/>
  </si>
  <si>
    <t>KEN 13
4P 300A</t>
    <phoneticPr fontId="13" type="noConversion"/>
  </si>
  <si>
    <t>LV-4B #04
(3P 320A)</t>
    <phoneticPr fontId="13" type="noConversion"/>
  </si>
  <si>
    <t>LV-4A #04
(3P 320A)</t>
    <phoneticPr fontId="13" type="noConversion"/>
  </si>
  <si>
    <t>Cage 1-1-02 &amp; 03 (총 4회로)</t>
    <phoneticPr fontId="13" type="noConversion"/>
  </si>
  <si>
    <t>Café 1-1-01 (2회로)</t>
    <phoneticPr fontId="13" type="noConversion"/>
  </si>
  <si>
    <t>K 1-2</t>
    <phoneticPr fontId="13" type="noConversion"/>
  </si>
  <si>
    <t>KEN 6 #10 / 2P 100A</t>
  </si>
  <si>
    <t>KEN 13 #10 / 2P 100A</t>
  </si>
  <si>
    <t>K 2-1</t>
    <phoneticPr fontId="13" type="noConversion"/>
  </si>
  <si>
    <t>G2306</t>
    <phoneticPr fontId="13" type="noConversion"/>
  </si>
  <si>
    <t>4F Cage3-R01</t>
    <phoneticPr fontId="13" type="noConversion"/>
  </si>
  <si>
    <t>KEN 6 #01 / 2P 100A</t>
    <phoneticPr fontId="13" type="noConversion"/>
  </si>
  <si>
    <t>KEN 13 #01 / 2P 100A</t>
    <phoneticPr fontId="13" type="noConversion"/>
  </si>
  <si>
    <t>G2305</t>
    <phoneticPr fontId="13" type="noConversion"/>
  </si>
  <si>
    <t>4F Cage3-R02</t>
  </si>
  <si>
    <t>G2304</t>
    <phoneticPr fontId="13" type="noConversion"/>
  </si>
  <si>
    <t>4F Cage3-R03</t>
  </si>
  <si>
    <t>G2303</t>
    <phoneticPr fontId="13" type="noConversion"/>
  </si>
  <si>
    <t>4F Cage3-R04</t>
  </si>
  <si>
    <t>G2302</t>
    <phoneticPr fontId="13" type="noConversion"/>
  </si>
  <si>
    <t>4F Cage3-R05</t>
  </si>
  <si>
    <t>G2301</t>
    <phoneticPr fontId="13" type="noConversion"/>
  </si>
  <si>
    <t>4F Cage3-R06</t>
  </si>
  <si>
    <t>K 2-2</t>
    <phoneticPr fontId="13" type="noConversion"/>
  </si>
  <si>
    <t>G2205</t>
    <phoneticPr fontId="13" type="noConversion"/>
  </si>
  <si>
    <t>4F Cage3-R08</t>
    <phoneticPr fontId="13" type="noConversion"/>
  </si>
  <si>
    <t>KEN 6 #03 / 2P 100A</t>
    <phoneticPr fontId="13" type="noConversion"/>
  </si>
  <si>
    <t>KEN 13 #03 / 2P 100A</t>
    <phoneticPr fontId="13" type="noConversion"/>
  </si>
  <si>
    <t>4F Cage3-R10</t>
    <phoneticPr fontId="13" type="noConversion"/>
  </si>
  <si>
    <t>G2201</t>
    <phoneticPr fontId="13" type="noConversion"/>
  </si>
  <si>
    <t>4F Cage3-R12</t>
    <phoneticPr fontId="13" type="noConversion"/>
  </si>
  <si>
    <t>K 2-3</t>
    <phoneticPr fontId="13" type="noConversion"/>
  </si>
  <si>
    <t>G2206</t>
    <phoneticPr fontId="13" type="noConversion"/>
  </si>
  <si>
    <t>4F Cage3-R07</t>
    <phoneticPr fontId="13" type="noConversion"/>
  </si>
  <si>
    <t>KEN 6 #05 / 2P 100A</t>
    <phoneticPr fontId="13" type="noConversion"/>
  </si>
  <si>
    <t>KEN 13 #05 / 2P 100A</t>
    <phoneticPr fontId="13" type="noConversion"/>
  </si>
  <si>
    <t>G2204</t>
    <phoneticPr fontId="13" type="noConversion"/>
  </si>
  <si>
    <t>4F Cage3-R09</t>
    <phoneticPr fontId="13" type="noConversion"/>
  </si>
  <si>
    <t>G2202</t>
    <phoneticPr fontId="13" type="noConversion"/>
  </si>
  <si>
    <t>4F Cage3-R11</t>
    <phoneticPr fontId="13" type="noConversion"/>
  </si>
  <si>
    <t>K 2-4</t>
    <phoneticPr fontId="13" type="noConversion"/>
  </si>
  <si>
    <t>G2106</t>
    <phoneticPr fontId="13" type="noConversion"/>
  </si>
  <si>
    <t>4F Cage3-R13</t>
    <phoneticPr fontId="13" type="noConversion"/>
  </si>
  <si>
    <t>KEN 6 #07 / 2P 100A</t>
    <phoneticPr fontId="13" type="noConversion"/>
  </si>
  <si>
    <t>KEN 13 #07 / 2P 100A</t>
    <phoneticPr fontId="13" type="noConversion"/>
  </si>
  <si>
    <t>G2105</t>
    <phoneticPr fontId="13" type="noConversion"/>
  </si>
  <si>
    <t>4F Cage3-R14</t>
  </si>
  <si>
    <t>G2104</t>
    <phoneticPr fontId="13" type="noConversion"/>
  </si>
  <si>
    <t>4F Cage3-R15</t>
  </si>
  <si>
    <t>G2103</t>
    <phoneticPr fontId="13" type="noConversion"/>
  </si>
  <si>
    <t>4F Cage3-R16</t>
  </si>
  <si>
    <t>K 3-1</t>
    <phoneticPr fontId="13" type="noConversion"/>
  </si>
  <si>
    <t>4F Cage2-R15</t>
    <phoneticPr fontId="13" type="noConversion"/>
  </si>
  <si>
    <t>KEN 6 #02 / 2P 100A</t>
    <phoneticPr fontId="13" type="noConversion"/>
  </si>
  <si>
    <t>KEN 13 #02 / 2P 100A</t>
    <phoneticPr fontId="13" type="noConversion"/>
  </si>
  <si>
    <t>미디어꾼(구)윈텔)</t>
    <phoneticPr fontId="13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</si>
  <si>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</si>
  <si>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</si>
  <si>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</si>
  <si>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</si>
  <si>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</si>
  <si>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</si>
  <si>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</si>
  <si>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</si>
  <si>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</si>
  <si>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</si>
  <si>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3" type="noConversion"/>
  </si>
  <si>
    <t>G1203</t>
    <phoneticPr fontId="13" type="noConversion"/>
  </si>
  <si>
    <t>4F Cage2-R10</t>
    <phoneticPr fontId="13" type="noConversion"/>
  </si>
  <si>
    <t>KEN 6 #04 / 2P 100A</t>
    <phoneticPr fontId="13" type="noConversion"/>
  </si>
  <si>
    <t>KEN 13 #04 / 2P 100A</t>
    <phoneticPr fontId="13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</si>
  <si>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</si>
  <si>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</si>
  <si>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</si>
  <si>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</si>
  <si>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</si>
  <si>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</si>
  <si>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3" type="noConversion"/>
  </si>
  <si>
    <t>4F Cage2-R08</t>
    <phoneticPr fontId="13" type="noConversion"/>
  </si>
  <si>
    <t>KEN 6 #06 / 2P 100A</t>
    <phoneticPr fontId="13" type="noConversion"/>
  </si>
  <si>
    <t>KEN 13 #06 / 2P 100A</t>
    <phoneticPr fontId="13" type="noConversion"/>
  </si>
  <si>
    <t>4F Cage2-R09</t>
  </si>
  <si>
    <t>G1302</t>
    <phoneticPr fontId="13" type="noConversion"/>
  </si>
  <si>
    <t>4F Cage2-R02</t>
    <phoneticPr fontId="13" type="noConversion"/>
  </si>
  <si>
    <t>K 3-4</t>
    <phoneticPr fontId="13" type="noConversion"/>
  </si>
  <si>
    <t>G1301</t>
    <phoneticPr fontId="13" type="noConversion"/>
  </si>
  <si>
    <t>4F Cage2-R01</t>
    <phoneticPr fontId="13" type="noConversion"/>
  </si>
  <si>
    <t>KEN 6 #08 / 2P 100A</t>
    <phoneticPr fontId="13" type="noConversion"/>
  </si>
  <si>
    <t>KEN 13 #08 / 2P 100A</t>
    <phoneticPr fontId="13" type="noConversion"/>
  </si>
  <si>
    <t>미디어꾼(구)윈텔)</t>
  </si>
  <si>
    <t>G1303</t>
    <phoneticPr fontId="13" type="noConversion"/>
  </si>
  <si>
    <t>4F Cage2-R03</t>
    <phoneticPr fontId="13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</si>
  <si>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</si>
  <si>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</si>
  <si>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</si>
  <si>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</si>
  <si>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</si>
  <si>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</si>
  <si>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</si>
  <si>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</si>
  <si>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</si>
  <si>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</si>
  <si>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</si>
  <si>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</si>
  <si>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3" type="noConversion"/>
  </si>
  <si>
    <t>부하명</t>
  </si>
  <si>
    <t>배선연결</t>
    <phoneticPr fontId="13" type="noConversion"/>
  </si>
  <si>
    <t>ON/OFF</t>
  </si>
  <si>
    <t>R</t>
    <phoneticPr fontId="13" type="noConversion"/>
  </si>
  <si>
    <t>S</t>
    <phoneticPr fontId="13" type="noConversion"/>
  </si>
  <si>
    <t>T</t>
    <phoneticPr fontId="13" type="noConversion"/>
  </si>
  <si>
    <t>N</t>
    <phoneticPr fontId="13" type="noConversion"/>
  </si>
  <si>
    <t>CB 용량</t>
    <phoneticPr fontId="13" type="noConversion"/>
  </si>
  <si>
    <t>NO.</t>
    <phoneticPr fontId="13" type="noConversion"/>
  </si>
  <si>
    <t>DEK LOC #01</t>
  </si>
  <si>
    <t>O</t>
    <phoneticPr fontId="33" type="noConversion"/>
  </si>
  <si>
    <t>ON</t>
  </si>
  <si>
    <t>2P 30A</t>
    <phoneticPr fontId="13" type="noConversion"/>
  </si>
  <si>
    <t>#01</t>
    <phoneticPr fontId="13" type="noConversion"/>
  </si>
  <si>
    <t>#02</t>
  </si>
  <si>
    <t>O</t>
    <phoneticPr fontId="0" type="noConversion"/>
  </si>
  <si>
    <t>SECURITY #02</t>
  </si>
  <si>
    <t>DEK LOC #03</t>
  </si>
  <si>
    <t>#03</t>
    <phoneticPr fontId="13" type="noConversion"/>
  </si>
  <si>
    <t>#04</t>
  </si>
  <si>
    <t>OFF</t>
    <phoneticPr fontId="0" type="noConversion"/>
  </si>
  <si>
    <t>KIOSK #04</t>
  </si>
  <si>
    <t>DEK LOC #05</t>
  </si>
  <si>
    <t>#05</t>
    <phoneticPr fontId="13" type="noConversion"/>
  </si>
  <si>
    <t>#06</t>
  </si>
  <si>
    <t>RACK #06</t>
  </si>
  <si>
    <t>X</t>
    <phoneticPr fontId="19" type="noConversion"/>
  </si>
  <si>
    <t>OFF</t>
    <phoneticPr fontId="33" type="noConversion"/>
  </si>
  <si>
    <t>#07</t>
    <phoneticPr fontId="13" type="noConversion"/>
  </si>
  <si>
    <t>#08</t>
  </si>
  <si>
    <t>통합경보반 #08</t>
  </si>
  <si>
    <t>#09</t>
    <phoneticPr fontId="13" type="noConversion"/>
  </si>
  <si>
    <t>#10</t>
  </si>
  <si>
    <t>2P 30A</t>
  </si>
  <si>
    <t>#11</t>
    <phoneticPr fontId="13" type="noConversion"/>
  </si>
  <si>
    <t>#12</t>
  </si>
  <si>
    <t>#13</t>
    <phoneticPr fontId="13" type="noConversion"/>
  </si>
  <si>
    <t>#14</t>
  </si>
  <si>
    <t>#15</t>
    <phoneticPr fontId="13" type="noConversion"/>
  </si>
  <si>
    <t>#16</t>
  </si>
  <si>
    <t>#17</t>
    <phoneticPr fontId="13" type="noConversion"/>
  </si>
  <si>
    <t>#18</t>
  </si>
  <si>
    <t>SELABLE #18</t>
  </si>
  <si>
    <t>SJT 모니터 #19</t>
  </si>
  <si>
    <t>#19</t>
    <phoneticPr fontId="13" type="noConversion"/>
  </si>
  <si>
    <t>#20</t>
  </si>
  <si>
    <t>SELABLE #20</t>
  </si>
  <si>
    <t>STJ 사무실 # 21</t>
  </si>
  <si>
    <t>#21</t>
    <phoneticPr fontId="13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</si>
  <si>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</si>
  <si>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</si>
  <si>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</si>
  <si>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</si>
  <si>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</si>
  <si>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</si>
  <si>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</si>
  <si>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</si>
  <si>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</si>
  <si>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</si>
  <si>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</si>
  <si>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</si>
  <si>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</si>
  <si>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9" type="noConversion"/>
  </si>
  <si>
    <t>Main CB   4P 400A</t>
    <phoneticPr fontId="13" type="noConversion"/>
  </si>
  <si>
    <t>부하명</t>
    <phoneticPr fontId="13" type="noConversion"/>
  </si>
  <si>
    <t>W-DCS 8000</t>
    <phoneticPr fontId="19" type="noConversion"/>
  </si>
  <si>
    <t>O</t>
    <phoneticPr fontId="19" type="noConversion"/>
  </si>
  <si>
    <t>2P 20A</t>
    <phoneticPr fontId="13" type="noConversion"/>
  </si>
  <si>
    <t>#01</t>
  </si>
  <si>
    <t>전송</t>
    <phoneticPr fontId="19" type="noConversion"/>
  </si>
  <si>
    <t>O</t>
  </si>
  <si>
    <t>TO 8F 보안실 UPS항온
항습기 모니터용PC</t>
    <phoneticPr fontId="19" type="noConversion"/>
  </si>
  <si>
    <t>??</t>
    <phoneticPr fontId="13" type="noConversion"/>
  </si>
  <si>
    <t>#03</t>
  </si>
  <si>
    <t>넷피플</t>
    <phoneticPr fontId="19" type="noConversion"/>
  </si>
  <si>
    <t>E-4-B</t>
    <phoneticPr fontId="19" type="noConversion"/>
  </si>
  <si>
    <t>#05</t>
  </si>
  <si>
    <t>OFF</t>
    <phoneticPr fontId="19" type="noConversion"/>
  </si>
  <si>
    <t>E-3-B</t>
    <phoneticPr fontId="19" type="noConversion"/>
  </si>
  <si>
    <t>517 BAY</t>
    <phoneticPr fontId="19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</si>
  <si>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</si>
  <si>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3" type="noConversion"/>
  </si>
  <si>
    <t>Voice사업팀 MMS용-B</t>
    <phoneticPr fontId="19" type="noConversion"/>
  </si>
  <si>
    <t>#09</t>
  </si>
  <si>
    <t>IDC</t>
    <phoneticPr fontId="19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</si>
  <si>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3" type="noConversion"/>
  </si>
  <si>
    <t>Voice사업팀 D-7 RACK</t>
    <phoneticPr fontId="19" type="noConversion"/>
  </si>
  <si>
    <t>ON</t>
    <phoneticPr fontId="19" type="noConversion"/>
  </si>
  <si>
    <t>#11</t>
  </si>
  <si>
    <t>니즈텔레콤</t>
    <phoneticPr fontId="19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</si>
  <si>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3" type="noConversion"/>
  </si>
  <si>
    <t>ONS1064 SERVER</t>
    <phoneticPr fontId="19" type="noConversion"/>
  </si>
  <si>
    <t>#13</t>
  </si>
  <si>
    <t>엑사넷</t>
    <phoneticPr fontId="19" type="noConversion"/>
  </si>
  <si>
    <t>E-8-B</t>
  </si>
  <si>
    <t>NTT 하-1</t>
    <phoneticPr fontId="19" type="noConversion"/>
  </si>
  <si>
    <t>#15</t>
  </si>
  <si>
    <t>델피콤</t>
    <phoneticPr fontId="13" type="noConversion"/>
  </si>
  <si>
    <t>F-5-B</t>
  </si>
  <si>
    <t>8층 보안실 CCTV 모니터</t>
    <phoneticPr fontId="19" type="noConversion"/>
  </si>
  <si>
    <t>#17</t>
  </si>
  <si>
    <t>공통</t>
    <phoneticPr fontId="19" type="noConversion"/>
  </si>
  <si>
    <t>CARANG ('23.09.19)</t>
  </si>
  <si>
    <t>C604 / F-7-A</t>
  </si>
  <si>
    <t>G-10-A</t>
    <phoneticPr fontId="19" type="noConversion"/>
  </si>
  <si>
    <t>#19</t>
  </si>
  <si>
    <t>신한금융투자</t>
  </si>
  <si>
    <t>인터넷운영팀MAN
 RACK#2 전원A</t>
  </si>
  <si>
    <t>NTT 하-3</t>
    <phoneticPr fontId="19" type="noConversion"/>
  </si>
  <si>
    <t>#21</t>
  </si>
  <si>
    <t>NTT</t>
    <phoneticPr fontId="19" type="noConversion"/>
  </si>
  <si>
    <t>G-4-B</t>
  </si>
  <si>
    <t>C-7-A-Q1</t>
    <phoneticPr fontId="19" type="noConversion"/>
  </si>
  <si>
    <t>#23</t>
  </si>
  <si>
    <t>NTT</t>
    <phoneticPr fontId="13" type="noConversion"/>
  </si>
  <si>
    <t>#24</t>
  </si>
  <si>
    <t>G-6-B</t>
  </si>
  <si>
    <t>인터넷운영팀MAN
 RACK#2 전원B</t>
    <phoneticPr fontId="19" type="noConversion"/>
  </si>
  <si>
    <t>#25</t>
  </si>
  <si>
    <t>교환라우터(총무팀 ??)</t>
    <phoneticPr fontId="13" type="noConversion"/>
  </si>
  <si>
    <t>#26</t>
  </si>
  <si>
    <t>F-3-B</t>
  </si>
  <si>
    <t>NMS B-15</t>
    <phoneticPr fontId="19" type="noConversion"/>
  </si>
  <si>
    <t>#27</t>
  </si>
  <si>
    <t>#28</t>
  </si>
  <si>
    <t>NMS B-16</t>
    <phoneticPr fontId="19" type="noConversion"/>
  </si>
  <si>
    <t>#29</t>
  </si>
  <si>
    <t>#30</t>
  </si>
  <si>
    <t>#31</t>
  </si>
  <si>
    <t>#32</t>
  </si>
  <si>
    <t>전산랙 410BAY(B)</t>
    <phoneticPr fontId="13" type="noConversion"/>
  </si>
  <si>
    <t>G-5-B</t>
    <phoneticPr fontId="19" type="noConversion"/>
  </si>
  <si>
    <t>#33</t>
  </si>
  <si>
    <t>#34</t>
  </si>
  <si>
    <t>D-6-B</t>
  </si>
  <si>
    <t>G-1-B</t>
    <phoneticPr fontId="19" type="noConversion"/>
  </si>
  <si>
    <t>#35</t>
  </si>
  <si>
    <t>르네트</t>
    <phoneticPr fontId="19" type="noConversion"/>
  </si>
  <si>
    <t>#36</t>
  </si>
  <si>
    <t>E-9-B</t>
  </si>
  <si>
    <t>C-7-B-Q1</t>
    <phoneticPr fontId="19" type="noConversion"/>
  </si>
  <si>
    <t>#37</t>
  </si>
  <si>
    <t>#38</t>
  </si>
  <si>
    <t>D-7-B</t>
  </si>
  <si>
    <t>G-2-B</t>
    <phoneticPr fontId="19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</si>
  <si>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</si>
  <si>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</si>
  <si>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3" type="noConversion"/>
  </si>
  <si>
    <t>총합:</t>
    <phoneticPr fontId="19" type="noConversion"/>
  </si>
  <si>
    <t>U3-7B PANEL(From:TRroom-U7-6B)</t>
    <phoneticPr fontId="19" type="noConversion"/>
  </si>
  <si>
    <t>Main CB   4P 300A</t>
    <phoneticPr fontId="13" type="noConversion"/>
  </si>
  <si>
    <t>G-3-B (NTT#8-B)</t>
  </si>
  <si>
    <t>쿼드마이너</t>
  </si>
  <si>
    <t>C503</t>
    <phoneticPr fontId="19" type="noConversion"/>
  </si>
  <si>
    <t>쿼드마이너 예약상면</t>
  </si>
  <si>
    <t>7B-342BAY</t>
  </si>
  <si>
    <t>인터넷 IP 랙</t>
  </si>
  <si>
    <t>U3-7B-D1</t>
    <phoneticPr fontId="19" type="noConversion"/>
  </si>
  <si>
    <t>OFF</t>
  </si>
  <si>
    <t>NTT</t>
  </si>
  <si>
    <t>U3-7B-D5 B</t>
    <phoneticPr fontId="19" type="noConversion"/>
  </si>
  <si>
    <t>241BAY-B</t>
  </si>
  <si>
    <t>전송</t>
    <phoneticPr fontId="13" type="noConversion"/>
  </si>
  <si>
    <t>U3-7B-337</t>
    <phoneticPr fontId="33" type="noConversion"/>
  </si>
  <si>
    <t>242BAY-B</t>
  </si>
  <si>
    <t>7F-C-6-NTT#3-B</t>
    <phoneticPr fontId="13" type="noConversion"/>
  </si>
  <si>
    <t>209Bay - B</t>
    <phoneticPr fontId="13" type="noConversion"/>
  </si>
  <si>
    <t>U3-7B G-3-B</t>
    <phoneticPr fontId="13" type="noConversion"/>
  </si>
  <si>
    <t>210Bay - B</t>
    <phoneticPr fontId="13" type="noConversion"/>
  </si>
  <si>
    <t>DEKR Network Rack</t>
    <phoneticPr fontId="13" type="noConversion"/>
  </si>
  <si>
    <t>218Bay - A전원
('22.01.12 투입)</t>
    <phoneticPr fontId="13" type="noConversion"/>
  </si>
  <si>
    <t>TATA#1/B</t>
  </si>
  <si>
    <t>TATA</t>
    <phoneticPr fontId="13" type="noConversion"/>
  </si>
  <si>
    <t>217Bay - A전원
('22.01.12 투입)</t>
    <phoneticPr fontId="13" type="noConversion"/>
  </si>
  <si>
    <t>208BAY-B</t>
  </si>
  <si>
    <t>318Bay - DEK Network Rack</t>
    <phoneticPr fontId="13" type="noConversion"/>
  </si>
  <si>
    <t>318BAY-B
U3-7B-18</t>
    <phoneticPr fontId="13" type="noConversion"/>
  </si>
  <si>
    <t>207BAY-B</t>
  </si>
  <si>
    <t>317Bay - DEK Network Rack</t>
    <phoneticPr fontId="13" type="noConversion"/>
  </si>
  <si>
    <t>317BAY-B
U3-7B-20</t>
    <phoneticPr fontId="13" type="noConversion"/>
  </si>
  <si>
    <t>206BAY-B</t>
  </si>
  <si>
    <t>316Bay - DEK Network Rack</t>
    <phoneticPr fontId="13" type="noConversion"/>
  </si>
  <si>
    <t>316BAY-B
U3-7B-22</t>
    <phoneticPr fontId="13" type="noConversion"/>
  </si>
  <si>
    <t>205BAY-B</t>
  </si>
  <si>
    <t>315Bay - DEK Network Rack</t>
    <phoneticPr fontId="13" type="noConversion"/>
  </si>
  <si>
    <t>315BAY-B
U3-7B-24</t>
    <phoneticPr fontId="13" type="noConversion"/>
  </si>
  <si>
    <t>204BAY-B</t>
  </si>
  <si>
    <t>314Bay - DEK Network Rack</t>
    <phoneticPr fontId="13" type="noConversion"/>
  </si>
  <si>
    <t>314BAY-B
U3-7B-26</t>
    <phoneticPr fontId="13" type="noConversion"/>
  </si>
  <si>
    <t>208BAY-B(2)</t>
  </si>
  <si>
    <t>313Bay - DEK Network Rack</t>
    <phoneticPr fontId="13" type="noConversion"/>
  </si>
  <si>
    <t>313BAY-B
U3-7B-28</t>
    <phoneticPr fontId="13" type="noConversion"/>
  </si>
  <si>
    <t>C604 / F-7-B</t>
  </si>
  <si>
    <t>드림라인</t>
    <phoneticPr fontId="13" type="noConversion"/>
  </si>
  <si>
    <t>301BAY
U3-7B-30</t>
    <phoneticPr fontId="13" type="noConversion"/>
  </si>
  <si>
    <t>U3-7B-31
B-6-B</t>
  </si>
  <si>
    <t>세종 인터넷(클라우드이음)</t>
  </si>
  <si>
    <t>203Bay - 세종-아톤AWS</t>
    <phoneticPr fontId="13" type="noConversion"/>
  </si>
  <si>
    <t>203Bay-B ('22.07.14 투입)
U3-7B-32</t>
    <phoneticPr fontId="13" type="noConversion"/>
  </si>
  <si>
    <t>B-7-B</t>
  </si>
  <si>
    <t>O</t>
    <phoneticPr fontId="9" type="noConversion"/>
  </si>
  <si>
    <t>C909 (舊 C-02)
 / TATA#02</t>
    <phoneticPr fontId="13" type="noConversion"/>
  </si>
  <si>
    <t>C-02(C909-B)
U3-7B-34</t>
    <phoneticPr fontId="13" type="noConversion"/>
  </si>
  <si>
    <t>B-8-B</t>
  </si>
  <si>
    <t>B424(310BAY-B)</t>
    <phoneticPr fontId="13" type="noConversion"/>
  </si>
  <si>
    <t>Test Bed #2
U3-7B-37</t>
  </si>
  <si>
    <t>B423(311BAY-B)</t>
    <phoneticPr fontId="13" type="noConversion"/>
  </si>
  <si>
    <t>7-1-B2-30-39</t>
  </si>
  <si>
    <t>B422(312BAY-B)</t>
    <phoneticPr fontId="13" type="noConversion"/>
  </si>
  <si>
    <t>7B-30-41(C409)</t>
  </si>
  <si>
    <t>#41</t>
    <phoneticPr fontId="13" type="noConversion"/>
  </si>
  <si>
    <t>#42</t>
    <phoneticPr fontId="13" type="noConversion"/>
  </si>
  <si>
    <t>7-1-B2-30-42</t>
  </si>
  <si>
    <t>#43</t>
    <phoneticPr fontId="13" type="noConversion"/>
  </si>
  <si>
    <t>쿼드마이너</t>
    <phoneticPr fontId="13" type="noConversion"/>
  </si>
  <si>
    <t>#44</t>
    <phoneticPr fontId="13" type="noConversion"/>
  </si>
  <si>
    <t>2023/04/10 랙 반입 예정</t>
    <phoneticPr fontId="13" type="noConversion"/>
  </si>
  <si>
    <t>#45</t>
    <phoneticPr fontId="13" type="noConversion"/>
  </si>
  <si>
    <t>#46</t>
    <phoneticPr fontId="13" type="noConversion"/>
  </si>
  <si>
    <t>쿼드마이너 예약상면</t>
    <phoneticPr fontId="13" type="noConversion"/>
  </si>
  <si>
    <t>#47</t>
    <phoneticPr fontId="13" type="noConversion"/>
  </si>
  <si>
    <t>#48</t>
    <phoneticPr fontId="13" type="noConversion"/>
  </si>
  <si>
    <t>#49</t>
    <phoneticPr fontId="13" type="noConversion"/>
  </si>
  <si>
    <t>20F BMS</t>
  </si>
  <si>
    <t>#50</t>
    <phoneticPr fontId="13" type="noConversion"/>
  </si>
  <si>
    <t>7층 출입카드</t>
    <phoneticPr fontId="13" type="noConversion"/>
  </si>
  <si>
    <t>#51</t>
    <phoneticPr fontId="13" type="noConversion"/>
  </si>
  <si>
    <t>7F BMS</t>
  </si>
  <si>
    <t>#52</t>
    <phoneticPr fontId="13" type="noConversion"/>
  </si>
  <si>
    <t>20F MAIN (FMS)</t>
    <phoneticPr fontId="13" type="noConversion"/>
  </si>
  <si>
    <t>7B-D5-#1</t>
  </si>
  <si>
    <t>#53</t>
    <phoneticPr fontId="13" type="noConversion"/>
  </si>
  <si>
    <t>#54</t>
    <phoneticPr fontId="13" type="noConversion"/>
  </si>
  <si>
    <t>7F MAIN (FMS)</t>
    <phoneticPr fontId="13" type="noConversion"/>
  </si>
  <si>
    <t>U3-7A PANEL(From:TRroom-U7-5A)</t>
    <phoneticPr fontId="19" type="noConversion"/>
  </si>
  <si>
    <t>G-3-A (NTT#8-A)</t>
  </si>
  <si>
    <t>G-8-A (C503)</t>
    <phoneticPr fontId="13" type="noConversion"/>
  </si>
  <si>
    <t>F-5-A</t>
  </si>
  <si>
    <t>텔피콤</t>
    <phoneticPr fontId="19" type="noConversion"/>
  </si>
  <si>
    <t>D-1-A</t>
  </si>
  <si>
    <t>7A-342BAY</t>
  </si>
  <si>
    <t>인터넷 IP 랙</t>
    <phoneticPr fontId="13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</si>
  <si>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</si>
  <si>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</si>
  <si>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3" type="noConversion"/>
  </si>
  <si>
    <t>242BAY-A</t>
  </si>
  <si>
    <t>C-6-A</t>
  </si>
  <si>
    <t>209Bay - A</t>
    <phoneticPr fontId="13" type="noConversion"/>
  </si>
  <si>
    <t>U3-7A G-3-A</t>
  </si>
  <si>
    <t>210Bay - A</t>
    <phoneticPr fontId="13" type="noConversion"/>
  </si>
  <si>
    <t>TATA#1/A</t>
  </si>
  <si>
    <t>208BYA-A</t>
  </si>
  <si>
    <t>318BAY-A
U3-7A-18</t>
    <phoneticPr fontId="13" type="noConversion"/>
  </si>
  <si>
    <t>207BYA-A</t>
  </si>
  <si>
    <t>317BAY-A
U3-7A-20</t>
    <phoneticPr fontId="13" type="noConversion"/>
  </si>
  <si>
    <t>206BYA-A</t>
  </si>
  <si>
    <t>316BAY-A
U3-7A-22</t>
    <phoneticPr fontId="13" type="noConversion"/>
  </si>
  <si>
    <t>205BYA-A</t>
  </si>
  <si>
    <t>315BAY-A
U3-7A-24</t>
    <phoneticPr fontId="13" type="noConversion"/>
  </si>
  <si>
    <t>204BYA-A</t>
  </si>
  <si>
    <t>314BAY-A
U3-7A-26</t>
    <phoneticPr fontId="13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</si>
  <si>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3" type="noConversion"/>
  </si>
  <si>
    <t>313BAY-A
U3-7A-28</t>
    <phoneticPr fontId="13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</si>
  <si>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3" type="noConversion"/>
  </si>
  <si>
    <t>김종원M 요구회로</t>
    <phoneticPr fontId="13" type="noConversion"/>
  </si>
  <si>
    <t>301BAY
U3-7A-30</t>
    <phoneticPr fontId="13" type="noConversion"/>
  </si>
  <si>
    <t>U3-7A-31
B-6-A</t>
  </si>
  <si>
    <t>203Bay-A ('22.07.14 투입)
U3-7A-32</t>
    <phoneticPr fontId="13" type="noConversion"/>
  </si>
  <si>
    <t>B-7-A</t>
  </si>
  <si>
    <t>C-02(C909-A)
U3-7A-34</t>
    <phoneticPr fontId="13" type="noConversion"/>
  </si>
  <si>
    <t>B-8-A</t>
  </si>
  <si>
    <t>B424(310BAY-A)</t>
    <phoneticPr fontId="13" type="noConversion"/>
  </si>
  <si>
    <t>Test Bed #1
U3-7A-37</t>
  </si>
  <si>
    <t>B423(311BAY-A)</t>
    <phoneticPr fontId="13" type="noConversion"/>
  </si>
  <si>
    <t>7-1-A2-30-39</t>
  </si>
  <si>
    <t>B422(312BAY-A)</t>
    <phoneticPr fontId="13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</si>
  <si>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</si>
  <si>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</si>
  <si>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</si>
  <si>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</si>
  <si>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</si>
  <si>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</si>
  <si>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</si>
  <si>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</si>
  <si>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</si>
  <si>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</si>
  <si>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</si>
  <si>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</si>
  <si>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</si>
  <si>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</si>
  <si>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3" type="noConversion"/>
  </si>
  <si>
    <t>#53</t>
  </si>
  <si>
    <t>#54</t>
  </si>
  <si>
    <t>7A-D5-#1</t>
    <phoneticPr fontId="19" type="noConversion"/>
  </si>
  <si>
    <t>UPS 출력 분전반 B1(From:7F 창고)</t>
    <phoneticPr fontId="19" type="noConversion"/>
  </si>
  <si>
    <t>NO</t>
    <phoneticPr fontId="13" type="noConversion"/>
  </si>
  <si>
    <t>NO</t>
  </si>
  <si>
    <t>강남방향 창가열 콘센트</t>
    <phoneticPr fontId="19" type="noConversion"/>
  </si>
  <si>
    <t>#02</t>
    <phoneticPr fontId="13" type="noConversion"/>
  </si>
  <si>
    <t>정면창가 콘센트</t>
    <phoneticPr fontId="19" type="noConversion"/>
  </si>
  <si>
    <t>#04</t>
    <phoneticPr fontId="13" type="noConversion"/>
  </si>
  <si>
    <t>NTT 상-1</t>
    <phoneticPr fontId="19" type="noConversion"/>
  </si>
  <si>
    <t>301 BAY</t>
    <phoneticPr fontId="19" type="noConversion"/>
  </si>
  <si>
    <t>#06</t>
    <phoneticPr fontId="13" type="noConversion"/>
  </si>
  <si>
    <t>GAINS</t>
    <phoneticPr fontId="19" type="noConversion"/>
  </si>
  <si>
    <t>C2C DWDM 
EMS RACK</t>
    <phoneticPr fontId="19" type="noConversion"/>
  </si>
  <si>
    <t>#08</t>
    <phoneticPr fontId="13" type="noConversion"/>
  </si>
  <si>
    <t>C-8-A</t>
    <phoneticPr fontId="19" type="noConversion"/>
  </si>
  <si>
    <t>신한금융투자</t>
    <phoneticPr fontId="13" type="noConversion"/>
  </si>
  <si>
    <t>#10</t>
    <phoneticPr fontId="13" type="noConversion"/>
  </si>
  <si>
    <t>G-10-B</t>
    <phoneticPr fontId="19" type="noConversion"/>
  </si>
  <si>
    <t>#12</t>
    <phoneticPr fontId="13" type="noConversion"/>
  </si>
  <si>
    <t>C-8-B</t>
    <phoneticPr fontId="19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</si>
  <si>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3" type="noConversion"/>
  </si>
  <si>
    <t>유엔시스</t>
    <phoneticPr fontId="13" type="noConversion"/>
  </si>
  <si>
    <t>#14</t>
    <phoneticPr fontId="13" type="noConversion"/>
  </si>
  <si>
    <t>D-3-A</t>
    <phoneticPr fontId="19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</si>
  <si>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3" type="noConversion"/>
  </si>
  <si>
    <t>#16</t>
    <phoneticPr fontId="13" type="noConversion"/>
  </si>
  <si>
    <t>G-4-A (NTT#7)</t>
    <phoneticPr fontId="19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</si>
  <si>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3" type="noConversion"/>
  </si>
  <si>
    <t>#18</t>
    <phoneticPr fontId="13" type="noConversion"/>
  </si>
  <si>
    <t>G-6-A</t>
    <phoneticPr fontId="19" type="noConversion"/>
  </si>
  <si>
    <t>E-2-A</t>
    <phoneticPr fontId="19" type="noConversion"/>
  </si>
  <si>
    <t>#20</t>
    <phoneticPr fontId="13" type="noConversion"/>
  </si>
  <si>
    <t>F-3-A</t>
    <phoneticPr fontId="19" type="noConversion"/>
  </si>
  <si>
    <t>E-5-A</t>
    <phoneticPr fontId="19" type="noConversion"/>
  </si>
  <si>
    <t>니즈텔레콤</t>
  </si>
  <si>
    <t>#22</t>
    <phoneticPr fontId="13" type="noConversion"/>
  </si>
  <si>
    <t>운용실 바닥콘센트</t>
    <phoneticPr fontId="19" type="noConversion"/>
  </si>
  <si>
    <t>E-6-A</t>
    <phoneticPr fontId="19" type="noConversion"/>
  </si>
  <si>
    <t>#23</t>
    <phoneticPr fontId="13" type="noConversion"/>
  </si>
  <si>
    <t>#24</t>
    <phoneticPr fontId="13" type="noConversion"/>
  </si>
  <si>
    <t>운용실 콘센트 창가1열</t>
    <phoneticPr fontId="19" type="noConversion"/>
  </si>
  <si>
    <t>E-7-A</t>
    <phoneticPr fontId="19" type="noConversion"/>
  </si>
  <si>
    <t>#25</t>
    <phoneticPr fontId="13" type="noConversion"/>
  </si>
  <si>
    <t>#26</t>
    <phoneticPr fontId="13" type="noConversion"/>
  </si>
  <si>
    <t>전산랙 410 BAY-A</t>
    <phoneticPr fontId="19" type="noConversion"/>
  </si>
  <si>
    <t>E-8-A</t>
    <phoneticPr fontId="19" type="noConversion"/>
  </si>
  <si>
    <t>#27</t>
    <phoneticPr fontId="13" type="noConversion"/>
  </si>
  <si>
    <t>엑사넷</t>
    <phoneticPr fontId="13" type="noConversion"/>
  </si>
  <si>
    <t>#28</t>
    <phoneticPr fontId="13" type="noConversion"/>
  </si>
  <si>
    <t>D-6-A</t>
    <phoneticPr fontId="19" type="noConversion"/>
  </si>
  <si>
    <t>G-5-A</t>
    <phoneticPr fontId="19" type="noConversion"/>
  </si>
  <si>
    <t>#29</t>
    <phoneticPr fontId="13" type="noConversion"/>
  </si>
  <si>
    <t>르네트</t>
    <phoneticPr fontId="13" type="noConversion"/>
  </si>
  <si>
    <t>#30</t>
    <phoneticPr fontId="13" type="noConversion"/>
  </si>
  <si>
    <t>E-9-A</t>
    <phoneticPr fontId="19" type="noConversion"/>
  </si>
  <si>
    <t>Voice사업팀 
NMS용-A</t>
    <phoneticPr fontId="19" type="noConversion"/>
  </si>
  <si>
    <t>#31</t>
    <phoneticPr fontId="13" type="noConversion"/>
  </si>
  <si>
    <t>#32</t>
    <phoneticPr fontId="13" type="noConversion"/>
  </si>
  <si>
    <t>D-7-A</t>
    <phoneticPr fontId="19" type="noConversion"/>
  </si>
  <si>
    <t>NTT 상-3</t>
    <phoneticPr fontId="19" type="noConversion"/>
  </si>
  <si>
    <t>#33</t>
    <phoneticPr fontId="13" type="noConversion"/>
  </si>
  <si>
    <t>#34</t>
    <phoneticPr fontId="13" type="noConversion"/>
  </si>
  <si>
    <t>F-8-A</t>
    <phoneticPr fontId="19" type="noConversion"/>
  </si>
  <si>
    <t>7F NMS A-18</t>
    <phoneticPr fontId="19" type="noConversion"/>
  </si>
  <si>
    <t>#35</t>
    <phoneticPr fontId="13" type="noConversion"/>
  </si>
  <si>
    <t>델피콤</t>
    <phoneticPr fontId="19" type="noConversion"/>
  </si>
  <si>
    <t>#36</t>
    <phoneticPr fontId="13" type="noConversion"/>
  </si>
  <si>
    <t>F-6-A</t>
    <phoneticPr fontId="19" type="noConversion"/>
  </si>
  <si>
    <t>7F NMS A-19</t>
    <phoneticPr fontId="19" type="noConversion"/>
  </si>
  <si>
    <t>#37</t>
    <phoneticPr fontId="13" type="noConversion"/>
  </si>
  <si>
    <t>#38</t>
    <phoneticPr fontId="13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</si>
  <si>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3" type="noConversion"/>
  </si>
  <si>
    <t>7F NMS A-20</t>
    <phoneticPr fontId="19" type="noConversion"/>
  </si>
  <si>
    <t>#39</t>
    <phoneticPr fontId="13" type="noConversion"/>
  </si>
  <si>
    <t>#40</t>
    <phoneticPr fontId="13" type="noConversion"/>
  </si>
  <si>
    <t>F-9-A</t>
    <phoneticPr fontId="19" type="noConversion"/>
  </si>
  <si>
    <t>Main CB   4P 225A</t>
    <phoneticPr fontId="13" type="noConversion"/>
  </si>
  <si>
    <t>A-1-A  [A2-7-1]</t>
    <phoneticPr fontId="19" type="noConversion"/>
  </si>
  <si>
    <t>2P 50A</t>
    <phoneticPr fontId="13" type="noConversion"/>
  </si>
  <si>
    <t>CJ HELLOVISION</t>
  </si>
  <si>
    <t>D-4-A  [D3-A]</t>
    <phoneticPr fontId="19" type="noConversion"/>
  </si>
  <si>
    <t>A-2-A  [A2-7-2]</t>
    <phoneticPr fontId="19" type="noConversion"/>
  </si>
  <si>
    <t>X</t>
    <phoneticPr fontId="0" type="noConversion"/>
  </si>
  <si>
    <t>G-7-A</t>
    <phoneticPr fontId="13" type="noConversion"/>
  </si>
  <si>
    <t>A-3-A  [A2-7-3]</t>
    <phoneticPr fontId="19" type="noConversion"/>
  </si>
  <si>
    <t>A-7-A  [A2-7-7]</t>
    <phoneticPr fontId="19" type="noConversion"/>
  </si>
  <si>
    <t>A-4-A  [A2-7-4]</t>
    <phoneticPr fontId="19" type="noConversion"/>
  </si>
  <si>
    <t>A-8-A  [A2-7-8]</t>
    <phoneticPr fontId="19" type="noConversion"/>
  </si>
  <si>
    <t>A-5-A  [A2-7-5]</t>
    <phoneticPr fontId="19" type="noConversion"/>
  </si>
  <si>
    <t>A-6-A  [A2-7-6]</t>
    <phoneticPr fontId="19" type="noConversion"/>
  </si>
  <si>
    <t>[A]</t>
    <phoneticPr fontId="19" type="noConversion"/>
  </si>
  <si>
    <t>A-1-B  [B2-7-1]</t>
    <phoneticPr fontId="19" type="noConversion"/>
  </si>
  <si>
    <t>D-4-B  [D3-B]</t>
    <phoneticPr fontId="19" type="noConversion"/>
  </si>
  <si>
    <t>A-2-B  [B2-7-2]</t>
    <phoneticPr fontId="19" type="noConversion"/>
  </si>
  <si>
    <t>G-7-B</t>
    <phoneticPr fontId="13" type="noConversion"/>
  </si>
  <si>
    <t>A-3-B  [B2-7-3]</t>
    <phoneticPr fontId="19" type="noConversion"/>
  </si>
  <si>
    <t>A-7-B  [B2-7-7]</t>
    <phoneticPr fontId="19" type="noConversion"/>
  </si>
  <si>
    <t>A-4-B  [B2-7-4]</t>
    <phoneticPr fontId="19" type="noConversion"/>
  </si>
  <si>
    <t>A-8-B  [B2-7-8]</t>
    <phoneticPr fontId="19" type="noConversion"/>
  </si>
  <si>
    <t>A-5-B  [B2-7-5]</t>
    <phoneticPr fontId="19" type="noConversion"/>
  </si>
  <si>
    <t>A-6-B  [B2-7-6]</t>
    <phoneticPr fontId="19" type="noConversion"/>
  </si>
  <si>
    <t>UPS 출력 분전반 A(From:7F TR.Room)</t>
    <phoneticPr fontId="19" type="noConversion"/>
  </si>
  <si>
    <t>4P 225A</t>
    <phoneticPr fontId="13" type="noConversion"/>
  </si>
  <si>
    <t>.</t>
    <phoneticPr fontId="19" type="noConversion"/>
  </si>
  <si>
    <t>정류기시스템#1</t>
    <phoneticPr fontId="13" type="noConversion"/>
  </si>
  <si>
    <t>3P 100A</t>
    <phoneticPr fontId="13" type="noConversion"/>
  </si>
  <si>
    <t>4P 100A</t>
    <phoneticPr fontId="13" type="noConversion"/>
  </si>
  <si>
    <t>UPS 출력 분전반 B(From:7F TR.Room)</t>
    <phoneticPr fontId="19" type="noConversion"/>
  </si>
  <si>
    <t>정류기시스템#2</t>
    <phoneticPr fontId="13" type="noConversion"/>
  </si>
  <si>
    <t>3P 150A</t>
    <phoneticPr fontId="13" type="noConversion"/>
  </si>
  <si>
    <t>4P 50A</t>
    <phoneticPr fontId="13" type="noConversion"/>
  </si>
  <si>
    <t>사용량</t>
    <phoneticPr fontId="19" type="noConversion"/>
  </si>
  <si>
    <t>층 배분</t>
    <phoneticPr fontId="19" type="noConversion"/>
  </si>
  <si>
    <t>DEK</t>
    <phoneticPr fontId="13" type="noConversion"/>
  </si>
  <si>
    <t>IDC상면</t>
    <phoneticPr fontId="19" type="noConversion"/>
  </si>
  <si>
    <t>7-1-A1</t>
    <phoneticPr fontId="13" type="noConversion"/>
  </si>
  <si>
    <t>세종</t>
    <phoneticPr fontId="13" type="noConversion"/>
  </si>
  <si>
    <t>인터넷</t>
    <phoneticPr fontId="13" type="noConversion"/>
  </si>
  <si>
    <t>7-1-B1</t>
    <phoneticPr fontId="13" type="noConversion"/>
  </si>
  <si>
    <t>7-1-A3</t>
    <phoneticPr fontId="13" type="noConversion"/>
  </si>
  <si>
    <t>정류기</t>
    <phoneticPr fontId="19" type="noConversion"/>
  </si>
  <si>
    <t>7-1-B3</t>
    <phoneticPr fontId="13" type="noConversion"/>
  </si>
  <si>
    <t>전송/인터넷</t>
    <phoneticPr fontId="13" type="noConversion"/>
  </si>
  <si>
    <t>NOC</t>
    <phoneticPr fontId="13" type="noConversion"/>
  </si>
  <si>
    <t>7-1-A2</t>
    <phoneticPr fontId="13" type="noConversion"/>
  </si>
  <si>
    <t>8F Office</t>
    <phoneticPr fontId="13" type="noConversion"/>
  </si>
  <si>
    <t>7-1-B2</t>
    <phoneticPr fontId="13" type="noConversion"/>
  </si>
  <si>
    <t>총 합</t>
    <phoneticPr fontId="19" type="noConversion"/>
  </si>
  <si>
    <t>세종 정류기</t>
    <phoneticPr fontId="13" type="noConversion"/>
  </si>
  <si>
    <t>8F Office</t>
  </si>
  <si>
    <t>총계</t>
    <phoneticPr fontId="13" type="noConversion"/>
  </si>
  <si>
    <t>Main CB   4P 350A</t>
    <phoneticPr fontId="13" type="noConversion"/>
  </si>
  <si>
    <t>4P 150A</t>
    <phoneticPr fontId="13" type="noConversion"/>
  </si>
  <si>
    <t>사</t>
    <phoneticPr fontId="13" type="noConversion"/>
  </si>
  <si>
    <t>용</t>
    <phoneticPr fontId="13" type="noConversion"/>
  </si>
  <si>
    <t>금</t>
    <phoneticPr fontId="13" type="noConversion"/>
  </si>
  <si>
    <t>지</t>
    <phoneticPr fontId="13" type="noConversion"/>
  </si>
  <si>
    <t>4P 50A</t>
    <phoneticPr fontId="19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</si>
  <si>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</si>
  <si>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</si>
  <si>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</si>
  <si>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</si>
  <si>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</si>
  <si>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</si>
  <si>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3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</si>
  <si>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3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</si>
  <si>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</si>
  <si>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3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</si>
  <si>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3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</si>
  <si>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</si>
  <si>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</si>
  <si>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</si>
  <si>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</si>
  <si>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</si>
  <si>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</si>
  <si>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</si>
  <si>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</si>
  <si>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</si>
  <si>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</si>
  <si>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</si>
  <si>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</si>
  <si>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</si>
  <si>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</si>
  <si>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</si>
  <si>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</si>
  <si>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</si>
  <si>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</si>
  <si>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</si>
  <si>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</si>
  <si>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</si>
  <si>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</si>
  <si>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</si>
  <si>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3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</si>
  <si>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</si>
  <si>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</si>
  <si>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</si>
  <si>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</si>
  <si>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</si>
  <si>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</si>
  <si>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</si>
  <si>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</si>
  <si>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3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</si>
  <si>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3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</si>
  <si>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</si>
  <si>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</si>
  <si>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</si>
  <si>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</si>
  <si>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</si>
  <si>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</si>
  <si>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</si>
  <si>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</si>
  <si>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</si>
  <si>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</si>
  <si>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</si>
  <si>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</si>
  <si>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</si>
  <si>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</si>
  <si>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</si>
  <si>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</si>
  <si>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</si>
  <si>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</si>
  <si>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</si>
  <si>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</si>
  <si>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</si>
  <si>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3" type="noConversion"/>
  </si>
  <si>
    <t>Main CB   4P 200A</t>
    <phoneticPr fontId="13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</si>
  <si>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</si>
  <si>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</si>
  <si>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</si>
  <si>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</si>
  <si>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</si>
  <si>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</si>
  <si>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</si>
  <si>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</si>
  <si>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</si>
  <si>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</si>
  <si>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</si>
  <si>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</si>
  <si>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</si>
  <si>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</si>
  <si>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</si>
  <si>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</si>
  <si>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</si>
  <si>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</si>
  <si>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</si>
  <si>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</si>
  <si>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</si>
  <si>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</si>
  <si>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</si>
  <si>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</si>
  <si>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</si>
  <si>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</si>
  <si>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</si>
  <si>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</si>
  <si>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</si>
  <si>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</si>
  <si>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</si>
  <si>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</si>
  <si>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</si>
  <si>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</si>
  <si>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</si>
  <si>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</si>
  <si>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</si>
  <si>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</si>
  <si>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</si>
  <si>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</si>
  <si>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</si>
  <si>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</si>
  <si>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</si>
  <si>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</si>
  <si>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</si>
  <si>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</si>
  <si>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</si>
  <si>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</si>
  <si>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</si>
  <si>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</si>
  <si>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3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</si>
  <si>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</si>
  <si>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</si>
  <si>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</si>
  <si>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</si>
  <si>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</si>
  <si>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</si>
  <si>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</si>
  <si>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</si>
  <si>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</si>
  <si>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</si>
  <si>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</si>
  <si>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</si>
  <si>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</si>
  <si>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</si>
  <si>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</si>
  <si>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</si>
  <si>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</si>
  <si>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</si>
  <si>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</si>
  <si>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</si>
  <si>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</si>
  <si>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</si>
  <si>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</si>
  <si>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</si>
  <si>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</si>
  <si>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</si>
  <si>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</si>
  <si>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</si>
  <si>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</si>
  <si>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</si>
  <si>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</si>
  <si>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</si>
  <si>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</si>
  <si>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</si>
  <si>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</si>
  <si>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</si>
  <si>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</si>
  <si>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</si>
  <si>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</si>
  <si>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</si>
  <si>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</si>
  <si>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</si>
  <si>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</si>
  <si>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</si>
  <si>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</si>
  <si>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</si>
  <si>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</si>
  <si>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</si>
  <si>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3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</si>
  <si>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</si>
  <si>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</si>
  <si>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</si>
  <si>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</si>
  <si>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</si>
  <si>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</si>
  <si>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</si>
  <si>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</si>
  <si>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</si>
  <si>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</si>
  <si>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</si>
  <si>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</si>
  <si>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</si>
  <si>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</si>
  <si>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</si>
  <si>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</si>
  <si>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</si>
  <si>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</si>
  <si>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</si>
  <si>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3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</si>
  <si>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</si>
  <si>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</si>
  <si>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</si>
  <si>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</si>
  <si>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</si>
  <si>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</si>
  <si>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</si>
  <si>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</si>
  <si>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</si>
  <si>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</si>
  <si>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</si>
  <si>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</si>
  <si>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</si>
  <si>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</si>
  <si>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</si>
  <si>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</si>
  <si>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</si>
  <si>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</si>
  <si>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</si>
  <si>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</si>
  <si>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</si>
  <si>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</si>
  <si>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</si>
  <si>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</si>
  <si>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3" type="noConversion"/>
  </si>
  <si>
    <t>Rack S-13</t>
    <phoneticPr fontId="13" type="noConversion"/>
  </si>
  <si>
    <t>PDU : SEL1 - 6-1 - B6</t>
    <phoneticPr fontId="13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</si>
  <si>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</si>
  <si>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</si>
  <si>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</si>
  <si>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</si>
  <si>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</si>
  <si>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</si>
  <si>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</si>
  <si>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</si>
  <si>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</si>
  <si>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</si>
  <si>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</si>
  <si>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</si>
  <si>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</si>
  <si>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</si>
  <si>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</si>
  <si>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</si>
  <si>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</si>
  <si>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</si>
  <si>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</si>
  <si>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3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</si>
  <si>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</si>
  <si>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</si>
  <si>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</si>
  <si>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</si>
  <si>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</si>
  <si>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</si>
  <si>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</si>
  <si>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</si>
  <si>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</si>
  <si>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</si>
  <si>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</si>
  <si>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</si>
  <si>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</si>
  <si>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</si>
  <si>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</si>
  <si>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</si>
  <si>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</si>
  <si>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</si>
  <si>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</si>
  <si>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</si>
  <si>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</si>
  <si>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</si>
  <si>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</si>
  <si>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</si>
  <si>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</si>
  <si>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</si>
  <si>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3" type="noConversion"/>
  </si>
  <si>
    <t>A1-1-1</t>
  </si>
  <si>
    <t>G1101(A)</t>
    <phoneticPr fontId="13" type="noConversion"/>
  </si>
  <si>
    <t>A1-1-2</t>
  </si>
  <si>
    <t>G1103(A)</t>
    <phoneticPr fontId="13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</si>
  <si>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</si>
  <si>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</si>
  <si>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</si>
  <si>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</si>
  <si>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</si>
  <si>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</si>
  <si>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</si>
  <si>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</si>
  <si>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</si>
  <si>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</si>
  <si>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</si>
  <si>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</si>
  <si>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</si>
  <si>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</si>
  <si>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</si>
  <si>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</si>
  <si>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</si>
  <si>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</si>
  <si>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</si>
  <si>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</si>
  <si>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</si>
  <si>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</si>
  <si>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</si>
  <si>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</si>
  <si>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</si>
  <si>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</si>
  <si>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</si>
  <si>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</si>
  <si>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</si>
  <si>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</si>
  <si>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</si>
  <si>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3" type="noConversion"/>
  </si>
  <si>
    <t>A1-13-6 (AA-16)</t>
  </si>
  <si>
    <t>G1102 하부(미사용)</t>
    <phoneticPr fontId="13" type="noConversion"/>
  </si>
  <si>
    <t>A1-13-7 (AA-17)</t>
  </si>
  <si>
    <t>A1-35-3(2)(위치 불명)</t>
  </si>
  <si>
    <t>B209 / (AA-18)</t>
  </si>
  <si>
    <t>A1-13-9 (B410)</t>
    <phoneticPr fontId="13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</si>
  <si>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</si>
  <si>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</si>
  <si>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</si>
  <si>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</si>
  <si>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</si>
  <si>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</si>
  <si>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3" type="noConversion"/>
  </si>
  <si>
    <t>B1-1-1</t>
  </si>
  <si>
    <t>G1101 (B)</t>
    <phoneticPr fontId="13" type="noConversion"/>
  </si>
  <si>
    <t>B1-1-2</t>
  </si>
  <si>
    <t>G1103 (B)</t>
    <phoneticPr fontId="13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</si>
  <si>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</si>
  <si>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</si>
  <si>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</si>
  <si>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</si>
  <si>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</si>
  <si>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</si>
  <si>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</si>
  <si>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</si>
  <si>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</si>
  <si>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</si>
  <si>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</si>
  <si>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</si>
  <si>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</si>
  <si>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7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</si>
  <si>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</si>
  <si>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</si>
  <si>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</si>
  <si>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</si>
  <si>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</si>
  <si>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</si>
  <si>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</si>
  <si>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</si>
  <si>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</si>
  <si>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</si>
  <si>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</si>
  <si>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</si>
  <si>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</si>
  <si>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</si>
  <si>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</si>
  <si>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</si>
  <si>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</si>
  <si>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</si>
  <si>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3" type="noConversion"/>
  </si>
  <si>
    <t>B1-13-6 (AA-16)</t>
  </si>
  <si>
    <t>G1102 하부(도어락&amp;CCTV)</t>
    <phoneticPr fontId="13" type="noConversion"/>
  </si>
  <si>
    <t>B1-13-7 (AA-17)</t>
  </si>
  <si>
    <t>B1-35-3(2)(위치 불명)</t>
  </si>
  <si>
    <t>B1-13-9 (B410)</t>
    <phoneticPr fontId="13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</si>
  <si>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</si>
  <si>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</si>
  <si>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</si>
  <si>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</si>
  <si>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</si>
  <si>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3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</si>
  <si>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</si>
  <si>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</si>
  <si>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</si>
  <si>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</si>
  <si>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</si>
  <si>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</si>
  <si>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</si>
  <si>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</si>
  <si>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</si>
  <si>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</si>
  <si>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</si>
  <si>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</si>
  <si>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</si>
  <si>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</si>
  <si>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</si>
  <si>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</si>
  <si>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</si>
  <si>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</si>
  <si>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</si>
  <si>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</si>
  <si>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</si>
  <si>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</si>
  <si>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</si>
  <si>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</si>
  <si>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</si>
  <si>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</si>
  <si>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</si>
  <si>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</si>
  <si>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</si>
  <si>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</si>
  <si>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</si>
  <si>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</si>
  <si>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</si>
  <si>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</si>
  <si>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</si>
  <si>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</si>
  <si>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</si>
  <si>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</si>
  <si>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</si>
  <si>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</si>
  <si>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</si>
  <si>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</si>
  <si>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3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</si>
  <si>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</si>
  <si>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</si>
  <si>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</si>
  <si>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</si>
  <si>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</si>
  <si>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</si>
  <si>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</si>
  <si>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</si>
  <si>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</si>
  <si>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</si>
  <si>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</si>
  <si>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</si>
  <si>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</si>
  <si>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</si>
  <si>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</si>
  <si>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</si>
  <si>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</si>
  <si>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</si>
  <si>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</si>
  <si>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</si>
  <si>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</si>
  <si>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</si>
  <si>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</si>
  <si>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</si>
  <si>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</si>
  <si>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</si>
  <si>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</si>
  <si>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</si>
  <si>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</si>
  <si>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</si>
  <si>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</si>
  <si>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</si>
  <si>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</si>
  <si>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</si>
  <si>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</si>
  <si>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</si>
  <si>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</si>
  <si>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</si>
  <si>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</si>
  <si>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</si>
  <si>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3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</si>
  <si>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</si>
  <si>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</si>
  <si>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</si>
  <si>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</si>
  <si>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</si>
  <si>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</si>
  <si>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</si>
  <si>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</si>
  <si>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</si>
  <si>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</si>
  <si>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</si>
  <si>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</si>
  <si>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</si>
  <si>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</si>
  <si>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</si>
  <si>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</si>
  <si>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3" type="noConversion"/>
  </si>
  <si>
    <t>A5-15-9</t>
  </si>
  <si>
    <t>A5-9-8 (X-11)</t>
  </si>
  <si>
    <t>A5-17-1 (Q-11)</t>
  </si>
  <si>
    <t>A5-10-1</t>
  </si>
  <si>
    <t>A5-17-2 (Q-12)</t>
  </si>
  <si>
    <t>A807(A5-10-2)</t>
    <phoneticPr fontId="13" type="noConversion"/>
  </si>
  <si>
    <t>A5-17-3 (Q-13)</t>
  </si>
  <si>
    <t>A5-10-3 (A806 - 1)</t>
    <phoneticPr fontId="13" type="noConversion"/>
  </si>
  <si>
    <t>A5-17-4 (Q-14)</t>
  </si>
  <si>
    <t>A5-10-4 (A806 - 2)</t>
    <phoneticPr fontId="13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</si>
  <si>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</si>
  <si>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</si>
  <si>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</si>
  <si>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</si>
  <si>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</si>
  <si>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</si>
  <si>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</si>
  <si>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</si>
  <si>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</si>
  <si>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</si>
  <si>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</si>
  <si>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</si>
  <si>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</si>
  <si>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</si>
  <si>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</si>
  <si>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</si>
  <si>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</si>
  <si>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</si>
  <si>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</si>
  <si>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</si>
  <si>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</si>
  <si>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</si>
  <si>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</si>
  <si>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</si>
  <si>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</si>
  <si>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</si>
  <si>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</si>
  <si>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3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</si>
  <si>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</si>
  <si>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</si>
  <si>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</si>
  <si>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</si>
  <si>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</si>
  <si>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</si>
  <si>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</si>
  <si>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</si>
  <si>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</si>
  <si>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</si>
  <si>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</si>
  <si>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</si>
  <si>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</si>
  <si>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</si>
  <si>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</si>
  <si>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</si>
  <si>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</si>
  <si>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</si>
  <si>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</si>
  <si>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</si>
  <si>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</si>
  <si>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3" type="noConversion"/>
  </si>
  <si>
    <t>B5-17-3 (Q-13)</t>
  </si>
  <si>
    <t>B5-10-3 (A806 - 1)</t>
    <phoneticPr fontId="13" type="noConversion"/>
  </si>
  <si>
    <t>B5-17-4 (Q-14)</t>
  </si>
  <si>
    <t>B5-10-4 (A806 - 2)</t>
    <phoneticPr fontId="13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</si>
  <si>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</si>
  <si>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</si>
  <si>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</si>
  <si>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</si>
  <si>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</si>
  <si>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</si>
  <si>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</si>
  <si>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</si>
  <si>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</si>
  <si>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</si>
  <si>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</si>
  <si>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</si>
  <si>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</si>
  <si>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</si>
  <si>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</si>
  <si>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</si>
  <si>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</si>
  <si>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</si>
  <si>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</si>
  <si>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</si>
  <si>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</si>
  <si>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3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</si>
  <si>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</si>
  <si>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</si>
  <si>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</si>
  <si>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</si>
  <si>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</si>
  <si>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</si>
  <si>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</si>
  <si>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</si>
  <si>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</si>
  <si>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</si>
  <si>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</si>
  <si>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</si>
  <si>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</si>
  <si>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</si>
  <si>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</si>
  <si>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</si>
  <si>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</si>
  <si>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</si>
  <si>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</si>
  <si>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</si>
  <si>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</si>
  <si>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</si>
  <si>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</si>
  <si>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</si>
  <si>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</si>
  <si>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</si>
  <si>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</si>
  <si>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</si>
  <si>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</si>
  <si>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</si>
  <si>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</si>
  <si>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</si>
  <si>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</si>
  <si>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</si>
  <si>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</si>
  <si>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</si>
  <si>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</si>
  <si>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</si>
  <si>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</si>
  <si>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</si>
  <si>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</si>
  <si>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3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</si>
  <si>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</si>
  <si>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</si>
  <si>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</si>
  <si>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</si>
  <si>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</si>
  <si>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</si>
  <si>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</si>
  <si>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</si>
  <si>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</si>
  <si>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</si>
  <si>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</si>
  <si>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</si>
  <si>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</si>
  <si>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3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</si>
  <si>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</si>
  <si>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</si>
  <si>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</si>
  <si>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</si>
  <si>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</si>
  <si>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</si>
  <si>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</si>
  <si>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</si>
  <si>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</si>
  <si>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</si>
  <si>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</si>
  <si>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</si>
  <si>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</si>
  <si>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</si>
  <si>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</si>
  <si>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</si>
  <si>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</si>
  <si>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</si>
  <si>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</si>
  <si>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</si>
  <si>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</si>
  <si>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</si>
  <si>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</si>
  <si>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</si>
  <si>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</si>
  <si>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</si>
  <si>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</si>
  <si>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</si>
  <si>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</si>
  <si>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</si>
  <si>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</si>
  <si>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</si>
  <si>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</si>
  <si>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</si>
  <si>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</si>
  <si>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</si>
  <si>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</si>
  <si>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</si>
  <si>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</si>
  <si>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</si>
  <si>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</si>
  <si>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</si>
  <si>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</si>
  <si>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</si>
  <si>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</si>
  <si>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</si>
  <si>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9" type="noConversion"/>
  </si>
  <si>
    <t>합계:</t>
    <phoneticPr fontId="19" type="noConversion"/>
  </si>
  <si>
    <t>Main CB   4P 150A</t>
    <phoneticPr fontId="13" type="noConversion"/>
  </si>
  <si>
    <t>4P 60A</t>
    <phoneticPr fontId="13" type="noConversion"/>
  </si>
  <si>
    <t>LG CRAC #10 (수냉식)</t>
    <phoneticPr fontId="13" type="noConversion"/>
  </si>
  <si>
    <t>LG CRAC #11 (수냉식)</t>
    <phoneticPr fontId="13" type="noConversion"/>
  </si>
  <si>
    <t>LG CRAC #12 (수냉식)</t>
    <phoneticPr fontId="13" type="noConversion"/>
  </si>
  <si>
    <t>U5-1A</t>
    <phoneticPr fontId="19" type="noConversion"/>
  </si>
  <si>
    <t>PDU : SEL1 - 5-1 - A1</t>
    <phoneticPr fontId="13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</si>
  <si>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3" type="noConversion"/>
  </si>
  <si>
    <t>3P 60A</t>
    <phoneticPr fontId="13" type="noConversion"/>
  </si>
  <si>
    <t>#3P-01</t>
    <phoneticPr fontId="13" type="noConversion"/>
  </si>
  <si>
    <t>#3P-02</t>
    <phoneticPr fontId="13" type="noConversion"/>
  </si>
  <si>
    <t>보다폰정류기-A</t>
  </si>
  <si>
    <t>CF상면</t>
    <phoneticPr fontId="13" type="noConversion"/>
  </si>
  <si>
    <t>5F-Q-21 / 1A-2-11</t>
  </si>
  <si>
    <t>OFF</t>
    <phoneticPr fontId="10" type="noConversion"/>
  </si>
  <si>
    <t>CF상면</t>
  </si>
  <si>
    <t>구글202-A</t>
    <phoneticPr fontId="13" type="noConversion"/>
  </si>
  <si>
    <t>구글201-A</t>
    <phoneticPr fontId="13" type="noConversion"/>
  </si>
  <si>
    <t>5F-Q-24 / 1A-2-14</t>
  </si>
  <si>
    <t>G1101 (1A-1-5)</t>
    <phoneticPr fontId="13" type="noConversion"/>
  </si>
  <si>
    <t>cloudflare</t>
    <phoneticPr fontId="19" type="noConversion"/>
  </si>
  <si>
    <t>구글 시스템박스</t>
    <phoneticPr fontId="13" type="noConversion"/>
  </si>
  <si>
    <t>G1102 (1A-1-6)</t>
    <phoneticPr fontId="13" type="noConversion"/>
  </si>
  <si>
    <t>철거필요</t>
  </si>
  <si>
    <t>1A-3-1</t>
  </si>
  <si>
    <t>G1103 (1A-1-7)</t>
    <phoneticPr fontId="13" type="noConversion"/>
  </si>
  <si>
    <t>G1104 (1A-1-8)</t>
    <phoneticPr fontId="13" type="noConversion"/>
  </si>
  <si>
    <t>G1105 (1A-1-9)</t>
    <phoneticPr fontId="13" type="noConversion"/>
  </si>
  <si>
    <t>구글104-A</t>
    <phoneticPr fontId="13" type="noConversion"/>
  </si>
  <si>
    <t>구글103-A</t>
    <phoneticPr fontId="13" type="noConversion"/>
  </si>
  <si>
    <t>구글102-A</t>
    <phoneticPr fontId="13" type="noConversion"/>
  </si>
  <si>
    <t>1A-3-7</t>
  </si>
  <si>
    <t>구글101-A</t>
    <phoneticPr fontId="13" type="noConversion"/>
  </si>
  <si>
    <t>5F-P-20 / 1A-3-10</t>
  </si>
  <si>
    <t>G1201 (1A-2-1)</t>
    <phoneticPr fontId="13" type="noConversion"/>
  </si>
  <si>
    <t>5F-P-21 / 1A-3-11</t>
  </si>
  <si>
    <t>G1202 (1A-2-2)</t>
    <phoneticPr fontId="13" type="noConversion"/>
  </si>
  <si>
    <t>cloudflare</t>
  </si>
  <si>
    <t>5F-P-22 / 1A-3-12</t>
  </si>
  <si>
    <t>G1203 (1A-2-3)</t>
    <phoneticPr fontId="13" type="noConversion"/>
  </si>
  <si>
    <t>5F-P-23 / 1A-3-13</t>
  </si>
  <si>
    <t>G1204 (1A-2-4)</t>
    <phoneticPr fontId="13" type="noConversion"/>
  </si>
  <si>
    <t>5F-P-24 / 1A-3-14</t>
  </si>
  <si>
    <t>G1205 (1A-2-5)</t>
    <phoneticPr fontId="13" type="noConversion"/>
  </si>
  <si>
    <t>보다폰 케이지 안쪽</t>
    <phoneticPr fontId="13" type="noConversion"/>
  </si>
  <si>
    <t>1A-4-1</t>
  </si>
  <si>
    <t>Vodafone</t>
    <phoneticPr fontId="13" type="noConversion"/>
  </si>
  <si>
    <t>VF Rack#1-상</t>
  </si>
  <si>
    <t>5F-Q-20</t>
  </si>
  <si>
    <t>Vodafone</t>
  </si>
  <si>
    <t>VF Rack#2-상</t>
  </si>
  <si>
    <t>PDU : SEL1 - 5-1 - B1</t>
    <phoneticPr fontId="13" type="noConversion"/>
  </si>
  <si>
    <t>보다폰정류기-B</t>
  </si>
  <si>
    <t>5F-Q-21 / 1B-2-11</t>
  </si>
  <si>
    <t>5F-Q-24 / 1B-2-14</t>
  </si>
  <si>
    <t>G1101 (1B-1-5)</t>
    <phoneticPr fontId="13" type="noConversion"/>
  </si>
  <si>
    <t>구글Cage 지문인식기</t>
    <phoneticPr fontId="13" type="noConversion"/>
  </si>
  <si>
    <t>G1102 (1B-1-6)</t>
    <phoneticPr fontId="13" type="noConversion"/>
  </si>
  <si>
    <t>1B-3-1</t>
  </si>
  <si>
    <t>G1103 (1B-1-7)</t>
    <phoneticPr fontId="13" type="noConversion"/>
  </si>
  <si>
    <t>G1104 (1B-1-8)</t>
    <phoneticPr fontId="13" type="noConversion"/>
  </si>
  <si>
    <t>G1105 (1B-1-9)</t>
    <phoneticPr fontId="13" type="noConversion"/>
  </si>
  <si>
    <t>1B-3-7</t>
  </si>
  <si>
    <t>5F-P-20  / 1B-3-10</t>
  </si>
  <si>
    <t>5F-P-21  / 1B-3-11</t>
  </si>
  <si>
    <t>G1202 (1B-2-2)</t>
    <phoneticPr fontId="13" type="noConversion"/>
  </si>
  <si>
    <t>5F-P-22  / 1B-3-12</t>
  </si>
  <si>
    <t>G1203 (1B-2-3)</t>
    <phoneticPr fontId="13" type="noConversion"/>
  </si>
  <si>
    <t>5F-P-23  / 1B-3-13</t>
  </si>
  <si>
    <t>G1204 (1B-2-4)</t>
    <phoneticPr fontId="13" type="noConversion"/>
  </si>
  <si>
    <t>5F-P-24  / 1B-3-14</t>
  </si>
  <si>
    <t>G1205 (1B-2-5)</t>
    <phoneticPr fontId="13" type="noConversion"/>
  </si>
  <si>
    <t>5F-P-25  / 1B-3-15</t>
  </si>
  <si>
    <t>1B-7-1(2)</t>
  </si>
  <si>
    <t>VF Rack#1-하</t>
  </si>
  <si>
    <t>VF Rack#2-하</t>
  </si>
  <si>
    <t>PDU : SEL1 - 5-1 - A2</t>
    <phoneticPr fontId="13" type="noConversion"/>
  </si>
  <si>
    <t>5F-O-16 / 2A-4-6</t>
  </si>
  <si>
    <t>B221 (R13)-1</t>
    <phoneticPr fontId="13" type="noConversion"/>
  </si>
  <si>
    <t>5F-O-17 / 2A-4-7</t>
  </si>
  <si>
    <t>B221 (R13)-2</t>
    <phoneticPr fontId="13" type="noConversion"/>
  </si>
  <si>
    <t>5F-O-18</t>
  </si>
  <si>
    <t>B222 (R14)-1</t>
    <phoneticPr fontId="13" type="noConversion"/>
  </si>
  <si>
    <t>5F-O-19</t>
  </si>
  <si>
    <t>B222 (R14)-2</t>
    <phoneticPr fontId="13" type="noConversion"/>
  </si>
  <si>
    <t>5F-O-20</t>
  </si>
  <si>
    <t>B316 (R15)-1</t>
    <phoneticPr fontId="13" type="noConversion"/>
  </si>
  <si>
    <t>5F-O-21</t>
  </si>
  <si>
    <t>B316 (R15)-2</t>
    <phoneticPr fontId="13" type="noConversion"/>
  </si>
  <si>
    <t>5F-O-22</t>
  </si>
  <si>
    <t>B317 (R16)-1</t>
    <phoneticPr fontId="13" type="noConversion"/>
  </si>
  <si>
    <t>5F-O-23</t>
  </si>
  <si>
    <t>B318 (R17)-1</t>
    <phoneticPr fontId="13" type="noConversion"/>
  </si>
  <si>
    <t>5F-O-24</t>
  </si>
  <si>
    <t>B319 (R18)</t>
    <phoneticPr fontId="13" type="noConversion"/>
  </si>
  <si>
    <t>2A-7-2(2)</t>
  </si>
  <si>
    <t>B320 (R19)</t>
    <phoneticPr fontId="13" type="noConversion"/>
  </si>
  <si>
    <t>2A-5-1</t>
  </si>
  <si>
    <t>보다폰상면</t>
    <phoneticPr fontId="13" type="noConversion"/>
  </si>
  <si>
    <t>B321 (R20)</t>
    <phoneticPr fontId="13" type="noConversion"/>
  </si>
  <si>
    <t>O</t>
    <phoneticPr fontId="8" type="noConversion"/>
  </si>
  <si>
    <t>B322 (R21)</t>
    <phoneticPr fontId="13" type="noConversion"/>
  </si>
  <si>
    <t>B416 (R22)</t>
    <phoneticPr fontId="13" type="noConversion"/>
  </si>
  <si>
    <t>B417 (R23)</t>
    <phoneticPr fontId="13" type="noConversion"/>
  </si>
  <si>
    <t>B418 (R24)</t>
    <phoneticPr fontId="13" type="noConversion"/>
  </si>
  <si>
    <t>5-1-A2-31</t>
  </si>
  <si>
    <t>B116 (R12)</t>
    <phoneticPr fontId="13" type="noConversion"/>
  </si>
  <si>
    <t>5-1-A2-33</t>
  </si>
  <si>
    <t>B117 (R11)</t>
    <phoneticPr fontId="13" type="noConversion"/>
  </si>
  <si>
    <t>5-1-A2-35</t>
  </si>
  <si>
    <t>B118 (R10)</t>
    <phoneticPr fontId="13" type="noConversion"/>
  </si>
  <si>
    <t>B317 (R16)-2</t>
    <phoneticPr fontId="13" type="noConversion"/>
  </si>
  <si>
    <t>B119 (R9)</t>
    <phoneticPr fontId="13" type="noConversion"/>
  </si>
  <si>
    <t>B318 (R17)-2</t>
    <phoneticPr fontId="13" type="noConversion"/>
  </si>
  <si>
    <t>B120 (R8)</t>
    <phoneticPr fontId="13" type="noConversion"/>
  </si>
  <si>
    <t>B221 (R13)-3</t>
    <phoneticPr fontId="13" type="noConversion"/>
  </si>
  <si>
    <t>O</t>
    <phoneticPr fontId="6" type="noConversion"/>
  </si>
  <si>
    <t>B121 (R7)</t>
    <phoneticPr fontId="13" type="noConversion"/>
  </si>
  <si>
    <t>B222 (R14)-3</t>
    <phoneticPr fontId="13" type="noConversion"/>
  </si>
  <si>
    <t>B122 (R6)</t>
    <phoneticPr fontId="13" type="noConversion"/>
  </si>
  <si>
    <t>B316 (R15)-3</t>
    <phoneticPr fontId="13" type="noConversion"/>
  </si>
  <si>
    <t>B216 (R5)</t>
    <phoneticPr fontId="13" type="noConversion"/>
  </si>
  <si>
    <t>B219 (R2)</t>
  </si>
  <si>
    <t>B217 (R4)</t>
    <phoneticPr fontId="13" type="noConversion"/>
  </si>
  <si>
    <t>B220 (R1)</t>
  </si>
  <si>
    <t>B218 (R3)</t>
    <phoneticPr fontId="13" type="noConversion"/>
  </si>
  <si>
    <t>PDU : SEL1 - 5-1 - B2</t>
    <phoneticPr fontId="13" type="noConversion"/>
  </si>
  <si>
    <t>5F-O-16 / 2B-4-6</t>
  </si>
  <si>
    <t>철거가능</t>
    <phoneticPr fontId="13" type="noConversion"/>
  </si>
  <si>
    <t>5F-O-17 / 2B-4-7</t>
  </si>
  <si>
    <t>2B-7-2(2)</t>
  </si>
  <si>
    <t>2B-5-1</t>
  </si>
  <si>
    <t>철거필요</t>
    <phoneticPr fontId="13" type="noConversion"/>
  </si>
  <si>
    <t>철거가능</t>
  </si>
  <si>
    <t>B219 (R2)</t>
    <phoneticPr fontId="13" type="noConversion"/>
  </si>
  <si>
    <t>B220 (R1)</t>
    <phoneticPr fontId="13" type="noConversion"/>
  </si>
  <si>
    <t>PDU6B-1T</t>
  </si>
  <si>
    <t xml:space="preserve">PDU : </t>
    <phoneticPr fontId="13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</si>
  <si>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3" type="noConversion"/>
  </si>
  <si>
    <t>&lt;= MAIN OFF</t>
  </si>
  <si>
    <t>3P 30A</t>
    <phoneticPr fontId="13" type="noConversion"/>
  </si>
  <si>
    <t>#01(3상)</t>
    <phoneticPr fontId="13" type="noConversion"/>
  </si>
  <si>
    <t>#02(3상)</t>
    <phoneticPr fontId="13" type="noConversion"/>
  </si>
  <si>
    <t>1T-1-3</t>
  </si>
  <si>
    <t>3P 30A</t>
    <phoneticPr fontId="19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</si>
  <si>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</si>
  <si>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</si>
  <si>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</si>
  <si>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</si>
  <si>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</si>
  <si>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</si>
  <si>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</si>
  <si>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</si>
  <si>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</si>
  <si>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</si>
  <si>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9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</si>
  <si>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</si>
  <si>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</si>
  <si>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</si>
  <si>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</si>
  <si>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</si>
  <si>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</si>
  <si>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9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</si>
  <si>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</si>
  <si>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</si>
  <si>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</si>
  <si>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</si>
  <si>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</si>
  <si>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</si>
  <si>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</si>
  <si>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</si>
  <si>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3" type="noConversion"/>
  </si>
  <si>
    <t>3A-12-2</t>
    <phoneticPr fontId="13" type="noConversion"/>
  </si>
  <si>
    <t>3A-12-3</t>
    <phoneticPr fontId="13" type="noConversion"/>
  </si>
  <si>
    <t>3A-12-3T</t>
    <phoneticPr fontId="13" type="noConversion"/>
  </si>
  <si>
    <t>3A-12-4</t>
    <phoneticPr fontId="13" type="noConversion"/>
  </si>
  <si>
    <t>3A-12-5</t>
    <phoneticPr fontId="13" type="noConversion"/>
  </si>
  <si>
    <t>3A-12-6</t>
    <phoneticPr fontId="13" type="noConversion"/>
  </si>
  <si>
    <t>PDU : SEL1 - 5-1 - B3</t>
    <phoneticPr fontId="13" type="noConversion"/>
  </si>
  <si>
    <t>3B-12-6T</t>
  </si>
  <si>
    <t>PDU : SEL1 - 5-1 - A4</t>
    <phoneticPr fontId="13" type="noConversion"/>
  </si>
  <si>
    <t>9A-1-5 (PCCW) /5F-A-14</t>
  </si>
  <si>
    <t>PCCW</t>
    <phoneticPr fontId="19" type="noConversion"/>
  </si>
  <si>
    <t>센츄리링크코리아</t>
    <phoneticPr fontId="19" type="noConversion"/>
  </si>
  <si>
    <t>9A-1-8 / 5F-A-17</t>
    <phoneticPr fontId="13" type="noConversion"/>
  </si>
  <si>
    <t>9A-1-6 / 5F-A-15</t>
    <phoneticPr fontId="13" type="noConversion"/>
  </si>
  <si>
    <t>코로케션</t>
    <phoneticPr fontId="19" type="noConversion"/>
  </si>
  <si>
    <t>9A-1-9 / 5F-A-18</t>
    <phoneticPr fontId="13" type="noConversion"/>
  </si>
  <si>
    <t>9A-1-7 / 5F-A-16</t>
    <phoneticPr fontId="13" type="noConversion"/>
  </si>
  <si>
    <t>세종 인터넷(IES.YSM.S51)</t>
  </si>
  <si>
    <t>9A-1-10 / 5F-A-19</t>
    <phoneticPr fontId="13" type="noConversion"/>
  </si>
  <si>
    <t>PDU : SEL1 - 5-1 - A5</t>
    <phoneticPr fontId="13" type="noConversion"/>
  </si>
  <si>
    <t>&lt;= MAIN OFF</t>
    <phoneticPr fontId="19" type="noConversion"/>
  </si>
  <si>
    <t>PDU : SEL1 - 5-1 - B4</t>
    <phoneticPr fontId="13" type="noConversion"/>
  </si>
  <si>
    <t>센츄리링크코리아</t>
  </si>
  <si>
    <t>9B-1-8 / 5F-A-17</t>
    <phoneticPr fontId="13" type="noConversion"/>
  </si>
  <si>
    <t>9B-1-6 / 5F-A-15</t>
    <phoneticPr fontId="13" type="noConversion"/>
  </si>
  <si>
    <t>9B-1-9 / 5F-A-18</t>
    <phoneticPr fontId="13" type="noConversion"/>
  </si>
  <si>
    <t>9B-1-7 / 5F-A-16</t>
    <phoneticPr fontId="13" type="noConversion"/>
  </si>
  <si>
    <t>세종 인터넷(IES.YSM.S51)</t>
    <phoneticPr fontId="19" type="noConversion"/>
  </si>
  <si>
    <t>9B-1-10 / 5F-A-19</t>
    <phoneticPr fontId="13" type="noConversion"/>
  </si>
  <si>
    <t>9B-1-5 (PCCW)/5F-A-14</t>
  </si>
  <si>
    <t>PDU : SEL1 - 5-1 - B5</t>
    <phoneticPr fontId="13" type="noConversion"/>
  </si>
  <si>
    <t>PDU : SEL1 - 5-1 - A6</t>
    <phoneticPr fontId="13" type="noConversion"/>
  </si>
  <si>
    <t>1A-1-1 / 5F-A-10</t>
    <phoneticPr fontId="13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</si>
  <si>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</si>
  <si>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</si>
  <si>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</si>
  <si>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</si>
  <si>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</si>
  <si>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</si>
  <si>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3" type="noConversion"/>
  </si>
  <si>
    <t>A1-2-1 / 5F-B-10</t>
    <phoneticPr fontId="13" type="noConversion"/>
  </si>
  <si>
    <t>A1-2-2 / 5F-B-11</t>
    <phoneticPr fontId="13" type="noConversion"/>
  </si>
  <si>
    <t>A1-2-3 / 5F-B-12</t>
    <phoneticPr fontId="13" type="noConversion"/>
  </si>
  <si>
    <t>A1-2-4 / 5F-B-13</t>
    <phoneticPr fontId="13" type="noConversion"/>
  </si>
  <si>
    <t>다코스</t>
    <phoneticPr fontId="1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</si>
  <si>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</si>
  <si>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3" type="noConversion"/>
  </si>
  <si>
    <t>이비즈네트웍스</t>
    <phoneticPr fontId="19" type="noConversion"/>
  </si>
  <si>
    <t>A1-5-10(2) / 5F-E-19</t>
  </si>
  <si>
    <t>A1-2-6 / 5F-B-15</t>
    <phoneticPr fontId="13" type="noConversion"/>
  </si>
  <si>
    <t>다코스 &amp; NTT</t>
    <phoneticPr fontId="19" type="noConversion"/>
  </si>
  <si>
    <t>A1-1-3(2) / 5F-A-12(2)</t>
    <phoneticPr fontId="13" type="noConversion"/>
  </si>
  <si>
    <t>A1-2-7 / 5F-B-16</t>
    <phoneticPr fontId="13" type="noConversion"/>
  </si>
  <si>
    <t>제우스네트웍스</t>
    <phoneticPr fontId="19" type="noConversion"/>
  </si>
  <si>
    <t>A1-1-8(2) / 5F-A-17 (2)</t>
    <phoneticPr fontId="13" type="noConversion"/>
  </si>
  <si>
    <t>A1-2-8 / 5F-B-17</t>
    <phoneticPr fontId="13" type="noConversion"/>
  </si>
  <si>
    <t>COLT</t>
    <phoneticPr fontId="19" type="noConversion"/>
  </si>
  <si>
    <t>5F-D-18 임시</t>
  </si>
  <si>
    <t>A1-3-1</t>
  </si>
  <si>
    <t>PDU : SEL1 - 5-1 - A7</t>
    <phoneticPr fontId="13" type="noConversion"/>
  </si>
  <si>
    <t>A2-2-9 / 5F-B-18</t>
    <phoneticPr fontId="13" type="noConversion"/>
  </si>
  <si>
    <t>A2-2-10 / 5F-B-19</t>
  </si>
  <si>
    <t>A2-4-1</t>
  </si>
  <si>
    <t>A2-4-2</t>
  </si>
  <si>
    <t>A2-4-3</t>
  </si>
  <si>
    <t>3P 20A</t>
    <phoneticPr fontId="13" type="noConversion"/>
  </si>
  <si>
    <t>A2-4-5 / 5F-D-14</t>
  </si>
  <si>
    <t>A2-5-10 / 5F-E-19</t>
  </si>
  <si>
    <t>A2-4-6 / 5F-D-15</t>
    <phoneticPr fontId="13" type="noConversion"/>
  </si>
  <si>
    <t>A2-6-5 / F-14</t>
    <phoneticPr fontId="13" type="noConversion"/>
  </si>
  <si>
    <t>A2-6-6 / F-15</t>
    <phoneticPr fontId="13" type="noConversion"/>
  </si>
  <si>
    <t>A2-6-7 / F-16</t>
    <phoneticPr fontId="13" type="noConversion"/>
  </si>
  <si>
    <t>A2-6-8 / F-17</t>
    <phoneticPr fontId="13" type="noConversion"/>
  </si>
  <si>
    <t>PDU : SEL1 - 5-1 - A8</t>
    <phoneticPr fontId="13" type="noConversion"/>
  </si>
  <si>
    <t>AC PDU-3#A</t>
  </si>
  <si>
    <t>3P 50A</t>
    <phoneticPr fontId="13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</si>
  <si>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</si>
  <si>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</si>
  <si>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3" type="noConversion"/>
  </si>
  <si>
    <t>TO:PDU(A)-3A</t>
  </si>
  <si>
    <t>3P 50A</t>
    <phoneticPr fontId="19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</si>
  <si>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</si>
  <si>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t>Singtel-1</t>
    <phoneticPr fontId="13" type="noConversion"/>
  </si>
  <si>
    <r>
      <t>#04</t>
    </r>
    <r>
      <rPr>
        <sz val="11"/>
        <rFont val="돋움"/>
        <family val="3"/>
        <charset val="129"/>
      </rPr>
      <t>(3상)</t>
    </r>
    <phoneticPr fontId="13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</si>
  <si>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</si>
  <si>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</si>
  <si>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</si>
  <si>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r>
      <t>#06</t>
    </r>
    <r>
      <rPr>
        <sz val="11"/>
        <rFont val="돋움"/>
        <family val="3"/>
        <charset val="129"/>
      </rPr>
      <t>(3상)</t>
    </r>
    <phoneticPr fontId="13" type="noConversion"/>
  </si>
  <si>
    <t>customer con</t>
  </si>
  <si>
    <t>PUD(A)-3-07 / 5F-B-17 (2)</t>
    <phoneticPr fontId="13" type="noConversion"/>
  </si>
  <si>
    <t>A1007 / 5F-F-16</t>
  </si>
  <si>
    <t>PUD(A)-3-09 / 5F-B-17 (3)</t>
    <phoneticPr fontId="13" type="noConversion"/>
  </si>
  <si>
    <t>A1006 / 5F-F-15</t>
  </si>
  <si>
    <t>A603 / Colt, A-1 (23/08/23 On)</t>
  </si>
  <si>
    <t>CMI</t>
    <phoneticPr fontId="13" type="noConversion"/>
  </si>
  <si>
    <t>D-15랙(CMI)-A ('21.09.29 투입)</t>
    <phoneticPr fontId="13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</si>
  <si>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</si>
  <si>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</si>
  <si>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</si>
  <si>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</si>
  <si>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</si>
  <si>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</si>
  <si>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</si>
  <si>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</si>
  <si>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</si>
  <si>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</si>
  <si>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3" type="noConversion"/>
  </si>
  <si>
    <t>PUD(A)-2-29</t>
  </si>
  <si>
    <t>PDU : SEL1 - 5-1 - B6</t>
    <phoneticPr fontId="13" type="noConversion"/>
  </si>
  <si>
    <t>1B-1-1 / 5F-A-10</t>
    <phoneticPr fontId="13" type="noConversion"/>
  </si>
  <si>
    <t>B1-3-3</t>
  </si>
  <si>
    <t>1B-1-2 / 5F-A-11</t>
  </si>
  <si>
    <t>1B-1-4 / 5F-A-13</t>
  </si>
  <si>
    <t>1B-1-4(2) / 5F-A-13 (2)</t>
    <phoneticPr fontId="13" type="noConversion"/>
  </si>
  <si>
    <t>B1-2-1 / 5F-B-10</t>
    <phoneticPr fontId="13" type="noConversion"/>
  </si>
  <si>
    <t>B1-2-2 / 5F-B-11</t>
    <phoneticPr fontId="13" type="noConversion"/>
  </si>
  <si>
    <t>B1-2-3 / 5F-B-12</t>
    <phoneticPr fontId="13" type="noConversion"/>
  </si>
  <si>
    <t>B1-2-4 / 5F-B-13</t>
    <phoneticPr fontId="13" type="noConversion"/>
  </si>
  <si>
    <t>B1-2-5 / A605 (B)</t>
    <phoneticPr fontId="13" type="noConversion"/>
  </si>
  <si>
    <t>X</t>
    <phoneticPr fontId="1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</si>
  <si>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</si>
  <si>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3" type="noConversion"/>
  </si>
  <si>
    <t>B1-5-10(2) / 5F-E-19</t>
  </si>
  <si>
    <t>B1-2-7 / 5F-B-16</t>
    <phoneticPr fontId="13" type="noConversion"/>
  </si>
  <si>
    <t>1B-1-3 / 5F-A-12</t>
  </si>
  <si>
    <t>B1-2-8 / 5F-B-17</t>
    <phoneticPr fontId="13" type="noConversion"/>
  </si>
  <si>
    <t>B1-1-8(2) / 5F-A-17 (2)</t>
    <phoneticPr fontId="13" type="noConversion"/>
  </si>
  <si>
    <t>B1-3-1</t>
  </si>
  <si>
    <t>B1-1-3(2) / 5F-A-12 (2)</t>
    <phoneticPr fontId="13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</si>
  <si>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</si>
  <si>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3" type="noConversion"/>
  </si>
  <si>
    <t>B1-2-9 / 5F-B-18</t>
    <phoneticPr fontId="13" type="noConversion"/>
  </si>
  <si>
    <t>PDU : SEL1 - 5-1 - B7</t>
    <phoneticPr fontId="13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</si>
  <si>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</si>
  <si>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</si>
  <si>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</si>
  <si>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</si>
  <si>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</si>
  <si>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</si>
  <si>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3" type="noConversion"/>
  </si>
  <si>
    <t>B2-6-5 / F-14</t>
    <phoneticPr fontId="13" type="noConversion"/>
  </si>
  <si>
    <t>B2-6-6 / F-15</t>
    <phoneticPr fontId="13" type="noConversion"/>
  </si>
  <si>
    <t>B2-6-7 / F-16</t>
    <phoneticPr fontId="13" type="noConversion"/>
  </si>
  <si>
    <t>B2-6-8 / F-17</t>
    <phoneticPr fontId="13" type="noConversion"/>
  </si>
  <si>
    <t>FMS 5층 메인전원</t>
  </si>
  <si>
    <t>PDU : SEL1 - 5-1 - B8</t>
    <phoneticPr fontId="13" type="noConversion"/>
  </si>
  <si>
    <t>&lt;- 디스플래이값</t>
  </si>
  <si>
    <t>AC PDU-3#B</t>
  </si>
  <si>
    <t>TO:PDU(B)-3A</t>
  </si>
  <si>
    <t>DC정류기B</t>
  </si>
  <si>
    <t>PUD(B)-3-07 / 5F-B-17 (2)</t>
    <phoneticPr fontId="13" type="noConversion"/>
  </si>
  <si>
    <t>PUD(B)-3-09 / 5F-B-17 (3)</t>
    <phoneticPr fontId="13" type="noConversion"/>
  </si>
  <si>
    <t>A603 / Colt, B-1 (23/08/23 On)</t>
  </si>
  <si>
    <t>D-15랙(CMI)-B ('21.09.29 투입)</t>
    <phoneticPr fontId="13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</si>
  <si>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</si>
  <si>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</si>
  <si>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9" type="noConversion"/>
  </si>
  <si>
    <t>4F BMS</t>
  </si>
  <si>
    <t>텔스트라 CCTV 모니터링PC 및 시스템 박스</t>
  </si>
  <si>
    <t>5F BMS</t>
  </si>
  <si>
    <t>Singtel-2</t>
    <phoneticPr fontId="13" type="noConversion"/>
  </si>
  <si>
    <t>다코스 &amp; NTT</t>
  </si>
  <si>
    <t>B3-2-6(2) / 5F-B-15 (2)</t>
    <phoneticPr fontId="13" type="noConversion"/>
  </si>
  <si>
    <t>PDU(C)</t>
  </si>
  <si>
    <t>Main CB   4P 50A</t>
    <phoneticPr fontId="13" type="noConversion"/>
  </si>
  <si>
    <t>라우터룸 System box</t>
  </si>
  <si>
    <t>SYSTEM BOX</t>
  </si>
  <si>
    <t>M/S 단파</t>
  </si>
  <si>
    <t>합계:</t>
    <phoneticPr fontId="13" type="noConversion"/>
  </si>
  <si>
    <t>PDU : SEL1 - 5-1 - A9</t>
    <phoneticPr fontId="13" type="noConversion"/>
  </si>
  <si>
    <t>RT-07</t>
    <phoneticPr fontId="13" type="noConversion"/>
  </si>
  <si>
    <t>○</t>
    <phoneticPr fontId="19" type="noConversion"/>
  </si>
  <si>
    <t>U08-A-01</t>
    <phoneticPr fontId="13" type="noConversion"/>
  </si>
  <si>
    <t>U08-A-02</t>
    <phoneticPr fontId="13" type="noConversion"/>
  </si>
  <si>
    <t>RT-08</t>
    <phoneticPr fontId="13" type="noConversion"/>
  </si>
  <si>
    <t>RT-09</t>
    <phoneticPr fontId="13" type="noConversion"/>
  </si>
  <si>
    <t>U08-A-03</t>
    <phoneticPr fontId="13" type="noConversion"/>
  </si>
  <si>
    <t>U08-A-04</t>
    <phoneticPr fontId="13" type="noConversion"/>
  </si>
  <si>
    <t>RT-10</t>
    <phoneticPr fontId="13" type="noConversion"/>
  </si>
  <si>
    <t>RT-11</t>
    <phoneticPr fontId="13" type="noConversion"/>
  </si>
  <si>
    <t>U08-A-05</t>
  </si>
  <si>
    <t>U08-A-06</t>
    <phoneticPr fontId="13" type="noConversion"/>
  </si>
  <si>
    <t>RT-12</t>
    <phoneticPr fontId="13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</si>
  <si>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</si>
  <si>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</si>
  <si>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</si>
  <si>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</si>
  <si>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</si>
  <si>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</si>
  <si>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</si>
  <si>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</si>
  <si>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</si>
  <si>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</si>
  <si>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</si>
  <si>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</si>
  <si>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</si>
  <si>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</si>
  <si>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</si>
  <si>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3" type="noConversion"/>
  </si>
  <si>
    <t>LSP-02</t>
    <phoneticPr fontId="13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</si>
  <si>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3" type="noConversion"/>
  </si>
  <si>
    <t>U08-A-15</t>
  </si>
  <si>
    <t>U08-A-16</t>
  </si>
  <si>
    <t>LSP-03</t>
    <phoneticPr fontId="13" type="noConversion"/>
  </si>
  <si>
    <t>LSP-04</t>
    <phoneticPr fontId="13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</si>
  <si>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</si>
  <si>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</si>
  <si>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</si>
  <si>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</si>
  <si>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</si>
  <si>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</si>
  <si>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</si>
  <si>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</si>
  <si>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</si>
  <si>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</si>
  <si>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</si>
  <si>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</si>
  <si>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</si>
  <si>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</si>
  <si>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3" type="noConversion"/>
  </si>
  <si>
    <t>RT-08 정류기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</si>
  <si>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3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</si>
  <si>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</si>
  <si>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</si>
  <si>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</si>
  <si>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</si>
  <si>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3" type="noConversion"/>
  </si>
  <si>
    <t>PDU : SEL1 - 5-1 - B9</t>
    <phoneticPr fontId="13" type="noConversion"/>
  </si>
  <si>
    <t>U08-B-01</t>
    <phoneticPr fontId="13" type="noConversion"/>
  </si>
  <si>
    <t>U08-B-02</t>
    <phoneticPr fontId="13" type="noConversion"/>
  </si>
  <si>
    <t>U08-B-03</t>
    <phoneticPr fontId="13" type="noConversion"/>
  </si>
  <si>
    <t>U08-B-04</t>
    <phoneticPr fontId="13" type="noConversion"/>
  </si>
  <si>
    <t>U08-B-05</t>
    <phoneticPr fontId="13" type="noConversion"/>
  </si>
  <si>
    <t>U08-B-06</t>
    <phoneticPr fontId="13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</si>
  <si>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</si>
  <si>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</si>
  <si>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</si>
  <si>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</si>
  <si>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</si>
  <si>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</si>
  <si>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</si>
  <si>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</si>
  <si>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</si>
  <si>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</si>
  <si>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</si>
  <si>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</si>
  <si>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</si>
  <si>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</si>
  <si>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</si>
  <si>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</si>
  <si>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</si>
  <si>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</si>
  <si>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3" type="noConversion"/>
  </si>
  <si>
    <t>U08-B-25</t>
  </si>
  <si>
    <t>PDU : SEL1 - 5-1 - A10</t>
    <phoneticPr fontId="13" type="noConversion"/>
  </si>
  <si>
    <t>RTX Rack#1, R1-1-1</t>
    <phoneticPr fontId="13" type="noConversion"/>
  </si>
  <si>
    <t>RTX Rack#8, R3-1-1</t>
    <phoneticPr fontId="13" type="noConversion"/>
  </si>
  <si>
    <t>RTX Rack#2, R1-2-1</t>
    <phoneticPr fontId="13" type="noConversion"/>
  </si>
  <si>
    <t>RTX Rack#9, R3-2-1</t>
    <phoneticPr fontId="13" type="noConversion"/>
  </si>
  <si>
    <t>RTX Rack#3, R1-3-1</t>
    <phoneticPr fontId="13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</si>
  <si>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3" type="noConversion"/>
  </si>
  <si>
    <t>NW/Mgmt Rack, R3-3-1</t>
    <phoneticPr fontId="13" type="noConversion"/>
  </si>
  <si>
    <t>RTX Rack#4, R2-1-1</t>
    <phoneticPr fontId="13" type="noConversion"/>
  </si>
  <si>
    <t>A40 Rack#1, R4-1-1</t>
    <phoneticPr fontId="13" type="noConversion"/>
  </si>
  <si>
    <t>RTX Rack#5, R2-2-1</t>
    <phoneticPr fontId="13" type="noConversion"/>
  </si>
  <si>
    <t>A40 Rack#2, R4-2-1</t>
    <phoneticPr fontId="13" type="noConversion"/>
  </si>
  <si>
    <t>RTX Rack#6, R2-3-1</t>
    <phoneticPr fontId="13" type="noConversion"/>
  </si>
  <si>
    <t>NetApp FAS#1, R4-3-1</t>
    <phoneticPr fontId="13" type="noConversion"/>
  </si>
  <si>
    <t>RTX Rack#7, R2-4-1</t>
    <phoneticPr fontId="13" type="noConversion"/>
  </si>
  <si>
    <t>NetApp AFF#2, R4-4-1</t>
    <phoneticPr fontId="13" type="noConversion"/>
  </si>
  <si>
    <t>DGX Rack#1, R5-1-1</t>
    <phoneticPr fontId="13" type="noConversion"/>
  </si>
  <si>
    <t>예비Rack#1, R6-1-1</t>
    <phoneticPr fontId="13" type="noConversion"/>
  </si>
  <si>
    <t>DGX Rack#2, R5-2-1</t>
    <phoneticPr fontId="13" type="noConversion"/>
  </si>
  <si>
    <t>예비Rack#2, R6-2-1</t>
    <phoneticPr fontId="13" type="noConversion"/>
  </si>
  <si>
    <t>DGX Rack#3, R5-3-1</t>
    <phoneticPr fontId="13" type="noConversion"/>
  </si>
  <si>
    <t>예비Rack#3, R6-3-1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</si>
  <si>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3" type="noConversion"/>
  </si>
  <si>
    <r>
      <t>#</t>
    </r>
    <r>
      <rPr>
        <sz val="11"/>
        <rFont val="돋움"/>
        <family val="3"/>
        <charset val="129"/>
      </rPr>
      <t>22</t>
    </r>
    <phoneticPr fontId="13" type="noConversion"/>
  </si>
  <si>
    <t>예비Rack#4, R6-4-1</t>
    <phoneticPr fontId="13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</si>
  <si>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</si>
  <si>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#2</t>
    </r>
    <r>
      <rPr>
        <sz val="11"/>
        <rFont val="돋움"/>
        <family val="3"/>
        <charset val="129"/>
      </rPr>
      <t>4</t>
    </r>
    <phoneticPr fontId="13" type="noConversion"/>
  </si>
  <si>
    <t>PDU : SEL1 - 5-1 - B10</t>
    <phoneticPr fontId="13" type="noConversion"/>
  </si>
  <si>
    <t>RTX Rack#1, R1-1-2</t>
    <phoneticPr fontId="13" type="noConversion"/>
  </si>
  <si>
    <t>RTX Rack#8, R3-1-2</t>
    <phoneticPr fontId="13" type="noConversion"/>
  </si>
  <si>
    <t>RTX Rack#2, R1-2-2</t>
    <phoneticPr fontId="13" type="noConversion"/>
  </si>
  <si>
    <t>RTX Rack#9, R3-2-2</t>
    <phoneticPr fontId="13" type="noConversion"/>
  </si>
  <si>
    <t>RTX Rack#3, R1-3-2</t>
    <phoneticPr fontId="13" type="noConversion"/>
  </si>
  <si>
    <t>NW/Mgmt Rack, R3-3-2</t>
    <phoneticPr fontId="13" type="noConversion"/>
  </si>
  <si>
    <t>RTX Rack#4, R2-1-2</t>
    <phoneticPr fontId="13" type="noConversion"/>
  </si>
  <si>
    <t>A40 Rack#1, R4-1-2</t>
    <phoneticPr fontId="13" type="noConversion"/>
  </si>
  <si>
    <t>RTX Rack#5, R2-2-2</t>
    <phoneticPr fontId="13" type="noConversion"/>
  </si>
  <si>
    <t>A40 Rack#2, R4-2-2</t>
    <phoneticPr fontId="13" type="noConversion"/>
  </si>
  <si>
    <t>RTX Rack#6, R2-3-2</t>
    <phoneticPr fontId="13" type="noConversion"/>
  </si>
  <si>
    <t>NetApp FAS#1, R4-3-2</t>
    <phoneticPr fontId="13" type="noConversion"/>
  </si>
  <si>
    <t>RTX Rack#7, R2-4-2</t>
    <phoneticPr fontId="13" type="noConversion"/>
  </si>
  <si>
    <t>NetApp AFF#2, R4-4-2</t>
    <phoneticPr fontId="13" type="noConversion"/>
  </si>
  <si>
    <t>DGX Rack#1, R5-1-2</t>
    <phoneticPr fontId="13" type="noConversion"/>
  </si>
  <si>
    <t>예비Rack#1, R6-1-2</t>
    <phoneticPr fontId="13" type="noConversion"/>
  </si>
  <si>
    <t>DGX Rack#2, R5-2-2</t>
    <phoneticPr fontId="13" type="noConversion"/>
  </si>
  <si>
    <t>예비Rack#2, R6-2-2</t>
    <phoneticPr fontId="13" type="noConversion"/>
  </si>
  <si>
    <t>DGX Rack#3, R5-3-2</t>
    <phoneticPr fontId="13" type="noConversion"/>
  </si>
  <si>
    <t>예비Rack#3, R6-3-2</t>
    <phoneticPr fontId="13" type="noConversion"/>
  </si>
  <si>
    <t>예비Rack#4, R6-4-2</t>
    <phoneticPr fontId="13" type="noConversion"/>
  </si>
  <si>
    <t>PDU : SEL1 - 5-1 - A11</t>
    <phoneticPr fontId="13" type="noConversion"/>
  </si>
  <si>
    <t>RTX Rack#1, R1-1-3</t>
    <phoneticPr fontId="13" type="noConversion"/>
  </si>
  <si>
    <t>RTX Rack#8, R3-1-3</t>
    <phoneticPr fontId="13" type="noConversion"/>
  </si>
  <si>
    <t>RTX Rack#2, R1-2-3</t>
    <phoneticPr fontId="13" type="noConversion"/>
  </si>
  <si>
    <t>RTX Rack#9, R3-2-3</t>
    <phoneticPr fontId="13" type="noConversion"/>
  </si>
  <si>
    <t>RTX Rack#3, R1-3-3</t>
    <phoneticPr fontId="13" type="noConversion"/>
  </si>
  <si>
    <t>NW/Mgmt Rack, R3-3-3</t>
    <phoneticPr fontId="13" type="noConversion"/>
  </si>
  <si>
    <t>RTX Rack#4, R2-1-3</t>
    <phoneticPr fontId="13" type="noConversion"/>
  </si>
  <si>
    <t>A40 Rack#1, R4-1-3</t>
    <phoneticPr fontId="13" type="noConversion"/>
  </si>
  <si>
    <t>RTX Rack#5, R2-2-3</t>
    <phoneticPr fontId="13" type="noConversion"/>
  </si>
  <si>
    <t>A40 Rack#2, R4-2-3</t>
    <phoneticPr fontId="13" type="noConversion"/>
  </si>
  <si>
    <t>RTX Rack#6, R2-3-3</t>
    <phoneticPr fontId="13" type="noConversion"/>
  </si>
  <si>
    <t>NetApp FAS#1, R4-3-3</t>
    <phoneticPr fontId="13" type="noConversion"/>
  </si>
  <si>
    <t>RTX Rack#7, R2-4-3</t>
    <phoneticPr fontId="13" type="noConversion"/>
  </si>
  <si>
    <t>NetApp AFF#2, R4-4-3</t>
    <phoneticPr fontId="13" type="noConversion"/>
  </si>
  <si>
    <t>DGX Rack#1, R5-1-3</t>
    <phoneticPr fontId="13" type="noConversion"/>
  </si>
  <si>
    <t>예비Rack#1, R6-1-3</t>
    <phoneticPr fontId="13" type="noConversion"/>
  </si>
  <si>
    <t>DGX Rack#2, R5-2-3</t>
    <phoneticPr fontId="13" type="noConversion"/>
  </si>
  <si>
    <t>예비Rack#2, R6-2-3</t>
    <phoneticPr fontId="13" type="noConversion"/>
  </si>
  <si>
    <t>DGX Rack#3, R5-3-3</t>
    <phoneticPr fontId="13" type="noConversion"/>
  </si>
  <si>
    <t>예비Rack#3, R6-3-3</t>
    <phoneticPr fontId="13" type="noConversion"/>
  </si>
  <si>
    <t>예비Rack#4, R6-4-3</t>
    <phoneticPr fontId="13" type="noConversion"/>
  </si>
  <si>
    <t>PDU : SEL1 - 5-1 - B11</t>
    <phoneticPr fontId="13" type="noConversion"/>
  </si>
  <si>
    <t>RTX Rack#1, R1-1-4</t>
    <phoneticPr fontId="13" type="noConversion"/>
  </si>
  <si>
    <t>RTX Rack#8, R3-1-4</t>
    <phoneticPr fontId="13" type="noConversion"/>
  </si>
  <si>
    <t>RTX Rack#2, R1-2-4</t>
    <phoneticPr fontId="13" type="noConversion"/>
  </si>
  <si>
    <t>RTX Rack#9, R3-2-4</t>
    <phoneticPr fontId="13" type="noConversion"/>
  </si>
  <si>
    <t>RTX Rack#3, R1-3-4</t>
    <phoneticPr fontId="13" type="noConversion"/>
  </si>
  <si>
    <t>NW/Mgmt Rack, R3-3-4</t>
    <phoneticPr fontId="13" type="noConversion"/>
  </si>
  <si>
    <t>RTX Rack#4, R2-1-4</t>
    <phoneticPr fontId="13" type="noConversion"/>
  </si>
  <si>
    <t>A40 Rack#1, R4-1-4</t>
    <phoneticPr fontId="13" type="noConversion"/>
  </si>
  <si>
    <t>RTX Rack#5, R2-2-4</t>
    <phoneticPr fontId="13" type="noConversion"/>
  </si>
  <si>
    <t>A40 Rack#2, R4-2-4</t>
    <phoneticPr fontId="13" type="noConversion"/>
  </si>
  <si>
    <t>RTX Rack#6, R2-3-4</t>
    <phoneticPr fontId="13" type="noConversion"/>
  </si>
  <si>
    <t>NetApp FAS#1, R4-3-4</t>
    <phoneticPr fontId="13" type="noConversion"/>
  </si>
  <si>
    <t>RTX Rack#7, R2-4-4</t>
    <phoneticPr fontId="13" type="noConversion"/>
  </si>
  <si>
    <t>NetApp AFF#2, R4-4-4</t>
    <phoneticPr fontId="13" type="noConversion"/>
  </si>
  <si>
    <t>DGX Rack#1, R5-1-4</t>
    <phoneticPr fontId="13" type="noConversion"/>
  </si>
  <si>
    <t>예비Rack#1, R6-1-4</t>
    <phoneticPr fontId="13" type="noConversion"/>
  </si>
  <si>
    <t>DGX Rack#2, R5-2-4</t>
    <phoneticPr fontId="13" type="noConversion"/>
  </si>
  <si>
    <t>예비Rack#2, R6-2-4</t>
    <phoneticPr fontId="13" type="noConversion"/>
  </si>
  <si>
    <t>DGX Rack#3, R5-3-4</t>
    <phoneticPr fontId="13" type="noConversion"/>
  </si>
  <si>
    <t>예비Rack#3, R6-3-4</t>
    <phoneticPr fontId="13" type="noConversion"/>
  </si>
  <si>
    <t>예비Rack#4, R6-4-4</t>
    <phoneticPr fontId="13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</si>
  <si>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</si>
  <si>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3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</si>
  <si>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</si>
  <si>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3" type="noConversion"/>
  </si>
  <si>
    <t>Singtel</t>
    <phoneticPr fontId="40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</si>
  <si>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3" type="noConversion"/>
  </si>
  <si>
    <t>텔스트라 정류기 A1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</si>
  <si>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3" type="noConversion"/>
  </si>
  <si>
    <t>C2C</t>
    <phoneticPr fontId="40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</si>
  <si>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</si>
  <si>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3" type="noConversion"/>
  </si>
  <si>
    <t>텔스트라 정류기 A2</t>
    <phoneticPr fontId="13" type="noConversion"/>
  </si>
  <si>
    <t>텔스트라 정류기 B1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</si>
  <si>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3" type="noConversion"/>
  </si>
  <si>
    <r>
      <t>#</t>
    </r>
    <r>
      <rPr>
        <sz val="11"/>
        <rFont val="돋움"/>
        <family val="3"/>
        <charset val="129"/>
      </rPr>
      <t>06</t>
    </r>
    <phoneticPr fontId="13" type="noConversion"/>
  </si>
  <si>
    <t>텔스트라 정류기 B2</t>
    <phoneticPr fontId="13" type="noConversion"/>
  </si>
  <si>
    <t>배분</t>
    <phoneticPr fontId="19" type="noConversion"/>
  </si>
  <si>
    <t>IDC</t>
    <phoneticPr fontId="13" type="noConversion"/>
  </si>
  <si>
    <t>텔스트라 정류기</t>
    <phoneticPr fontId="19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</si>
  <si>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9" type="noConversion"/>
  </si>
  <si>
    <t>singtel PDU-8-B</t>
    <phoneticPr fontId="19" type="noConversion"/>
  </si>
  <si>
    <t>=&gt;합계</t>
    <phoneticPr fontId="13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</si>
  <si>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3" type="noConversion"/>
  </si>
  <si>
    <t>LG CNS</t>
    <phoneticPr fontId="13" type="noConversion"/>
  </si>
  <si>
    <t>함계</t>
    <phoneticPr fontId="19" type="noConversion"/>
  </si>
  <si>
    <t>복도</t>
    <phoneticPr fontId="40" type="noConversion"/>
  </si>
  <si>
    <t>▼</t>
    <phoneticPr fontId="40" type="noConversion"/>
  </si>
  <si>
    <t>Singtel-1</t>
    <phoneticPr fontId="40" type="noConversion"/>
  </si>
  <si>
    <t>Singtel-2</t>
    <phoneticPr fontId="40" type="noConversion"/>
  </si>
  <si>
    <t>Pacnet</t>
    <phoneticPr fontId="40" type="noConversion"/>
  </si>
  <si>
    <t>KEN 1</t>
    <phoneticPr fontId="19" type="noConversion"/>
  </si>
  <si>
    <t>Main CB  4P 300A</t>
    <phoneticPr fontId="13" type="noConversion"/>
  </si>
  <si>
    <t>PDU : SEL1 - 4-1 - B1</t>
    <phoneticPr fontId="13" type="noConversion"/>
  </si>
  <si>
    <t>KEN 2</t>
    <phoneticPr fontId="19" type="noConversion"/>
  </si>
  <si>
    <t>PDU : SEL1 - 4-1 - B2</t>
    <phoneticPr fontId="13" type="noConversion"/>
  </si>
  <si>
    <t>CB NO.</t>
    <phoneticPr fontId="13" type="noConversion"/>
  </si>
  <si>
    <t>비고</t>
    <phoneticPr fontId="13" type="noConversion"/>
  </si>
  <si>
    <t>정류기 1호기</t>
    <phoneticPr fontId="19" type="noConversion"/>
  </si>
  <si>
    <t>코어룸</t>
    <phoneticPr fontId="19" type="noConversion"/>
  </si>
  <si>
    <t>POP E(상)</t>
    <phoneticPr fontId="19" type="noConversion"/>
  </si>
  <si>
    <t>2P 100A</t>
    <phoneticPr fontId="19" type="noConversion"/>
  </si>
  <si>
    <t>POP F(상)</t>
    <phoneticPr fontId="19" type="noConversion"/>
  </si>
  <si>
    <t>POP B(상)</t>
    <phoneticPr fontId="19" type="noConversion"/>
  </si>
  <si>
    <t>IDC 1구역 B(상)</t>
    <phoneticPr fontId="19" type="noConversion"/>
  </si>
  <si>
    <t>POP C(상)</t>
    <phoneticPr fontId="19" type="noConversion"/>
  </si>
  <si>
    <t>IDC 1구역 C(상)</t>
    <phoneticPr fontId="19" type="noConversion"/>
  </si>
  <si>
    <t>POP D(상)</t>
    <phoneticPr fontId="19" type="noConversion"/>
  </si>
  <si>
    <t>IDC 1구역 D(상)</t>
    <phoneticPr fontId="19" type="noConversion"/>
  </si>
  <si>
    <t>IDC 2구역 I(상)</t>
    <phoneticPr fontId="19" type="noConversion"/>
  </si>
  <si>
    <t>IDC 1구역 E(상)</t>
    <phoneticPr fontId="19" type="noConversion"/>
  </si>
  <si>
    <t>IDC 2구역 H(상)</t>
    <phoneticPr fontId="19" type="noConversion"/>
  </si>
  <si>
    <t>IDC 1구역 F(상)</t>
    <phoneticPr fontId="19" type="noConversion"/>
  </si>
  <si>
    <t>IDC 1구역 G(상)</t>
    <phoneticPr fontId="19" type="noConversion"/>
  </si>
  <si>
    <t>KEN 3</t>
    <phoneticPr fontId="19" type="noConversion"/>
  </si>
  <si>
    <t>PDU : SEL1 - 4-1 - B3</t>
    <phoneticPr fontId="13" type="noConversion"/>
  </si>
  <si>
    <t>KEN 6</t>
    <phoneticPr fontId="19" type="noConversion"/>
  </si>
  <si>
    <t>PDU : SEL1 - 4-1 - B4</t>
    <phoneticPr fontId="13" type="noConversion"/>
  </si>
  <si>
    <t>IDC 2구역 J(상)</t>
    <phoneticPr fontId="19" type="noConversion"/>
  </si>
  <si>
    <t>K 2-1-상</t>
    <phoneticPr fontId="19" type="noConversion"/>
  </si>
  <si>
    <t>세틀뱅크(구 시스케어)</t>
    <phoneticPr fontId="19" type="noConversion"/>
  </si>
  <si>
    <t>IDC 2구역 K(상)</t>
    <phoneticPr fontId="19" type="noConversion"/>
  </si>
  <si>
    <t>K 3-1 상</t>
    <phoneticPr fontId="19" type="noConversion"/>
  </si>
  <si>
    <t>미디어꾼(구)윈텔)</t>
    <phoneticPr fontId="19" type="noConversion"/>
  </si>
  <si>
    <t>IDC 2구역 L(상)</t>
    <phoneticPr fontId="19" type="noConversion"/>
  </si>
  <si>
    <t>K 2-2-상</t>
    <phoneticPr fontId="19" type="noConversion"/>
  </si>
  <si>
    <t>세틀뱅크(구 시스케어)</t>
  </si>
  <si>
    <t>IDC 2구역 M(상)</t>
    <phoneticPr fontId="19" type="noConversion"/>
  </si>
  <si>
    <t>K 3-2 상</t>
    <phoneticPr fontId="19" type="noConversion"/>
  </si>
  <si>
    <t>IDC 3구역 N(상)</t>
    <phoneticPr fontId="19" type="noConversion"/>
  </si>
  <si>
    <t>K 2-3-상</t>
    <phoneticPr fontId="19" type="noConversion"/>
  </si>
  <si>
    <t>IDC 3구역 O(상)</t>
    <phoneticPr fontId="19" type="noConversion"/>
  </si>
  <si>
    <t>K 3-3 상</t>
    <phoneticPr fontId="19" type="noConversion"/>
  </si>
  <si>
    <t>IDC 3구역 P(상)</t>
    <phoneticPr fontId="19" type="noConversion"/>
  </si>
  <si>
    <t>K 2-4 상</t>
    <phoneticPr fontId="19" type="noConversion"/>
  </si>
  <si>
    <t>IDC 3구역 Q(상)</t>
    <phoneticPr fontId="19" type="noConversion"/>
  </si>
  <si>
    <t>K 3-4 상</t>
    <phoneticPr fontId="19" type="noConversion"/>
  </si>
  <si>
    <t>IDC 3구역 R(상)</t>
    <phoneticPr fontId="19" type="noConversion"/>
  </si>
  <si>
    <t>K 1-1 상</t>
    <phoneticPr fontId="19" type="noConversion"/>
  </si>
  <si>
    <t>BMW</t>
    <phoneticPr fontId="19" type="noConversion"/>
  </si>
  <si>
    <t>IDC 3구역 S(상)</t>
    <phoneticPr fontId="19" type="noConversion"/>
  </si>
  <si>
    <t>K 1-2 상</t>
    <phoneticPr fontId="19" type="noConversion"/>
  </si>
  <si>
    <t>세종시스템케이지</t>
    <phoneticPr fontId="19" type="noConversion"/>
  </si>
  <si>
    <t>KEN 7</t>
    <phoneticPr fontId="19" type="noConversion"/>
  </si>
  <si>
    <t>PDU : SEL1 - 4-1 - B5</t>
    <phoneticPr fontId="13" type="noConversion"/>
  </si>
  <si>
    <t>KEN 8</t>
    <phoneticPr fontId="19" type="noConversion"/>
  </si>
  <si>
    <t>PDU : SEL1 - 4-1 - A1</t>
    <phoneticPr fontId="13" type="noConversion"/>
  </si>
  <si>
    <t>라온 - 철거</t>
    <phoneticPr fontId="19" type="noConversion"/>
  </si>
  <si>
    <t>4P 200A</t>
    <phoneticPr fontId="19" type="noConversion"/>
  </si>
  <si>
    <t>정류기 2호기</t>
    <phoneticPr fontId="19" type="noConversion"/>
  </si>
  <si>
    <t>CRAC 4E-1호기(20RT)</t>
    <phoneticPr fontId="13" type="noConversion"/>
  </si>
  <si>
    <t>항온</t>
    <phoneticPr fontId="19" type="noConversion"/>
  </si>
  <si>
    <t>POP E(하)</t>
    <phoneticPr fontId="19" type="noConversion"/>
  </si>
  <si>
    <t>CRAC 4E-2호기(20RT)</t>
    <phoneticPr fontId="13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</si>
  <si>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</si>
  <si>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</si>
  <si>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</si>
  <si>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</si>
  <si>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</si>
  <si>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9" type="noConversion"/>
  </si>
  <si>
    <t>PDU : SEL1 - 4-1 - A2</t>
    <phoneticPr fontId="13" type="noConversion"/>
  </si>
  <si>
    <t>KEN 10</t>
    <phoneticPr fontId="19" type="noConversion"/>
  </si>
  <si>
    <t>PDU : SEL1 - 4-1 - A3</t>
    <phoneticPr fontId="13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</si>
  <si>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</si>
  <si>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</si>
  <si>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</si>
  <si>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</si>
  <si>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</si>
  <si>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</si>
  <si>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</si>
  <si>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</si>
  <si>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</si>
  <si>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</si>
  <si>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</si>
  <si>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</si>
  <si>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</si>
  <si>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</si>
  <si>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</si>
  <si>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</si>
  <si>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</si>
  <si>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9" type="noConversion"/>
  </si>
  <si>
    <t>PDU : SEL1 - 4-1 - A4</t>
    <phoneticPr fontId="13" type="noConversion"/>
  </si>
  <si>
    <t>KEN 14</t>
    <phoneticPr fontId="19" type="noConversion"/>
  </si>
  <si>
    <t>PDU : SEL1 - 4-1 - A5</t>
    <phoneticPr fontId="13" type="noConversion"/>
  </si>
  <si>
    <t>CB NO.</t>
  </si>
  <si>
    <t>K 2-1-하</t>
    <phoneticPr fontId="19" type="noConversion"/>
  </si>
  <si>
    <t>라온(상)- 철거</t>
    <phoneticPr fontId="19" type="noConversion"/>
  </si>
  <si>
    <t>K 3-1-하</t>
    <phoneticPr fontId="19" type="noConversion"/>
  </si>
  <si>
    <t>K 2-2-하</t>
    <phoneticPr fontId="19" type="noConversion"/>
  </si>
  <si>
    <t>K 3-2-하</t>
    <phoneticPr fontId="19" type="noConversion"/>
  </si>
  <si>
    <t>합계:</t>
    <phoneticPr fontId="33" type="noConversion"/>
  </si>
  <si>
    <t>K 2-3-하</t>
    <phoneticPr fontId="19" type="noConversion"/>
  </si>
  <si>
    <t>TR Room A,B</t>
    <phoneticPr fontId="19" type="noConversion"/>
  </si>
  <si>
    <t>K 3-3-하</t>
    <phoneticPr fontId="19" type="noConversion"/>
  </si>
  <si>
    <t>K 2-4-하</t>
    <phoneticPr fontId="19" type="noConversion"/>
  </si>
  <si>
    <t>KB증권 DR(A) - 철거</t>
    <phoneticPr fontId="19" type="noConversion"/>
  </si>
  <si>
    <t>4P 320A</t>
    <phoneticPr fontId="19" type="noConversion"/>
  </si>
  <si>
    <t>K 3-4-하</t>
    <phoneticPr fontId="19" type="noConversion"/>
  </si>
  <si>
    <t>K 1-1-하</t>
    <phoneticPr fontId="19" type="noConversion"/>
  </si>
  <si>
    <t>K 1-2-하</t>
    <phoneticPr fontId="19" type="noConversion"/>
  </si>
  <si>
    <t>KB증권 DR(B) - 철거</t>
    <phoneticPr fontId="19" type="noConversion"/>
  </si>
  <si>
    <t>층당 분배</t>
    <phoneticPr fontId="19" type="noConversion"/>
  </si>
  <si>
    <t>4층</t>
    <phoneticPr fontId="19" type="noConversion"/>
  </si>
  <si>
    <t>IP</t>
    <phoneticPr fontId="19" type="noConversion"/>
  </si>
  <si>
    <t>세종 시스템</t>
    <phoneticPr fontId="19" type="noConversion"/>
  </si>
  <si>
    <t>core room</t>
    <phoneticPr fontId="19" type="noConversion"/>
  </si>
  <si>
    <t>총합</t>
    <phoneticPr fontId="19" type="noConversion"/>
  </si>
  <si>
    <t>4층 항온항습기 비상 (4층 5RT x 3대, 10RT x 1대)</t>
    <phoneticPr fontId="19" type="noConversion"/>
  </si>
  <si>
    <t>Main CB   3P 150A</t>
    <phoneticPr fontId="13" type="noConversion"/>
  </si>
  <si>
    <t>4-1 호</t>
    <phoneticPr fontId="13" type="noConversion"/>
  </si>
  <si>
    <t>4-4호</t>
    <phoneticPr fontId="13" type="noConversion"/>
  </si>
  <si>
    <t>4-2 호</t>
  </si>
  <si>
    <t>4-3 호</t>
  </si>
  <si>
    <t>차단기 사용 현황</t>
    <phoneticPr fontId="19" type="noConversion"/>
  </si>
  <si>
    <t>7층</t>
    <phoneticPr fontId="19" type="noConversion"/>
  </si>
  <si>
    <t>DE 분전반 신규명칭</t>
    <phoneticPr fontId="19" type="noConversion"/>
  </si>
  <si>
    <t>분전반 명칭</t>
    <phoneticPr fontId="19" type="noConversion"/>
  </si>
  <si>
    <t>차단전류
(A)</t>
    <phoneticPr fontId="19" type="noConversion"/>
  </si>
  <si>
    <t>메인차단용량
(kVA)</t>
    <phoneticPr fontId="19" type="noConversion"/>
  </si>
  <si>
    <t>IT허용용량
(kVA)</t>
    <phoneticPr fontId="19" type="noConversion"/>
  </si>
  <si>
    <t>사용량
(kVA)</t>
    <phoneticPr fontId="19" type="noConversion"/>
  </si>
  <si>
    <t>사용율
(%)</t>
    <phoneticPr fontId="19" type="noConversion"/>
  </si>
  <si>
    <t>2P 20A</t>
    <phoneticPr fontId="19" type="noConversion"/>
  </si>
  <si>
    <t>2P 50A</t>
    <phoneticPr fontId="19" type="noConversion"/>
  </si>
  <si>
    <t>4P 225A</t>
    <phoneticPr fontId="19" type="noConversion"/>
  </si>
  <si>
    <t>3P 100A</t>
    <phoneticPr fontId="19" type="noConversion"/>
  </si>
  <si>
    <t>3P 150A</t>
    <phoneticPr fontId="19" type="noConversion"/>
  </si>
  <si>
    <t>총계</t>
    <phoneticPr fontId="19" type="noConversion"/>
  </si>
  <si>
    <t>UPS 출력 분전반 A2(From:7F 창고)</t>
    <phoneticPr fontId="19" type="noConversion"/>
  </si>
  <si>
    <t>UPS 출력 분전반 B2(From:7F 창고)</t>
    <phoneticPr fontId="13" type="noConversion"/>
  </si>
  <si>
    <t>7-1-A4</t>
    <phoneticPr fontId="13" type="noConversion"/>
  </si>
  <si>
    <t>7-1-B4</t>
    <phoneticPr fontId="13" type="noConversion"/>
  </si>
  <si>
    <t>6층</t>
    <phoneticPr fontId="19" type="noConversion"/>
  </si>
  <si>
    <t>6-1-A1</t>
    <phoneticPr fontId="13" type="noConversion"/>
  </si>
  <si>
    <t>U-A1</t>
    <phoneticPr fontId="19" type="noConversion"/>
  </si>
  <si>
    <t>6-1-B1</t>
    <phoneticPr fontId="13" type="noConversion"/>
  </si>
  <si>
    <t>U-B1</t>
    <phoneticPr fontId="19" type="noConversion"/>
  </si>
  <si>
    <t>6-1-A2</t>
    <phoneticPr fontId="13" type="noConversion"/>
  </si>
  <si>
    <t>U-A2</t>
    <phoneticPr fontId="19" type="noConversion"/>
  </si>
  <si>
    <t>6-1-B2</t>
    <phoneticPr fontId="13" type="noConversion"/>
  </si>
  <si>
    <t>U-B2</t>
    <phoneticPr fontId="19" type="noConversion"/>
  </si>
  <si>
    <t>6-1-A3</t>
    <phoneticPr fontId="13" type="noConversion"/>
  </si>
  <si>
    <t>U6-A5 PANEL</t>
    <phoneticPr fontId="19" type="noConversion"/>
  </si>
  <si>
    <t>6-1-B3</t>
    <phoneticPr fontId="13" type="noConversion"/>
  </si>
  <si>
    <t>U6-B5 PANEL</t>
    <phoneticPr fontId="19" type="noConversion"/>
  </si>
  <si>
    <t>6-1-A4</t>
    <phoneticPr fontId="13" type="noConversion"/>
  </si>
  <si>
    <t>U6-A6 PANEL</t>
    <phoneticPr fontId="19" type="noConversion"/>
  </si>
  <si>
    <t>6-1-B4</t>
    <phoneticPr fontId="13" type="noConversion"/>
  </si>
  <si>
    <t>U6-B6 PANEL</t>
    <phoneticPr fontId="19" type="noConversion"/>
  </si>
  <si>
    <t>6-1-A5</t>
    <phoneticPr fontId="13" type="noConversion"/>
  </si>
  <si>
    <t>U-A3</t>
    <phoneticPr fontId="19" type="noConversion"/>
  </si>
  <si>
    <t>6-1-B5</t>
    <phoneticPr fontId="13" type="noConversion"/>
  </si>
  <si>
    <t>U-B3</t>
    <phoneticPr fontId="19" type="noConversion"/>
  </si>
  <si>
    <t>6-1-A6</t>
    <phoneticPr fontId="13" type="noConversion"/>
  </si>
  <si>
    <t>U-A4</t>
    <phoneticPr fontId="19" type="noConversion"/>
  </si>
  <si>
    <t>6-1-B6</t>
    <phoneticPr fontId="13" type="noConversion"/>
  </si>
  <si>
    <t>U-B4</t>
    <phoneticPr fontId="19" type="noConversion"/>
  </si>
  <si>
    <t>6-1-A7</t>
    <phoneticPr fontId="13" type="noConversion"/>
  </si>
  <si>
    <t>U6-A7 PANEL</t>
    <phoneticPr fontId="19" type="noConversion"/>
  </si>
  <si>
    <t>6-1-B7</t>
    <phoneticPr fontId="13" type="noConversion"/>
  </si>
  <si>
    <t>U6-B7 PANEL</t>
    <phoneticPr fontId="19" type="noConversion"/>
  </si>
  <si>
    <t>5층</t>
    <phoneticPr fontId="19" type="noConversion"/>
  </si>
  <si>
    <t>3P 60A</t>
    <phoneticPr fontId="19" type="noConversion"/>
  </si>
  <si>
    <t>5-1-A1</t>
    <phoneticPr fontId="13" type="noConversion"/>
  </si>
  <si>
    <t>5-1-B1</t>
    <phoneticPr fontId="13" type="noConversion"/>
  </si>
  <si>
    <t>U5-1B</t>
    <phoneticPr fontId="19" type="noConversion"/>
  </si>
  <si>
    <t>5-1-A2</t>
    <phoneticPr fontId="13" type="noConversion"/>
  </si>
  <si>
    <t>U5-2A</t>
    <phoneticPr fontId="19" type="noConversion"/>
  </si>
  <si>
    <t>U5-2B</t>
    <phoneticPr fontId="19" type="noConversion"/>
  </si>
  <si>
    <t>5-1-A3</t>
    <phoneticPr fontId="13" type="noConversion"/>
  </si>
  <si>
    <t>U5-3A</t>
    <phoneticPr fontId="19" type="noConversion"/>
  </si>
  <si>
    <t>5-1-B3</t>
    <phoneticPr fontId="13" type="noConversion"/>
  </si>
  <si>
    <t>U5-3B</t>
    <phoneticPr fontId="19" type="noConversion"/>
  </si>
  <si>
    <t>5-1-A4</t>
    <phoneticPr fontId="13" type="noConversion"/>
  </si>
  <si>
    <t>PDU(A)-9</t>
    <phoneticPr fontId="19" type="noConversion"/>
  </si>
  <si>
    <t>5-1-B4</t>
    <phoneticPr fontId="13" type="noConversion"/>
  </si>
  <si>
    <t>PDU(B)-9</t>
    <phoneticPr fontId="19" type="noConversion"/>
  </si>
  <si>
    <t>5-1-A5</t>
    <phoneticPr fontId="13" type="noConversion"/>
  </si>
  <si>
    <t>PDU(A)-10</t>
    <phoneticPr fontId="19" type="noConversion"/>
  </si>
  <si>
    <t>5-1-B5</t>
    <phoneticPr fontId="13" type="noConversion"/>
  </si>
  <si>
    <t>PDU(B)-10</t>
    <phoneticPr fontId="19" type="noConversion"/>
  </si>
  <si>
    <t>5-1-A6</t>
    <phoneticPr fontId="13" type="noConversion"/>
  </si>
  <si>
    <t>PDU(A)-1</t>
    <phoneticPr fontId="19" type="noConversion"/>
  </si>
  <si>
    <t>5-1-B6</t>
    <phoneticPr fontId="13" type="noConversion"/>
  </si>
  <si>
    <t>PDU(B)-1</t>
    <phoneticPr fontId="19" type="noConversion"/>
  </si>
  <si>
    <t>5-1-A7</t>
    <phoneticPr fontId="13" type="noConversion"/>
  </si>
  <si>
    <t>PDU(A)-2</t>
    <phoneticPr fontId="19" type="noConversion"/>
  </si>
  <si>
    <t>5-1-B7</t>
  </si>
  <si>
    <t>PDU(B)-2</t>
    <phoneticPr fontId="19" type="noConversion"/>
  </si>
  <si>
    <t>5-1-A8</t>
  </si>
  <si>
    <t>PDU(A)-3</t>
    <phoneticPr fontId="19" type="noConversion"/>
  </si>
  <si>
    <t>5-1-B8</t>
  </si>
  <si>
    <t>PDU(B)-3</t>
    <phoneticPr fontId="19" type="noConversion"/>
  </si>
  <si>
    <t>5-1-A9</t>
    <phoneticPr fontId="13" type="noConversion"/>
  </si>
  <si>
    <t>Singtel PDU-8-A</t>
  </si>
  <si>
    <t>5-1-B9</t>
    <phoneticPr fontId="13" type="noConversion"/>
  </si>
  <si>
    <t>Singtel PDU-8-B</t>
  </si>
  <si>
    <t>5-1-A10</t>
    <phoneticPr fontId="13" type="noConversion"/>
  </si>
  <si>
    <t>LG PDU(A1)</t>
  </si>
  <si>
    <t>5-1-B10</t>
    <phoneticPr fontId="13" type="noConversion"/>
  </si>
  <si>
    <t>LG PDU(B1)</t>
  </si>
  <si>
    <t>5-1-A11</t>
    <phoneticPr fontId="13" type="noConversion"/>
  </si>
  <si>
    <t>LG PDU(A2)</t>
  </si>
  <si>
    <t>5-1-B11</t>
    <phoneticPr fontId="13" type="noConversion"/>
  </si>
  <si>
    <t>LG PDU(B2)</t>
  </si>
  <si>
    <t>PDU6B-1T</t>
    <phoneticPr fontId="19" type="noConversion"/>
  </si>
  <si>
    <t>PDU(C)</t>
    <phoneticPr fontId="19" type="noConversion"/>
  </si>
  <si>
    <t>통신전력기준
(kVA)</t>
    <phoneticPr fontId="19" type="noConversion"/>
  </si>
  <si>
    <t>4P 100A</t>
    <phoneticPr fontId="19" type="noConversion"/>
  </si>
  <si>
    <t>4-1-A1</t>
    <phoneticPr fontId="13" type="noConversion"/>
  </si>
  <si>
    <t>4-1-B1</t>
    <phoneticPr fontId="13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</si>
  <si>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</si>
  <si>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</si>
  <si>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</si>
  <si>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</si>
  <si>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</si>
  <si>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</si>
  <si>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</si>
  <si>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</si>
  <si>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9" type="noConversion"/>
  </si>
  <si>
    <t>사용량(A)</t>
    <phoneticPr fontId="19" type="noConversion"/>
  </si>
  <si>
    <t>층 배분(%)</t>
    <phoneticPr fontId="19" type="noConversion"/>
  </si>
  <si>
    <t>IP</t>
    <phoneticPr fontId="13" type="noConversion"/>
  </si>
  <si>
    <t>세종 인터넷</t>
    <phoneticPr fontId="19" type="noConversion"/>
  </si>
  <si>
    <t>세종 7층 NOC(미확인 포함)</t>
    <phoneticPr fontId="13" type="noConversion"/>
  </si>
  <si>
    <t>DEKR IDC</t>
    <phoneticPr fontId="19" type="noConversion"/>
  </si>
  <si>
    <t>세종 core room</t>
    <phoneticPr fontId="19" type="noConversion"/>
  </si>
  <si>
    <t>IDC</t>
  </si>
  <si>
    <t>DEKR IDC</t>
  </si>
  <si>
    <t>세종 전송설비</t>
    <phoneticPr fontId="19" type="noConversion"/>
  </si>
  <si>
    <t>세종 정류기</t>
    <phoneticPr fontId="19" type="noConversion"/>
  </si>
  <si>
    <t>IPD 운용현황(' 22 년        월         일)</t>
    <phoneticPr fontId="13" type="noConversion"/>
  </si>
  <si>
    <t>201 BAY</t>
  </si>
  <si>
    <t>Display</t>
  </si>
  <si>
    <t>전압 :            V        전류 :            A</t>
    <phoneticPr fontId="13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</si>
  <si>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</si>
  <si>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</si>
  <si>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</si>
  <si>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</si>
  <si>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</si>
  <si>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</si>
  <si>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</si>
  <si>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</si>
  <si>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</si>
  <si>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</si>
  <si>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</si>
  <si>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</si>
  <si>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3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</si>
  <si>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</si>
  <si>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3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</si>
  <si>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</si>
  <si>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</si>
  <si>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</si>
  <si>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</si>
  <si>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</si>
  <si>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</si>
  <si>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</si>
  <si>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</si>
  <si>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</si>
  <si>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</si>
  <si>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</si>
  <si>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3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</si>
  <si>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</si>
  <si>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</si>
  <si>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</si>
  <si>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</si>
  <si>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</si>
  <si>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3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</si>
  <si>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</si>
  <si>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</si>
  <si>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</si>
  <si>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</si>
  <si>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</si>
  <si>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</si>
  <si>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</si>
  <si>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</si>
  <si>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</si>
  <si>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3" type="noConversion"/>
  </si>
  <si>
    <t>100A</t>
    <phoneticPr fontId="13" type="noConversion"/>
  </si>
  <si>
    <t>307BAY_LGU+PDP.A
201BAY_PDR_P24</t>
    <phoneticPr fontId="13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</si>
  <si>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</si>
  <si>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</si>
  <si>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</si>
  <si>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</si>
  <si>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</si>
  <si>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</si>
  <si>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</si>
  <si>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</si>
  <si>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3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</si>
  <si>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</si>
  <si>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</si>
  <si>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</si>
  <si>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</si>
  <si>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</si>
  <si>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</si>
  <si>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</si>
  <si>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</si>
  <si>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</si>
  <si>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</si>
  <si>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</si>
  <si>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</si>
  <si>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</si>
  <si>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</si>
  <si>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</si>
  <si>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</si>
  <si>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</si>
  <si>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</si>
  <si>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3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</si>
  <si>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</si>
  <si>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</si>
  <si>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</si>
  <si>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</si>
  <si>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</si>
  <si>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</si>
  <si>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</si>
  <si>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</si>
  <si>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</si>
  <si>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3" type="noConversion"/>
  </si>
  <si>
    <t>307BAY_LGU+PDP.B
401BAY_PDR_P24</t>
    <phoneticPr fontId="13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</si>
  <si>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</si>
  <si>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</si>
  <si>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</si>
  <si>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</si>
  <si>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</si>
  <si>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</si>
  <si>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</si>
  <si>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</si>
  <si>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</si>
  <si>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</si>
  <si>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</si>
  <si>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</si>
  <si>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</si>
  <si>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</si>
  <si>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</si>
  <si>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</si>
  <si>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</si>
  <si>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</si>
  <si>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</si>
  <si>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3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</si>
  <si>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3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</si>
  <si>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</si>
  <si>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</si>
  <si>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</si>
  <si>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</si>
  <si>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</si>
  <si>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</si>
  <si>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</si>
  <si>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</si>
  <si>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</si>
  <si>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</si>
  <si>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</si>
  <si>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</si>
  <si>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</si>
  <si>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</si>
  <si>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</si>
  <si>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</si>
  <si>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</si>
  <si>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</si>
  <si>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</si>
  <si>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</si>
  <si>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</si>
  <si>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</si>
  <si>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</si>
  <si>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</si>
  <si>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</si>
  <si>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</si>
  <si>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</si>
  <si>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</si>
  <si>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</si>
  <si>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3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</si>
  <si>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</si>
  <si>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</si>
  <si>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</si>
  <si>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</si>
  <si>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</si>
  <si>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</si>
  <si>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</si>
  <si>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</si>
  <si>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</si>
  <si>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</si>
  <si>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</si>
  <si>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</si>
  <si>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</si>
  <si>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</si>
  <si>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</si>
  <si>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</si>
  <si>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</si>
  <si>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</si>
  <si>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</si>
  <si>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</si>
  <si>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</si>
  <si>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</si>
  <si>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</si>
  <si>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</si>
  <si>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</si>
  <si>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</si>
  <si>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</si>
  <si>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</si>
  <si>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</si>
  <si>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</si>
  <si>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</si>
  <si>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</si>
  <si>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</si>
  <si>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</si>
  <si>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</si>
  <si>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</si>
  <si>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</si>
  <si>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</si>
  <si>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</si>
  <si>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</si>
  <si>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</si>
  <si>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</si>
  <si>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</si>
  <si>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</si>
  <si>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</si>
  <si>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</si>
  <si>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</si>
  <si>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</si>
  <si>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</si>
  <si>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</si>
  <si>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</si>
  <si>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</si>
  <si>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</si>
  <si>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</si>
  <si>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</si>
  <si>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3" type="noConversion"/>
  </si>
  <si>
    <t>IPD / A-3_P21
227BAY PDP_A</t>
  </si>
  <si>
    <t>323B ODO -48VA
코위버 갬으 DURTKA#2</t>
    <phoneticPr fontId="13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</si>
  <si>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</si>
  <si>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</si>
  <si>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</si>
  <si>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</si>
  <si>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</si>
  <si>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3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</si>
  <si>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</si>
  <si>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</si>
  <si>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</si>
  <si>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</si>
  <si>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</si>
  <si>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</si>
  <si>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</si>
  <si>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</si>
  <si>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</si>
  <si>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</si>
  <si>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</si>
  <si>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</si>
  <si>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</si>
  <si>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</si>
  <si>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</si>
  <si>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</si>
  <si>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</si>
  <si>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</si>
  <si>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</si>
  <si>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</si>
  <si>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</si>
  <si>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</si>
  <si>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</si>
  <si>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</si>
  <si>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</si>
  <si>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</si>
  <si>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</si>
  <si>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</si>
  <si>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</si>
  <si>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</si>
  <si>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</si>
  <si>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</si>
  <si>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</si>
  <si>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</si>
  <si>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</si>
  <si>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</si>
  <si>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</si>
  <si>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</si>
  <si>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3" type="noConversion"/>
  </si>
  <si>
    <t>IPD / B-3_P21
227BAY PDP_B</t>
  </si>
  <si>
    <t>323B ODO -48VB
코위버 갬으 DURTKA#2</t>
    <phoneticPr fontId="13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</si>
  <si>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</si>
  <si>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</si>
  <si>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</si>
  <si>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</si>
  <si>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</si>
  <si>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</si>
  <si>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3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</si>
  <si>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</si>
  <si>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</si>
  <si>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3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</si>
  <si>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</si>
  <si>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</si>
  <si>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</si>
  <si>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</si>
  <si>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</si>
  <si>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</si>
  <si>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</si>
  <si>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</si>
  <si>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</si>
  <si>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</si>
  <si>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</si>
  <si>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</si>
  <si>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</si>
  <si>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</si>
  <si>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</si>
  <si>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</si>
  <si>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</si>
  <si>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3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</si>
  <si>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</si>
  <si>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</si>
  <si>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</si>
  <si>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</si>
  <si>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</si>
  <si>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</si>
  <si>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</si>
  <si>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</si>
  <si>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</si>
  <si>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3" type="noConversion"/>
  </si>
  <si>
    <t>35A</t>
    <phoneticPr fontId="13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</si>
  <si>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</si>
  <si>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</si>
  <si>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3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</si>
  <si>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</si>
  <si>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</si>
  <si>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</si>
  <si>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</si>
  <si>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</si>
  <si>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</si>
  <si>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</si>
  <si>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</si>
  <si>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</si>
  <si>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</si>
  <si>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</si>
  <si>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</si>
  <si>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</si>
  <si>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</si>
  <si>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</si>
  <si>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</si>
  <si>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</si>
  <si>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3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</si>
  <si>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</si>
  <si>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</si>
  <si>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</si>
  <si>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</si>
  <si>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</si>
  <si>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</si>
  <si>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</si>
  <si>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3" type="noConversion"/>
  </si>
  <si>
    <t>A-A1 BAY</t>
  </si>
  <si>
    <t>IPD/A-5 (구 IPD-B)</t>
    <phoneticPr fontId="13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</si>
  <si>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</si>
  <si>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</si>
  <si>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</si>
  <si>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</si>
  <si>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</si>
  <si>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</si>
  <si>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</si>
  <si>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</si>
  <si>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</si>
  <si>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</si>
  <si>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</si>
  <si>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</si>
  <si>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</si>
  <si>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</si>
  <si>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</si>
  <si>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</si>
  <si>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</si>
  <si>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</si>
  <si>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</si>
  <si>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</si>
  <si>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</si>
  <si>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</si>
  <si>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</si>
  <si>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</si>
  <si>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</si>
  <si>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</si>
  <si>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</si>
  <si>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</si>
  <si>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</si>
  <si>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</si>
  <si>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</si>
  <si>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</si>
  <si>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</si>
  <si>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</si>
  <si>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</si>
  <si>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</si>
  <si>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</si>
  <si>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</si>
  <si>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</si>
  <si>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</si>
  <si>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</si>
  <si>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</si>
  <si>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</si>
  <si>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</si>
  <si>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</si>
  <si>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</si>
  <si>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</si>
  <si>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</si>
  <si>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</si>
  <si>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</si>
  <si>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</si>
  <si>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</si>
  <si>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</si>
  <si>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</si>
  <si>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</si>
  <si>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</si>
  <si>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</si>
  <si>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</si>
  <si>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</si>
  <si>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</si>
  <si>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</si>
  <si>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</si>
  <si>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</si>
  <si>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</si>
  <si>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</si>
  <si>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</si>
  <si>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</si>
  <si>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</si>
  <si>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</si>
  <si>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</si>
  <si>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</si>
  <si>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</si>
  <si>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</si>
  <si>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</si>
  <si>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</si>
  <si>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</si>
  <si>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</si>
  <si>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</si>
  <si>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</si>
  <si>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</si>
  <si>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</si>
  <si>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3" type="noConversion"/>
  </si>
  <si>
    <t>F101</t>
  </si>
  <si>
    <t>F42</t>
  </si>
  <si>
    <t>IPD / A-5_P42
A-5 랙 장비_B(1)</t>
    <phoneticPr fontId="13" type="noConversion"/>
  </si>
  <si>
    <t>F102</t>
  </si>
  <si>
    <t>F43</t>
  </si>
  <si>
    <t>IPD / A-5_P43
A-5 랙 장비_B(2)</t>
    <phoneticPr fontId="13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</si>
  <si>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</si>
  <si>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</si>
  <si>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</si>
  <si>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</si>
  <si>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</si>
  <si>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</si>
  <si>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</si>
  <si>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</si>
  <si>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</si>
  <si>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</si>
  <si>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</si>
  <si>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</si>
  <si>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</si>
  <si>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</si>
  <si>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</si>
  <si>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</si>
  <si>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</si>
  <si>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</si>
  <si>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</si>
  <si>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</si>
  <si>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</si>
  <si>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</si>
  <si>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</si>
  <si>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</si>
  <si>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</si>
  <si>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</si>
  <si>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</si>
  <si>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</si>
  <si>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</si>
  <si>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</si>
  <si>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</si>
  <si>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</si>
  <si>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</si>
  <si>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</si>
  <si>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</si>
  <si>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</si>
  <si>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</si>
  <si>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</si>
  <si>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</si>
  <si>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3" type="noConversion"/>
  </si>
  <si>
    <t>400A</t>
  </si>
  <si>
    <t>IPD / B-5_P03
F-8 랙 PDP_A off상태</t>
    <phoneticPr fontId="13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</si>
  <si>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</si>
  <si>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</si>
  <si>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</si>
  <si>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</si>
  <si>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</si>
  <si>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</si>
  <si>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</si>
  <si>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</si>
  <si>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3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</si>
  <si>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</si>
  <si>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</si>
  <si>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</si>
  <si>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</si>
  <si>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</si>
  <si>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</si>
  <si>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</si>
  <si>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</si>
  <si>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</si>
  <si>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</si>
  <si>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</si>
  <si>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</si>
  <si>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</si>
  <si>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</si>
  <si>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</si>
  <si>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</si>
  <si>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</si>
  <si>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</si>
  <si>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</si>
  <si>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3" type="noConversion"/>
  </si>
  <si>
    <t>사용량</t>
    <phoneticPr fontId="13" type="noConversion"/>
  </si>
  <si>
    <t>전류</t>
    <phoneticPr fontId="13" type="noConversion"/>
  </si>
  <si>
    <t>점유율</t>
    <phoneticPr fontId="13" type="noConversion"/>
  </si>
  <si>
    <t>8F 전체 전력지침</t>
  </si>
  <si>
    <t>DEK 사용량</t>
    <phoneticPr fontId="13" type="noConversion"/>
  </si>
  <si>
    <t>SJT 모니터</t>
    <phoneticPr fontId="13" type="noConversion"/>
  </si>
  <si>
    <t>SJT Office</t>
    <phoneticPr fontId="13" type="noConversion"/>
  </si>
  <si>
    <t>SJT Server</t>
    <phoneticPr fontId="13" type="noConversion"/>
  </si>
  <si>
    <t>8월</t>
    <phoneticPr fontId="13" type="noConversion"/>
  </si>
  <si>
    <t>9월</t>
    <phoneticPr fontId="13" type="noConversion"/>
  </si>
  <si>
    <t>05</t>
  </si>
  <si>
    <t>07</t>
  </si>
  <si>
    <t>02</t>
  </si>
  <si>
    <t>02</t>
    <phoneticPr fontId="13" type="noConversion"/>
  </si>
  <si>
    <t>04</t>
  </si>
  <si>
    <t>04</t>
    <phoneticPr fontId="13" type="noConversion"/>
  </si>
  <si>
    <t>01</t>
  </si>
  <si>
    <t>01</t>
    <phoneticPr fontId="13" type="noConversion"/>
  </si>
  <si>
    <t>03</t>
  </si>
  <si>
    <t>03</t>
    <phoneticPr fontId="13" type="noConversion"/>
  </si>
  <si>
    <t>06</t>
  </si>
  <si>
    <t>06</t>
    <phoneticPr fontId="13" type="noConversion"/>
  </si>
  <si>
    <t>05</t>
    <phoneticPr fontId="13" type="noConversion"/>
  </si>
  <si>
    <t>08</t>
  </si>
  <si>
    <t>08</t>
    <phoneticPr fontId="13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</si>
  <si>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</si>
  <si>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</si>
  <si>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</si>
  <si>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</si>
  <si>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</si>
  <si>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</si>
  <si>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</si>
  <si>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</si>
  <si>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</si>
  <si>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</si>
  <si>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</si>
  <si>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</si>
  <si>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</si>
  <si>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</si>
  <si>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</si>
  <si>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</si>
  <si>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</si>
  <si>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</si>
  <si>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</si>
  <si>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</si>
  <si>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</si>
  <si>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</si>
  <si>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</si>
  <si>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</si>
  <si>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</si>
  <si>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</si>
  <si>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</si>
  <si>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</si>
  <si>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</si>
  <si>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</si>
  <si>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</si>
  <si>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</si>
  <si>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</si>
  <si>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</si>
  <si>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3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</si>
  <si>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</si>
  <si>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</si>
  <si>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</si>
  <si>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</si>
  <si>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</si>
  <si>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</si>
  <si>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</si>
  <si>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</si>
  <si>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</si>
  <si>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</si>
  <si>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</si>
  <si>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3" type="noConversion"/>
  </si>
  <si>
    <t>5-DaHall 1-EH-01</t>
    <phoneticPr fontId="13" type="noConversion"/>
  </si>
  <si>
    <t>7-DaHall 1-EH
(7층 가습기 Main)</t>
    <phoneticPr fontId="13" type="noConversion"/>
  </si>
  <si>
    <t>6-DaHall 1-EH
(6층 가습기 Main)</t>
    <phoneticPr fontId="13" type="noConversion"/>
  </si>
  <si>
    <t>5-DaHall 1-CRAC-16
보조 5F-2호기(구글)</t>
    <phoneticPr fontId="13" type="noConversion"/>
  </si>
  <si>
    <t>5-DaHall 1-CRAC-01
LG CRAC #01</t>
    <phoneticPr fontId="13" type="noConversion"/>
  </si>
  <si>
    <t>5-DaHall 1-CRAC-03
LG CRAC #03</t>
    <phoneticPr fontId="13" type="noConversion"/>
  </si>
  <si>
    <t>5-DaHall 1-CRAC-05
LG CRAC #05</t>
    <phoneticPr fontId="13" type="noConversion"/>
  </si>
  <si>
    <t>5-DaHall 1-CRAC-07
LG CRAC #07</t>
    <phoneticPr fontId="13" type="noConversion"/>
  </si>
  <si>
    <t>5-DaHall 1-CRAC-09
LG CRAC #09</t>
    <phoneticPr fontId="13" type="noConversion"/>
  </si>
  <si>
    <t>5-DaHall 1-CRAC-02
LG CRAC #02</t>
    <phoneticPr fontId="13" type="noConversion"/>
  </si>
  <si>
    <t>5-DaHall 1-CRAC-04
LG CRAC #04</t>
    <phoneticPr fontId="13" type="noConversion"/>
  </si>
  <si>
    <t>5-DaHall 1-CRAC-06
LG CRAC #06</t>
    <phoneticPr fontId="13" type="noConversion"/>
  </si>
  <si>
    <t>5-DaHall 1-CRAC-08
LG CRAC #08</t>
    <phoneticPr fontId="13" type="noConversion"/>
  </si>
  <si>
    <t>5-DaHall 1-CRAC-13
CF CRAC #01</t>
    <phoneticPr fontId="13" type="noConversion"/>
  </si>
  <si>
    <t>5-DaHall 1-EH
(5층 가습기 Main)</t>
    <phoneticPr fontId="13" type="noConversion"/>
  </si>
  <si>
    <t>4-DaHall 1-EH
(4층 가습기 Main)</t>
    <phoneticPr fontId="13" type="noConversion"/>
  </si>
  <si>
    <t>5-DaHall 1-CRAC-15
보조 5F-1호기(구글)</t>
    <phoneticPr fontId="13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</si>
  <si>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</si>
  <si>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</si>
  <si>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</si>
  <si>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</si>
  <si>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</si>
  <si>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</si>
  <si>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</si>
  <si>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</si>
  <si>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</si>
  <si>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</si>
  <si>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</si>
  <si>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</si>
  <si>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</si>
  <si>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</si>
  <si>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</si>
  <si>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</si>
  <si>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</si>
  <si>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</si>
  <si>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</si>
  <si>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</si>
  <si>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</si>
  <si>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</si>
  <si>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</si>
  <si>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</si>
  <si>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3" type="noConversion"/>
  </si>
  <si>
    <t>Device Name</t>
    <phoneticPr fontId="13" type="noConversion"/>
  </si>
  <si>
    <t>5-DaHall 1-PDU-05</t>
    <phoneticPr fontId="13" type="noConversion"/>
  </si>
  <si>
    <t>5-DaHall 1-PDU-07</t>
    <phoneticPr fontId="13" type="noConversion"/>
  </si>
  <si>
    <t>5-DaHall 1-PDU-09</t>
    <phoneticPr fontId="13" type="noConversion"/>
  </si>
  <si>
    <t>5-DaHall 1-PDU-11</t>
    <phoneticPr fontId="13" type="noConversion"/>
  </si>
  <si>
    <t>5-DaHall 1-PDU-13</t>
    <phoneticPr fontId="13" type="noConversion"/>
  </si>
  <si>
    <t>5-DaHall 1-PDU-15</t>
    <phoneticPr fontId="13" type="noConversion"/>
  </si>
  <si>
    <t>5-DaHall 1-PDU-17</t>
    <phoneticPr fontId="13" type="noConversion"/>
  </si>
  <si>
    <t>5-DaHall 1-PDU-19</t>
    <phoneticPr fontId="13" type="noConversion"/>
  </si>
  <si>
    <t>5-DaHall 1-PDU-21</t>
    <phoneticPr fontId="13" type="noConversion"/>
  </si>
  <si>
    <t>5-DaHall 1-PDU-04</t>
    <phoneticPr fontId="13" type="noConversion"/>
  </si>
  <si>
    <t>5-DaHall 1-PDU-06</t>
    <phoneticPr fontId="13" type="noConversion"/>
  </si>
  <si>
    <t>5-DaHall 1-PDU-08</t>
    <phoneticPr fontId="13" type="noConversion"/>
  </si>
  <si>
    <t>5-DaHall 1-PDU-10</t>
    <phoneticPr fontId="13" type="noConversion"/>
  </si>
  <si>
    <t>5-DaHall 1-PDU-12</t>
    <phoneticPr fontId="13" type="noConversion"/>
  </si>
  <si>
    <t>5-DaHall 1-PDU-14</t>
    <phoneticPr fontId="13" type="noConversion"/>
  </si>
  <si>
    <t>5-DaHall 1-PDU-16</t>
    <phoneticPr fontId="13" type="noConversion"/>
  </si>
  <si>
    <t>5-DaHall 1-PDU-18</t>
    <phoneticPr fontId="13" type="noConversion"/>
  </si>
  <si>
    <t>5-DaHall 1-PDU-20</t>
    <phoneticPr fontId="13" type="noConversion"/>
  </si>
  <si>
    <t>4-DaHall 1-PDU-03</t>
    <phoneticPr fontId="13" type="noConversion"/>
  </si>
  <si>
    <t>4-DaHall 1-PDU-05</t>
    <phoneticPr fontId="13" type="noConversion"/>
  </si>
  <si>
    <t>4-DaHall 1-PDU-07</t>
    <phoneticPr fontId="13" type="noConversion"/>
  </si>
  <si>
    <t>4-DaHall 1-PDU-09</t>
    <phoneticPr fontId="13" type="noConversion"/>
  </si>
  <si>
    <t>4-DaHall 1-PDU-04</t>
    <phoneticPr fontId="13" type="noConversion"/>
  </si>
  <si>
    <t>4-DaHall 1-PDU-06</t>
    <phoneticPr fontId="13" type="noConversion"/>
  </si>
  <si>
    <t>4-DaHall 1-PDU-08</t>
    <phoneticPr fontId="13" type="noConversion"/>
  </si>
  <si>
    <t>4-DaHall 1-PDU-10</t>
    <phoneticPr fontId="13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</si>
  <si>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</si>
  <si>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</si>
  <si>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</si>
  <si>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</si>
  <si>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</si>
  <si>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</si>
  <si>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</si>
  <si>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</si>
  <si>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</si>
  <si>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3" type="noConversion"/>
  </si>
  <si>
    <t>월간 사용전력량[kWh]</t>
    <phoneticPr fontId="13" type="noConversion"/>
  </si>
  <si>
    <t>kWh(전월유효전력량)</t>
    <phoneticPr fontId="13" type="noConversion"/>
  </si>
  <si>
    <t>4F</t>
    <phoneticPr fontId="13" type="noConversion"/>
  </si>
  <si>
    <t>5F</t>
    <phoneticPr fontId="13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</si>
  <si>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</si>
  <si>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</si>
  <si>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</si>
  <si>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</si>
  <si>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</si>
  <si>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</si>
  <si>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</si>
  <si>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</si>
  <si>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</si>
  <si>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3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</si>
  <si>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</si>
  <si>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</si>
  <si>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</si>
  <si>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</si>
  <si>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</si>
  <si>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</si>
  <si>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</si>
  <si>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</si>
  <si>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3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</si>
  <si>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</si>
  <si>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</si>
  <si>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</si>
  <si>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</si>
  <si>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</si>
  <si>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</si>
  <si>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</si>
  <si>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</si>
  <si>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3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</si>
  <si>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</si>
  <si>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</si>
  <si>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</si>
  <si>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</si>
  <si>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</si>
  <si>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</si>
  <si>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</si>
  <si>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</si>
  <si>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3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</si>
  <si>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</si>
  <si>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</si>
  <si>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</si>
  <si>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</si>
  <si>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</si>
  <si>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</si>
  <si>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</si>
  <si>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</si>
  <si>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3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</si>
  <si>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</si>
  <si>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</si>
  <si>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</si>
  <si>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</si>
  <si>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</si>
  <si>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</si>
  <si>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</si>
  <si>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</si>
  <si>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3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</si>
  <si>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</si>
  <si>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</si>
  <si>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</si>
  <si>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</si>
  <si>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</si>
  <si>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</si>
  <si>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</si>
  <si>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</si>
  <si>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3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</si>
  <si>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</si>
  <si>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</si>
  <si>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</si>
  <si>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</si>
  <si>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</si>
  <si>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</si>
  <si>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</si>
  <si>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</si>
  <si>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3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</si>
  <si>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</si>
  <si>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</si>
  <si>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</si>
  <si>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</si>
  <si>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</si>
  <si>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</si>
  <si>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</si>
  <si>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</si>
  <si>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</si>
  <si>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</si>
  <si>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</si>
  <si>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3" type="noConversion"/>
  </si>
  <si>
    <t>4-DaHall 1-PDU-09-02</t>
  </si>
  <si>
    <t>4-DaHall 1-PDU-09-03</t>
  </si>
  <si>
    <t>4-DaHall 1-PDU-10-01</t>
    <phoneticPr fontId="13" type="noConversion"/>
  </si>
  <si>
    <t>4-DaHall 1-PDU-10-02</t>
  </si>
  <si>
    <t>4-DaHall 1-PDU-10-03</t>
  </si>
  <si>
    <t>5-DaHall 1-PDU-01-01</t>
    <phoneticPr fontId="13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</si>
  <si>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</si>
  <si>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</si>
  <si>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</si>
  <si>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</si>
  <si>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</si>
  <si>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</si>
  <si>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</si>
  <si>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</si>
  <si>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</si>
  <si>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</si>
  <si>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</si>
  <si>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</si>
  <si>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</si>
  <si>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</si>
  <si>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</si>
  <si>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</si>
  <si>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</si>
  <si>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</si>
  <si>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</si>
  <si>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</si>
  <si>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</si>
  <si>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</si>
  <si>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</si>
  <si>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</si>
  <si>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</si>
  <si>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</si>
  <si>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</si>
  <si>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</si>
  <si>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</si>
  <si>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</si>
  <si>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</si>
  <si>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</si>
  <si>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</si>
  <si>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</si>
  <si>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</si>
  <si>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</si>
  <si>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</si>
  <si>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</si>
  <si>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</si>
  <si>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</si>
  <si>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</si>
  <si>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</si>
  <si>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</si>
  <si>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</si>
  <si>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</si>
  <si>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</si>
  <si>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</si>
  <si>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</si>
  <si>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</si>
  <si>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3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</si>
  <si>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</si>
  <si>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</si>
  <si>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</si>
  <si>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</si>
  <si>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</si>
  <si>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</si>
  <si>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</si>
  <si>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</si>
  <si>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</si>
  <si>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</si>
  <si>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</si>
  <si>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</si>
  <si>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</si>
  <si>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</si>
  <si>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</si>
  <si>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</si>
  <si>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</si>
  <si>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</si>
  <si>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</si>
  <si>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</si>
  <si>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</si>
  <si>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</si>
  <si>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</si>
  <si>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</si>
  <si>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</si>
  <si>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</si>
  <si>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</si>
  <si>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</si>
  <si>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</si>
  <si>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</si>
  <si>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</si>
  <si>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</si>
  <si>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</si>
  <si>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</si>
  <si>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</si>
  <si>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</si>
  <si>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</si>
  <si>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</si>
  <si>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</si>
  <si>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</si>
  <si>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</si>
  <si>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</si>
  <si>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</si>
  <si>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</si>
  <si>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</si>
  <si>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</si>
  <si>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</si>
  <si>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</si>
  <si>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</si>
  <si>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3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</si>
  <si>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</si>
  <si>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</si>
  <si>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</si>
  <si>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</si>
  <si>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</si>
  <si>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</si>
  <si>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</si>
  <si>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</si>
  <si>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</si>
  <si>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</si>
  <si>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</si>
  <si>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</si>
  <si>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</si>
  <si>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</si>
  <si>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</si>
  <si>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</si>
  <si>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</si>
  <si>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</si>
  <si>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</si>
  <si>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</si>
  <si>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</si>
  <si>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</si>
  <si>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</si>
  <si>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</si>
  <si>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</si>
  <si>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</si>
  <si>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</si>
  <si>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</si>
  <si>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</si>
  <si>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</si>
  <si>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</si>
  <si>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</si>
  <si>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</si>
  <si>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</si>
  <si>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</si>
  <si>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</si>
  <si>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</si>
  <si>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</si>
  <si>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</si>
  <si>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</si>
  <si>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</si>
  <si>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</si>
  <si>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</si>
  <si>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</si>
  <si>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</si>
  <si>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</si>
  <si>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</si>
  <si>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</si>
  <si>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</si>
  <si>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3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</si>
  <si>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</si>
  <si>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</si>
  <si>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</si>
  <si>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</si>
  <si>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</si>
  <si>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</si>
  <si>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</si>
  <si>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</si>
  <si>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</si>
  <si>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</si>
  <si>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</si>
  <si>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</si>
  <si>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</si>
  <si>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</si>
  <si>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</si>
  <si>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</si>
  <si>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</si>
  <si>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</si>
  <si>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</si>
  <si>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</si>
  <si>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</si>
  <si>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</si>
  <si>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</si>
  <si>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</si>
  <si>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</si>
  <si>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</si>
  <si>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</si>
  <si>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</si>
  <si>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</si>
  <si>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</si>
  <si>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</si>
  <si>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</si>
  <si>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</si>
  <si>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</si>
  <si>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</si>
  <si>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</si>
  <si>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</si>
  <si>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</si>
  <si>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</si>
  <si>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</si>
  <si>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</si>
  <si>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</si>
  <si>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</si>
  <si>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</si>
  <si>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</si>
  <si>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</si>
  <si>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</si>
  <si>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</si>
  <si>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</si>
  <si>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3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</si>
  <si>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</si>
  <si>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</si>
  <si>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</si>
  <si>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</si>
  <si>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</si>
  <si>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</si>
  <si>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</si>
  <si>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</si>
  <si>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</si>
  <si>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</si>
  <si>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</si>
  <si>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</si>
  <si>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</si>
  <si>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</si>
  <si>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</si>
  <si>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</si>
  <si>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</si>
  <si>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</si>
  <si>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</si>
  <si>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</si>
  <si>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</si>
  <si>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</si>
  <si>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</si>
  <si>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</si>
  <si>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</si>
  <si>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</si>
  <si>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</si>
  <si>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</si>
  <si>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</si>
  <si>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</si>
  <si>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</si>
  <si>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</si>
  <si>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</si>
  <si>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</si>
  <si>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</si>
  <si>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</si>
  <si>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</si>
  <si>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</si>
  <si>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</si>
  <si>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</si>
  <si>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</si>
  <si>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</si>
  <si>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</si>
  <si>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</si>
  <si>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</si>
  <si>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</si>
  <si>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</si>
  <si>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</si>
  <si>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</si>
  <si>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</si>
  <si>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</si>
  <si>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</si>
  <si>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</si>
  <si>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</si>
  <si>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</si>
  <si>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</si>
  <si>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</si>
  <si>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</si>
  <si>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</si>
  <si>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</si>
  <si>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</si>
  <si>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</si>
  <si>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</si>
  <si>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</si>
  <si>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</si>
  <si>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</si>
  <si>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</si>
  <si>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</si>
  <si>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</si>
  <si>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</si>
  <si>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</si>
  <si>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</si>
  <si>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</si>
  <si>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</si>
  <si>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</si>
  <si>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</si>
  <si>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</si>
  <si>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</si>
  <si>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</si>
  <si>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</si>
  <si>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</si>
  <si>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</si>
  <si>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</si>
  <si>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</si>
  <si>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</si>
  <si>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</si>
  <si>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</si>
  <si>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</si>
  <si>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</si>
  <si>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</si>
  <si>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</si>
  <si>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</si>
  <si>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</si>
  <si>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</si>
  <si>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</si>
  <si>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</si>
  <si>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</si>
  <si>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</si>
  <si>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</si>
  <si>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</si>
  <si>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</si>
  <si>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</si>
  <si>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</si>
  <si>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</si>
  <si>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</si>
  <si>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</si>
  <si>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</si>
  <si>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3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</si>
  <si>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</si>
  <si>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</si>
  <si>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</si>
  <si>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</si>
  <si>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</si>
  <si>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</si>
  <si>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</si>
  <si>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</si>
  <si>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</si>
  <si>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</si>
  <si>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</si>
  <si>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</si>
  <si>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</si>
  <si>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</si>
  <si>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</si>
  <si>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</si>
  <si>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</si>
  <si>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</si>
  <si>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</si>
  <si>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</si>
  <si>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</si>
  <si>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</si>
  <si>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</si>
  <si>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</si>
  <si>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</si>
  <si>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</si>
  <si>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</si>
  <si>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</si>
  <si>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</si>
  <si>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</si>
  <si>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</si>
  <si>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</si>
  <si>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</si>
  <si>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</si>
  <si>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</si>
  <si>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3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</si>
  <si>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</si>
  <si>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</si>
  <si>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</si>
  <si>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</si>
  <si>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</si>
  <si>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</si>
  <si>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</si>
  <si>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</si>
  <si>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</si>
  <si>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</si>
  <si>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</si>
  <si>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</si>
  <si>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</si>
  <si>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</si>
  <si>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</si>
  <si>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</si>
  <si>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</si>
  <si>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</si>
  <si>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</si>
  <si>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</si>
  <si>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</si>
  <si>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</si>
  <si>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</si>
  <si>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</si>
  <si>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</si>
  <si>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</si>
  <si>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</si>
  <si>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</si>
  <si>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</si>
  <si>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</si>
  <si>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</si>
  <si>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</si>
  <si>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</si>
  <si>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</si>
  <si>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</si>
  <si>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3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</si>
  <si>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</si>
  <si>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</si>
  <si>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</si>
  <si>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</si>
  <si>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</si>
  <si>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</si>
  <si>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</si>
  <si>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</si>
  <si>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</si>
  <si>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</si>
  <si>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</si>
  <si>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</si>
  <si>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</si>
  <si>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</si>
  <si>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</si>
  <si>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</si>
  <si>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</si>
  <si>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</si>
  <si>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</si>
  <si>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</si>
  <si>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</si>
  <si>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</si>
  <si>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</si>
  <si>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</si>
  <si>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</si>
  <si>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</si>
  <si>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</si>
  <si>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</si>
  <si>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</si>
  <si>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</si>
  <si>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</si>
  <si>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</si>
  <si>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</si>
  <si>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</si>
  <si>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</si>
  <si>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</si>
  <si>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</si>
  <si>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</si>
  <si>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</si>
  <si>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</si>
  <si>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</si>
  <si>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</si>
  <si>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</si>
  <si>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</si>
  <si>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</si>
  <si>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</si>
  <si>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</si>
  <si>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</si>
  <si>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</si>
  <si>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</si>
  <si>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</si>
  <si>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</si>
  <si>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</si>
  <si>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</si>
  <si>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</si>
  <si>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</si>
  <si>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</si>
  <si>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</si>
  <si>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</si>
  <si>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</si>
  <si>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</si>
  <si>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</si>
  <si>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</si>
  <si>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</si>
  <si>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</si>
  <si>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</si>
  <si>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</si>
  <si>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</si>
  <si>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</si>
  <si>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</si>
  <si>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</si>
  <si>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</si>
  <si>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</si>
  <si>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</si>
  <si>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</si>
  <si>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3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</si>
  <si>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</si>
  <si>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</si>
  <si>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</si>
  <si>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</si>
  <si>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</si>
  <si>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</si>
  <si>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</si>
  <si>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</si>
  <si>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</si>
  <si>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</si>
  <si>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</si>
  <si>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</si>
  <si>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</si>
  <si>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</si>
  <si>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</si>
  <si>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</si>
  <si>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</si>
  <si>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</si>
  <si>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</si>
  <si>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</si>
  <si>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</si>
  <si>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</si>
  <si>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</si>
  <si>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</si>
  <si>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</si>
  <si>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</si>
  <si>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</si>
  <si>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</si>
  <si>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</si>
  <si>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</si>
  <si>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</si>
  <si>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</si>
  <si>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</si>
  <si>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</si>
  <si>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</si>
  <si>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</si>
  <si>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</si>
  <si>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</si>
  <si>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</si>
  <si>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</si>
  <si>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</si>
  <si>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</si>
  <si>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</si>
  <si>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</si>
  <si>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</si>
  <si>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</si>
  <si>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</si>
  <si>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</si>
  <si>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</si>
  <si>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</si>
  <si>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</si>
  <si>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</si>
  <si>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</si>
  <si>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</si>
  <si>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</si>
  <si>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</si>
  <si>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</si>
  <si>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</si>
  <si>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</si>
  <si>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</si>
  <si>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</si>
  <si>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</si>
  <si>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</si>
  <si>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</si>
  <si>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</si>
  <si>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</si>
  <si>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</si>
  <si>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</si>
  <si>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</si>
  <si>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</si>
  <si>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</si>
  <si>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</si>
  <si>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</si>
  <si>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</si>
  <si>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</si>
  <si>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</si>
  <si>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</si>
  <si>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</si>
  <si>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</si>
  <si>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</si>
  <si>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</si>
  <si>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</si>
  <si>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</si>
  <si>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</si>
  <si>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</si>
  <si>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</si>
  <si>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</si>
  <si>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</si>
  <si>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</si>
  <si>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</si>
  <si>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</si>
  <si>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</si>
  <si>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</si>
  <si>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</si>
  <si>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</si>
  <si>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</si>
  <si>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</si>
  <si>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</si>
  <si>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</si>
  <si>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</si>
  <si>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</si>
  <si>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</si>
  <si>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</si>
  <si>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</si>
  <si>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</si>
  <si>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</si>
  <si>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</si>
  <si>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</si>
  <si>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</si>
  <si>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</si>
  <si>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</si>
  <si>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</si>
  <si>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</si>
  <si>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</si>
  <si>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</si>
  <si>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</si>
  <si>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</si>
  <si>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</si>
  <si>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</si>
  <si>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</si>
  <si>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</si>
  <si>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</si>
  <si>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</si>
  <si>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</si>
  <si>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</si>
  <si>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</si>
  <si>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</si>
  <si>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3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</si>
  <si>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</si>
  <si>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</si>
  <si>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</si>
  <si>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</si>
  <si>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</si>
  <si>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</si>
  <si>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</si>
  <si>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</si>
  <si>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</si>
  <si>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</si>
  <si>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</si>
  <si>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</si>
  <si>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</si>
  <si>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</si>
  <si>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</si>
  <si>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</si>
  <si>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</si>
  <si>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</si>
  <si>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</si>
  <si>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</si>
  <si>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</si>
  <si>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</si>
  <si>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</si>
  <si>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</si>
  <si>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</si>
  <si>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</si>
  <si>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</si>
  <si>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</si>
  <si>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</si>
  <si>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3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</si>
  <si>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</si>
  <si>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</si>
  <si>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</si>
  <si>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</si>
  <si>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</si>
  <si>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</si>
  <si>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</si>
  <si>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</si>
  <si>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</si>
  <si>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</si>
  <si>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</si>
  <si>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</si>
  <si>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</si>
  <si>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</si>
  <si>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</si>
  <si>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</si>
  <si>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</si>
  <si>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</si>
  <si>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</si>
  <si>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</si>
  <si>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</si>
  <si>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</si>
  <si>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</si>
  <si>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</si>
  <si>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</si>
  <si>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</si>
  <si>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</si>
  <si>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</si>
  <si>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</si>
  <si>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3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</si>
  <si>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</si>
  <si>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</si>
  <si>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</si>
  <si>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</si>
  <si>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</si>
  <si>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</si>
  <si>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</si>
  <si>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</si>
  <si>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</si>
  <si>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</si>
  <si>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</si>
  <si>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</si>
  <si>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</si>
  <si>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</si>
  <si>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</si>
  <si>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</si>
  <si>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</si>
  <si>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</si>
  <si>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</si>
  <si>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</si>
  <si>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</si>
  <si>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</si>
  <si>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</si>
  <si>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</si>
  <si>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</si>
  <si>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</si>
  <si>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</si>
  <si>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</si>
  <si>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</si>
  <si>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</si>
  <si>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</si>
  <si>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</si>
  <si>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</si>
  <si>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</si>
  <si>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</si>
  <si>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</si>
  <si>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</si>
  <si>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</si>
  <si>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</si>
  <si>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</si>
  <si>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</si>
  <si>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</si>
  <si>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</si>
  <si>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</si>
  <si>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</si>
  <si>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</si>
  <si>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</si>
  <si>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</si>
  <si>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</si>
  <si>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</si>
  <si>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</si>
  <si>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</si>
  <si>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</si>
  <si>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</si>
  <si>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</si>
  <si>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</si>
  <si>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</si>
  <si>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</si>
  <si>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</si>
  <si>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</si>
  <si>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</si>
  <si>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</si>
  <si>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</si>
  <si>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</si>
  <si>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</si>
  <si>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</si>
  <si>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</si>
  <si>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3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</si>
  <si>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</si>
  <si>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</si>
  <si>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</si>
  <si>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</si>
  <si>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</si>
  <si>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</si>
  <si>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</si>
  <si>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</si>
  <si>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</si>
  <si>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</si>
  <si>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</si>
  <si>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</si>
  <si>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</si>
  <si>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</si>
  <si>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</si>
  <si>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</si>
  <si>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</si>
  <si>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</si>
  <si>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</si>
  <si>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</si>
  <si>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</si>
  <si>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</si>
  <si>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</si>
  <si>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</si>
  <si>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</si>
  <si>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</si>
  <si>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</si>
  <si>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</si>
  <si>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</si>
  <si>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</si>
  <si>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</si>
  <si>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</si>
  <si>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</si>
  <si>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</si>
  <si>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</si>
  <si>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</si>
  <si>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</si>
  <si>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</si>
  <si>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</si>
  <si>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</si>
  <si>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</si>
  <si>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</si>
  <si>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</si>
  <si>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</si>
  <si>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</si>
  <si>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</si>
  <si>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</si>
  <si>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</si>
  <si>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</si>
  <si>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</si>
  <si>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</si>
  <si>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</si>
  <si>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</si>
  <si>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</si>
  <si>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</si>
  <si>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</si>
  <si>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</si>
  <si>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</si>
  <si>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</si>
  <si>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</si>
  <si>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</si>
  <si>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</si>
  <si>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</si>
  <si>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</si>
  <si>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</si>
  <si>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</si>
  <si>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</si>
  <si>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</si>
  <si>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</si>
  <si>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</si>
  <si>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</si>
  <si>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</si>
  <si>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</si>
  <si>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</si>
  <si>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</si>
  <si>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</si>
  <si>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</si>
  <si>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</si>
  <si>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</si>
  <si>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</si>
  <si>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</si>
  <si>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</si>
  <si>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</si>
  <si>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</si>
  <si>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</si>
  <si>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</si>
  <si>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</si>
  <si>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</si>
  <si>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</si>
  <si>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</si>
  <si>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</si>
  <si>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</si>
  <si>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</si>
  <si>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</si>
  <si>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</si>
  <si>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3" type="noConversion"/>
  </si>
  <si>
    <t>6-DaHall 1-PDU-01-01</t>
    <phoneticPr fontId="13" type="noConversion"/>
  </si>
  <si>
    <t>6-DaHall 1-PDU-02-01</t>
  </si>
  <si>
    <t>6-DaHall 1-PDU-03-01</t>
  </si>
  <si>
    <t>6-DaHall 1-PDU-04-01</t>
  </si>
  <si>
    <t>6F</t>
    <phoneticPr fontId="13" type="noConversion"/>
  </si>
  <si>
    <t>7F</t>
    <phoneticPr fontId="13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</si>
  <si>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</si>
  <si>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</si>
  <si>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</si>
  <si>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</si>
  <si>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</si>
  <si>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</si>
  <si>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</si>
  <si>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</si>
  <si>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</si>
  <si>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</si>
  <si>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</si>
  <si>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</si>
  <si>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</si>
  <si>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</si>
  <si>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</si>
  <si>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</si>
  <si>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</si>
  <si>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</si>
  <si>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</si>
  <si>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</si>
  <si>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</si>
  <si>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</si>
  <si>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</si>
  <si>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</si>
  <si>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</si>
  <si>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</si>
  <si>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</si>
  <si>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</si>
  <si>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</si>
  <si>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</si>
  <si>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</si>
  <si>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</si>
  <si>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</si>
  <si>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</si>
  <si>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</si>
  <si>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</si>
  <si>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</si>
  <si>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</si>
  <si>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</si>
  <si>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</si>
  <si>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</si>
  <si>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</si>
  <si>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</si>
  <si>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</si>
  <si>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</si>
  <si>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</si>
  <si>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</si>
  <si>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</si>
  <si>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</si>
  <si>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</si>
  <si>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</si>
  <si>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</si>
  <si>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</si>
  <si>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</si>
  <si>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</si>
  <si>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</si>
  <si>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</si>
  <si>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</si>
  <si>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</si>
  <si>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</si>
  <si>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</si>
  <si>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</si>
  <si>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</si>
  <si>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</si>
  <si>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</si>
  <si>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</si>
  <si>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</si>
  <si>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</si>
  <si>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</si>
  <si>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</si>
  <si>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</si>
  <si>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</si>
  <si>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</si>
  <si>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</si>
  <si>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</si>
  <si>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</si>
  <si>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</si>
  <si>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</si>
  <si>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</si>
  <si>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</si>
  <si>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</si>
  <si>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</si>
  <si>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</si>
  <si>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</si>
  <si>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</si>
  <si>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</si>
  <si>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</si>
  <si>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</si>
  <si>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</si>
  <si>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</si>
  <si>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</si>
  <si>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</si>
  <si>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</si>
  <si>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</si>
  <si>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</si>
  <si>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</si>
  <si>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</si>
  <si>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</si>
  <si>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</si>
  <si>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</si>
  <si>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</si>
  <si>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</si>
  <si>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</si>
  <si>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</si>
  <si>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</si>
  <si>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</si>
  <si>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</si>
  <si>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</si>
  <si>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</si>
  <si>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</si>
  <si>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</si>
  <si>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</si>
  <si>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</si>
  <si>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</si>
  <si>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</si>
  <si>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</si>
  <si>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</si>
  <si>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</si>
  <si>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</si>
  <si>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</si>
  <si>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</si>
  <si>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</si>
  <si>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</si>
  <si>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</si>
  <si>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</si>
  <si>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</si>
  <si>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</si>
  <si>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</si>
  <si>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</si>
  <si>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</si>
  <si>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</si>
  <si>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</si>
  <si>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</si>
  <si>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</si>
  <si>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</si>
  <si>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</si>
  <si>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</si>
  <si>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</si>
  <si>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</si>
  <si>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</si>
  <si>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</si>
  <si>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</si>
  <si>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</si>
  <si>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</si>
  <si>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</si>
  <si>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</si>
  <si>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</si>
  <si>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</si>
  <si>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</si>
  <si>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</si>
  <si>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</si>
  <si>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</si>
  <si>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</si>
  <si>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</si>
  <si>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</si>
  <si>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</si>
  <si>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</si>
  <si>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</si>
  <si>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</si>
  <si>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</si>
  <si>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</si>
  <si>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</si>
  <si>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</si>
  <si>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</si>
  <si>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</si>
  <si>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</si>
  <si>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</si>
  <si>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</si>
  <si>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</si>
  <si>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</si>
  <si>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</si>
  <si>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</si>
  <si>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</si>
  <si>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</si>
  <si>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</si>
  <si>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</si>
  <si>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</si>
  <si>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</si>
  <si>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</si>
  <si>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</si>
  <si>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</si>
  <si>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</si>
  <si>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</si>
  <si>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</si>
  <si>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</si>
  <si>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</si>
  <si>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</si>
  <si>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</si>
  <si>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</si>
  <si>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</si>
  <si>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</si>
  <si>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</si>
  <si>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</si>
  <si>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</si>
  <si>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</si>
  <si>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</si>
  <si>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3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</si>
  <si>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</si>
  <si>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</si>
  <si>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</si>
  <si>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</si>
  <si>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</si>
  <si>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</si>
  <si>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</si>
  <si>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</si>
  <si>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</si>
  <si>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</si>
  <si>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</si>
  <si>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</si>
  <si>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</si>
  <si>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</si>
  <si>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</si>
  <si>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</si>
  <si>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</si>
  <si>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</si>
  <si>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</si>
  <si>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</si>
  <si>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</si>
  <si>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</si>
  <si>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</si>
  <si>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</si>
  <si>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</si>
  <si>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</si>
  <si>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</si>
  <si>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</si>
  <si>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</si>
  <si>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</si>
  <si>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</si>
  <si>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</si>
  <si>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</si>
  <si>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</si>
  <si>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</si>
  <si>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</si>
  <si>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</si>
  <si>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</si>
  <si>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</si>
  <si>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</si>
  <si>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</si>
  <si>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</si>
  <si>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</si>
  <si>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</si>
  <si>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</si>
  <si>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</si>
  <si>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</si>
  <si>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</si>
  <si>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</si>
  <si>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</si>
  <si>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</si>
  <si>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</si>
  <si>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</si>
  <si>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</si>
  <si>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</si>
  <si>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</si>
  <si>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</si>
  <si>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</si>
  <si>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</si>
  <si>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</si>
  <si>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</si>
  <si>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</si>
  <si>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</si>
  <si>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</si>
  <si>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</si>
  <si>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</si>
  <si>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</si>
  <si>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</si>
  <si>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</si>
  <si>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</si>
  <si>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</si>
  <si>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</si>
  <si>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</si>
  <si>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</si>
  <si>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</si>
  <si>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</si>
  <si>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</si>
  <si>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</si>
  <si>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</si>
  <si>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</si>
  <si>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</si>
  <si>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</si>
  <si>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</si>
  <si>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</si>
  <si>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</si>
  <si>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</si>
  <si>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</si>
  <si>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</si>
  <si>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</si>
  <si>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</si>
  <si>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</si>
  <si>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</si>
  <si>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</si>
  <si>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</si>
  <si>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</si>
  <si>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</si>
  <si>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</si>
  <si>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</si>
  <si>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</si>
  <si>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</si>
  <si>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</si>
  <si>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</si>
  <si>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</si>
  <si>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</si>
  <si>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</si>
  <si>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</si>
  <si>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</si>
  <si>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</si>
  <si>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</si>
  <si>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</si>
  <si>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</si>
  <si>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</si>
  <si>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</si>
  <si>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</si>
  <si>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</si>
  <si>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</si>
  <si>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</si>
  <si>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</si>
  <si>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</si>
  <si>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</si>
  <si>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</si>
  <si>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</si>
  <si>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</si>
  <si>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</si>
  <si>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</si>
  <si>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</si>
  <si>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</si>
  <si>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</si>
  <si>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</si>
  <si>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</si>
  <si>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</si>
  <si>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</si>
  <si>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</si>
  <si>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</si>
  <si>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</si>
  <si>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</si>
  <si>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</si>
  <si>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</si>
  <si>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</si>
  <si>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</si>
  <si>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</si>
  <si>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</si>
  <si>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</si>
  <si>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</si>
  <si>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</si>
  <si>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</si>
  <si>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</si>
  <si>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</si>
  <si>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</si>
  <si>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</si>
  <si>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</si>
  <si>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</si>
  <si>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</si>
  <si>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</si>
  <si>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</si>
  <si>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</si>
  <si>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</si>
  <si>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</si>
  <si>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</si>
  <si>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</si>
  <si>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</si>
  <si>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</si>
  <si>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</si>
  <si>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</si>
  <si>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</si>
  <si>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</si>
  <si>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</si>
  <si>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</si>
  <si>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</si>
  <si>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</si>
  <si>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</si>
  <si>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</si>
  <si>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</si>
  <si>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</si>
  <si>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</si>
  <si>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</si>
  <si>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</si>
  <si>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</si>
  <si>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</si>
  <si>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</si>
  <si>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</si>
  <si>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</si>
  <si>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</si>
  <si>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</si>
  <si>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</si>
  <si>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</si>
  <si>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</si>
  <si>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</si>
  <si>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</si>
  <si>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</si>
  <si>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</si>
  <si>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</si>
  <si>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</si>
  <si>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</si>
  <si>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</si>
  <si>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</si>
  <si>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</si>
  <si>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</si>
  <si>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</si>
  <si>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</si>
  <si>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</si>
  <si>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</si>
  <si>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</si>
  <si>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</si>
  <si>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</si>
  <si>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</si>
  <si>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</si>
  <si>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</si>
  <si>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</si>
  <si>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</si>
  <si>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</si>
  <si>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</si>
  <si>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</si>
  <si>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</si>
  <si>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</si>
  <si>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3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</si>
  <si>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</si>
  <si>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</si>
  <si>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</si>
  <si>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</si>
  <si>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</si>
  <si>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</si>
  <si>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</si>
  <si>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</si>
  <si>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</si>
  <si>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</si>
  <si>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</si>
  <si>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</si>
  <si>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</si>
  <si>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</si>
  <si>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</si>
  <si>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</si>
  <si>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</si>
  <si>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</si>
  <si>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</si>
  <si>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</si>
  <si>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</si>
  <si>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</si>
  <si>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</si>
  <si>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</si>
  <si>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</si>
  <si>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</si>
  <si>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</si>
  <si>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</si>
  <si>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</si>
  <si>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</si>
  <si>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</si>
  <si>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</si>
  <si>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</si>
  <si>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</si>
  <si>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</si>
  <si>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</si>
  <si>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</si>
  <si>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</si>
  <si>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</si>
  <si>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</si>
  <si>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</si>
  <si>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</si>
  <si>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</si>
  <si>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</si>
  <si>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</si>
  <si>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</si>
  <si>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</si>
  <si>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</si>
  <si>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</si>
  <si>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</si>
  <si>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</si>
  <si>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</si>
  <si>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</si>
  <si>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</si>
  <si>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</si>
  <si>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</si>
  <si>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</si>
  <si>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</si>
  <si>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</si>
  <si>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</si>
  <si>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</si>
  <si>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</si>
  <si>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</si>
  <si>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</si>
  <si>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</si>
  <si>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</si>
  <si>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</si>
  <si>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</si>
  <si>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</si>
  <si>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</si>
  <si>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</si>
  <si>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</si>
  <si>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</si>
  <si>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</si>
  <si>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</si>
  <si>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</si>
  <si>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</si>
  <si>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</si>
  <si>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</si>
  <si>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</si>
  <si>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</si>
  <si>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</si>
  <si>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</si>
  <si>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</si>
  <si>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</si>
  <si>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</si>
  <si>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</si>
  <si>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</si>
  <si>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</si>
  <si>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</si>
  <si>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</si>
  <si>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</si>
  <si>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</si>
  <si>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</si>
  <si>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</si>
  <si>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</si>
  <si>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</si>
  <si>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</si>
  <si>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</si>
  <si>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</si>
  <si>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</si>
  <si>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</si>
  <si>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</si>
  <si>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</si>
  <si>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</si>
  <si>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</si>
  <si>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</si>
  <si>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</si>
  <si>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</si>
  <si>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</si>
  <si>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</si>
  <si>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</si>
  <si>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</si>
  <si>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</si>
  <si>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</si>
  <si>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</si>
  <si>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</si>
  <si>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</si>
  <si>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</si>
  <si>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</si>
  <si>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</si>
  <si>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</si>
  <si>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</si>
  <si>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</si>
  <si>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</si>
  <si>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</si>
  <si>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</si>
  <si>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</si>
  <si>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</si>
  <si>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</si>
  <si>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</si>
  <si>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</si>
  <si>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</si>
  <si>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</si>
  <si>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</si>
  <si>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</si>
  <si>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</si>
  <si>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</si>
  <si>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</si>
  <si>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</si>
  <si>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</si>
  <si>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</si>
  <si>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</si>
  <si>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</si>
  <si>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</si>
  <si>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</si>
  <si>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</si>
  <si>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</si>
  <si>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</si>
  <si>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</si>
  <si>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</si>
  <si>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</si>
  <si>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</si>
  <si>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</si>
  <si>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</si>
  <si>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</si>
  <si>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</si>
  <si>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</si>
  <si>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</si>
  <si>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</si>
  <si>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</si>
  <si>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</si>
  <si>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</si>
  <si>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</si>
  <si>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</si>
  <si>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</si>
  <si>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</si>
  <si>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</si>
  <si>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</si>
  <si>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</si>
  <si>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</si>
  <si>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</si>
  <si>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</si>
  <si>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</si>
  <si>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</si>
  <si>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</si>
  <si>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</si>
  <si>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</si>
  <si>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</si>
  <si>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</si>
  <si>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</si>
  <si>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</si>
  <si>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</si>
  <si>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</si>
  <si>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</si>
  <si>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</si>
  <si>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</si>
  <si>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</si>
  <si>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</si>
  <si>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</si>
  <si>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</si>
  <si>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</si>
  <si>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</si>
  <si>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</si>
  <si>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</si>
  <si>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</si>
  <si>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</si>
  <si>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</si>
  <si>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</si>
  <si>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3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</si>
  <si>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</si>
  <si>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</si>
  <si>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</si>
  <si>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</si>
  <si>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</si>
  <si>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</si>
  <si>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</si>
  <si>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</si>
  <si>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</si>
  <si>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</si>
  <si>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</si>
  <si>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</si>
  <si>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</si>
  <si>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</si>
  <si>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</si>
  <si>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</si>
  <si>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</si>
  <si>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</si>
  <si>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</si>
  <si>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</si>
  <si>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</si>
  <si>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</si>
  <si>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</si>
  <si>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</si>
  <si>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</si>
  <si>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</si>
  <si>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</si>
  <si>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</si>
  <si>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</si>
  <si>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</si>
  <si>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</si>
  <si>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</si>
  <si>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</si>
  <si>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</si>
  <si>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</si>
  <si>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</si>
  <si>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</si>
  <si>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</si>
  <si>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</si>
  <si>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</si>
  <si>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</si>
  <si>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</si>
  <si>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</si>
  <si>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</si>
  <si>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</si>
  <si>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</si>
  <si>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</si>
  <si>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</si>
  <si>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</si>
  <si>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</si>
  <si>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</si>
  <si>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</si>
  <si>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</si>
  <si>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3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</si>
  <si>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</si>
  <si>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</si>
  <si>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</si>
  <si>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</si>
  <si>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</si>
  <si>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</si>
  <si>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</si>
  <si>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</si>
  <si>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</si>
  <si>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</si>
  <si>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</si>
  <si>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</si>
  <si>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</si>
  <si>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</si>
  <si>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</si>
  <si>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</si>
  <si>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</si>
  <si>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</si>
  <si>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</si>
  <si>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</si>
  <si>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</si>
  <si>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</si>
  <si>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</si>
  <si>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</si>
  <si>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</si>
  <si>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</si>
  <si>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</si>
  <si>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</si>
  <si>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</si>
  <si>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</si>
  <si>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</si>
  <si>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</si>
  <si>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</si>
  <si>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</si>
  <si>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</si>
  <si>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</si>
  <si>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</si>
  <si>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</si>
  <si>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</si>
  <si>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</si>
  <si>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</si>
  <si>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</si>
  <si>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</si>
  <si>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</si>
  <si>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</si>
  <si>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</si>
  <si>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</si>
  <si>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</si>
  <si>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</si>
  <si>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</si>
  <si>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</si>
  <si>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</si>
  <si>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</si>
  <si>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</si>
  <si>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</si>
  <si>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</si>
  <si>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</si>
  <si>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</si>
  <si>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</si>
  <si>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</si>
  <si>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</si>
  <si>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</si>
  <si>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</si>
  <si>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</si>
  <si>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</si>
  <si>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</si>
  <si>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</si>
  <si>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</si>
  <si>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</si>
  <si>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</si>
  <si>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</si>
  <si>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</si>
  <si>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</si>
  <si>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</si>
  <si>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</si>
  <si>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</si>
  <si>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</si>
  <si>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</si>
  <si>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</si>
  <si>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</si>
  <si>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</si>
  <si>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</si>
  <si>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</si>
  <si>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</si>
  <si>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</si>
  <si>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</si>
  <si>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</si>
  <si>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</si>
  <si>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</si>
  <si>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</si>
  <si>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</si>
  <si>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</si>
  <si>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</si>
  <si>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</si>
  <si>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</si>
  <si>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</si>
  <si>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</si>
  <si>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</si>
  <si>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</si>
  <si>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</si>
  <si>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</si>
  <si>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</si>
  <si>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</si>
  <si>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</si>
  <si>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</si>
  <si>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</si>
  <si>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</si>
  <si>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</si>
  <si>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</si>
  <si>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</si>
  <si>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</si>
  <si>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</si>
  <si>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</si>
  <si>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</si>
  <si>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</si>
  <si>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</si>
  <si>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</si>
  <si>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</si>
  <si>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</si>
  <si>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</si>
  <si>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</si>
  <si>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</si>
  <si>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</si>
  <si>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</si>
  <si>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</si>
  <si>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</si>
  <si>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</si>
  <si>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</si>
  <si>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</si>
  <si>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</si>
  <si>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</si>
  <si>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</si>
  <si>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</si>
  <si>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</si>
  <si>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</si>
  <si>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</si>
  <si>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</si>
  <si>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</si>
  <si>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</si>
  <si>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</si>
  <si>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</si>
  <si>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</si>
  <si>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</si>
  <si>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</si>
  <si>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</si>
  <si>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</si>
  <si>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</si>
  <si>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</si>
  <si>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</si>
  <si>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</si>
  <si>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</si>
  <si>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</si>
  <si>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</si>
  <si>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</si>
  <si>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</si>
  <si>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</si>
  <si>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</si>
  <si>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</si>
  <si>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</si>
  <si>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</si>
  <si>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3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</si>
  <si>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</si>
  <si>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</si>
  <si>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</si>
  <si>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</si>
  <si>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</si>
  <si>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</si>
  <si>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</si>
  <si>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</si>
  <si>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</si>
  <si>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</si>
  <si>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</si>
  <si>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</si>
  <si>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</si>
  <si>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</si>
  <si>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</si>
  <si>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</si>
  <si>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</si>
  <si>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</si>
  <si>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</si>
  <si>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3" type="noConversion"/>
  </si>
  <si>
    <t>7-DaHall 1-RPP-01-01</t>
    <phoneticPr fontId="13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</si>
  <si>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</si>
  <si>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</si>
  <si>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</si>
  <si>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</si>
  <si>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</si>
  <si>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</si>
  <si>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</si>
  <si>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</si>
  <si>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</si>
  <si>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</si>
  <si>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</si>
  <si>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</si>
  <si>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</si>
  <si>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</si>
  <si>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</si>
  <si>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</si>
  <si>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</si>
  <si>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</si>
  <si>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</si>
  <si>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</si>
  <si>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</si>
  <si>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</si>
  <si>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</si>
  <si>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</si>
  <si>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</si>
  <si>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</si>
  <si>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</si>
  <si>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</si>
  <si>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</si>
  <si>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</si>
  <si>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</si>
  <si>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</si>
  <si>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</si>
  <si>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</si>
  <si>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</si>
  <si>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</si>
  <si>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</si>
  <si>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</si>
  <si>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</si>
  <si>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</si>
  <si>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</si>
  <si>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</si>
  <si>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</si>
  <si>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</si>
  <si>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</si>
  <si>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</si>
  <si>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</si>
  <si>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</si>
  <si>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</si>
  <si>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</si>
  <si>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</si>
  <si>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</si>
  <si>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</si>
  <si>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</si>
  <si>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</si>
  <si>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</si>
  <si>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</si>
  <si>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</si>
  <si>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</si>
  <si>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</si>
  <si>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</si>
  <si>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</si>
  <si>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</si>
  <si>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</si>
  <si>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</si>
  <si>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</si>
  <si>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</si>
  <si>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</si>
  <si>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</si>
  <si>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</si>
  <si>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</si>
  <si>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</si>
  <si>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</si>
  <si>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</si>
  <si>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</si>
  <si>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</si>
  <si>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</si>
  <si>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</si>
  <si>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</si>
  <si>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3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</si>
  <si>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</si>
  <si>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</si>
  <si>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</si>
  <si>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</si>
  <si>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</si>
  <si>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</si>
  <si>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</si>
  <si>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</si>
  <si>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</si>
  <si>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</si>
  <si>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</si>
  <si>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</si>
  <si>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</si>
  <si>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</si>
  <si>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</si>
  <si>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</si>
  <si>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</si>
  <si>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</si>
  <si>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</si>
  <si>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</si>
  <si>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</si>
  <si>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</si>
  <si>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</si>
  <si>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</si>
  <si>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</si>
  <si>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</si>
  <si>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3" type="noConversion"/>
  </si>
  <si>
    <t>[branch#001] [A] current</t>
  </si>
  <si>
    <t>[branch#001] [A] current</t>
    <phoneticPr fontId="13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</si>
  <si>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</si>
  <si>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</si>
  <si>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</si>
  <si>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</si>
  <si>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</si>
  <si>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</si>
  <si>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</si>
  <si>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</si>
  <si>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</si>
  <si>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</si>
  <si>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</si>
  <si>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</si>
  <si>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</si>
  <si>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</si>
  <si>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</si>
  <si>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</si>
  <si>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</si>
  <si>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</si>
  <si>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</si>
  <si>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</si>
  <si>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</si>
  <si>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</si>
  <si>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</si>
  <si>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</si>
  <si>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</si>
  <si>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</si>
  <si>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</si>
  <si>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</si>
  <si>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</si>
  <si>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</si>
  <si>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</si>
  <si>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</si>
  <si>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</si>
  <si>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</si>
  <si>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</si>
  <si>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</si>
  <si>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</si>
  <si>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</si>
  <si>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</si>
  <si>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</si>
  <si>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</si>
  <si>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</si>
  <si>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</si>
  <si>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</si>
  <si>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</si>
  <si>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</si>
  <si>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</si>
  <si>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</si>
  <si>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</si>
  <si>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</si>
  <si>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</si>
  <si>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</si>
  <si>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</si>
  <si>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3" type="noConversion"/>
  </si>
  <si>
    <t>PDU : 7-DaHall 1-PDU-02</t>
    <phoneticPr fontId="13" type="noConversion"/>
  </si>
  <si>
    <t>PDU : 7-DaHall 1-PDU-01</t>
    <phoneticPr fontId="13" type="noConversion"/>
  </si>
  <si>
    <t>PDU : 7-DaHall 1-RPP-02</t>
    <phoneticPr fontId="13" type="noConversion"/>
  </si>
  <si>
    <t>PDU : 7-DaHall 1-RPP-03</t>
    <phoneticPr fontId="13" type="noConversion"/>
  </si>
  <si>
    <t>PDU : 7-DaHall 1-PDU-03</t>
    <phoneticPr fontId="13" type="noConversion"/>
  </si>
  <si>
    <t>PDU : 7-DaHall 1-PDU-04</t>
    <phoneticPr fontId="13" type="noConversion"/>
  </si>
  <si>
    <t>PDU : 7-DaHall 1-RPP-04</t>
    <phoneticPr fontId="13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</si>
  <si>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</si>
  <si>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</si>
  <si>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</si>
  <si>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</si>
  <si>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</si>
  <si>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</si>
  <si>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</si>
  <si>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</si>
  <si>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</si>
  <si>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</si>
  <si>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</si>
  <si>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</si>
  <si>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</si>
  <si>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</si>
  <si>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</si>
  <si>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</si>
  <si>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</si>
  <si>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</si>
  <si>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</si>
  <si>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</si>
  <si>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</si>
  <si>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</si>
  <si>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</si>
  <si>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</si>
  <si>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</si>
  <si>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</si>
  <si>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</si>
  <si>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</si>
  <si>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</si>
  <si>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</si>
  <si>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</si>
  <si>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</si>
  <si>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</si>
  <si>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</si>
  <si>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</si>
  <si>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</si>
  <si>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</si>
  <si>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</si>
  <si>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</si>
  <si>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</si>
  <si>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</si>
  <si>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</si>
  <si>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</si>
  <si>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</si>
  <si>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</si>
  <si>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</si>
  <si>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</si>
  <si>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</si>
  <si>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</si>
  <si>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</si>
  <si>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</si>
  <si>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</si>
  <si>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</si>
  <si>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</si>
  <si>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</si>
  <si>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</si>
  <si>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</si>
  <si>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</si>
  <si>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</si>
  <si>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</si>
  <si>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</si>
  <si>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3" type="noConversion"/>
  </si>
  <si>
    <t>[branch#001] [S] I2</t>
  </si>
  <si>
    <t>[branch#001] [S] I2</t>
    <phoneticPr fontId="13" type="noConversion"/>
  </si>
  <si>
    <t>[branch#001] [T] I3</t>
  </si>
  <si>
    <t>[branch#001] [T] I3</t>
    <phoneticPr fontId="13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</si>
  <si>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</si>
  <si>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</si>
  <si>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</si>
  <si>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</si>
  <si>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</si>
  <si>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</si>
  <si>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</si>
  <si>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</si>
  <si>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</si>
  <si>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</si>
  <si>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</si>
  <si>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</si>
  <si>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</si>
  <si>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</si>
  <si>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</si>
  <si>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</si>
  <si>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</si>
  <si>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</si>
  <si>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</si>
  <si>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</si>
  <si>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</si>
  <si>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</si>
  <si>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</si>
  <si>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</si>
  <si>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</si>
  <si>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</si>
  <si>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</si>
  <si>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</si>
  <si>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</si>
  <si>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</si>
  <si>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3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</si>
  <si>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</si>
  <si>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</si>
  <si>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</si>
  <si>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</si>
  <si>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</si>
  <si>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</si>
  <si>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</si>
  <si>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</si>
  <si>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</si>
  <si>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</si>
  <si>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</si>
  <si>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</si>
  <si>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</si>
  <si>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</si>
  <si>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</si>
  <si>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</si>
  <si>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3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</si>
  <si>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</si>
  <si>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</si>
  <si>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</si>
  <si>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</si>
  <si>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</si>
  <si>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3" type="noConversion"/>
  </si>
  <si>
    <t>[branch#012] [S] I2</t>
    <phoneticPr fontId="13" type="noConversion"/>
  </si>
  <si>
    <t>[branch#012] [T] I3</t>
    <phoneticPr fontId="13" type="noConversion"/>
  </si>
  <si>
    <t>5-DaHall 1-CEP-05-01</t>
    <phoneticPr fontId="13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</si>
  <si>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</si>
  <si>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</si>
  <si>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</si>
  <si>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</si>
  <si>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</si>
  <si>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</si>
  <si>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</si>
  <si>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</si>
  <si>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</si>
  <si>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</si>
  <si>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</si>
  <si>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</si>
  <si>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</si>
  <si>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</si>
  <si>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</si>
  <si>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</si>
  <si>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</si>
  <si>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3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</si>
  <si>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</si>
  <si>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</si>
  <si>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</si>
  <si>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</si>
  <si>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</si>
  <si>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</si>
  <si>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</si>
  <si>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</si>
  <si>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</si>
  <si>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</si>
  <si>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</si>
  <si>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</si>
  <si>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3" type="noConversion"/>
  </si>
  <si>
    <t xml:space="preserve">0230 [branch#01] [S] I2 </t>
    <phoneticPr fontId="13" type="noConversion"/>
  </si>
  <si>
    <t xml:space="preserve">0255 [branch#01] [T] I3 </t>
    <phoneticPr fontId="13" type="noConversion"/>
  </si>
  <si>
    <t>포인트명</t>
    <phoneticPr fontId="13" type="noConversion"/>
  </si>
  <si>
    <t>장비명</t>
    <phoneticPr fontId="13" type="noConversion"/>
  </si>
  <si>
    <t>분기번호</t>
    <phoneticPr fontId="13" type="noConversion"/>
  </si>
  <si>
    <t>MIN</t>
    <phoneticPr fontId="13" type="noConversion"/>
  </si>
  <si>
    <t>MAX</t>
    <phoneticPr fontId="13" type="noConversion"/>
  </si>
  <si>
    <t>AVG</t>
    <phoneticPr fontId="13" type="noConversion"/>
  </si>
  <si>
    <t>월 평균 전류</t>
    <phoneticPr fontId="13" type="noConversion"/>
  </si>
  <si>
    <t>월 유효전력량</t>
    <phoneticPr fontId="13" type="noConversion"/>
  </si>
  <si>
    <t>5층 랙별 전기공급계통</t>
  </si>
  <si>
    <t>R5-4</t>
    <phoneticPr fontId="13" type="noConversion"/>
  </si>
  <si>
    <t>'23.11.10 준비완료</t>
    <phoneticPr fontId="13" type="noConversion"/>
  </si>
  <si>
    <t>R3-4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</si>
  <si>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3" type="noConversion"/>
  </si>
  <si>
    <t>RTX Rack#4 / R1-4-1</t>
    <phoneticPr fontId="13" type="noConversion"/>
  </si>
  <si>
    <t>RTX Rack#4 / R1-4-2</t>
    <phoneticPr fontId="13" type="noConversion"/>
  </si>
  <si>
    <t>'23.12.05 투입</t>
    <phoneticPr fontId="13" type="noConversion"/>
  </si>
  <si>
    <t>RTX Rack#4 / R1-4-3</t>
    <phoneticPr fontId="13" type="noConversion"/>
  </si>
  <si>
    <t>RTX Rack#4 / R1-4-4</t>
    <phoneticPr fontId="13" type="noConversion"/>
  </si>
  <si>
    <t>별도 측정 필요</t>
    <phoneticPr fontId="13" type="noConversion"/>
  </si>
  <si>
    <t>별도 측정 필요</t>
  </si>
  <si>
    <t>DEK차단기명칭</t>
    <phoneticPr fontId="13" type="noConversion"/>
  </si>
  <si>
    <t>DEK차단기명칭 (NEW)</t>
    <phoneticPr fontId="13" type="noConversion"/>
  </si>
  <si>
    <t>계측값</t>
    <phoneticPr fontId="13" type="noConversion"/>
  </si>
  <si>
    <t>구분</t>
    <phoneticPr fontId="13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</si>
  <si>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</si>
  <si>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</si>
  <si>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</si>
  <si>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</si>
  <si>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</si>
  <si>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</si>
  <si>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3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</si>
  <si>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</si>
  <si>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</si>
  <si>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</si>
  <si>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</si>
  <si>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</si>
  <si>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</si>
  <si>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</si>
  <si>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</si>
  <si>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</si>
  <si>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</si>
  <si>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</si>
  <si>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</si>
  <si>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</si>
  <si>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</si>
  <si>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</si>
  <si>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</si>
  <si>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</si>
  <si>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</si>
  <si>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</si>
  <si>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</si>
  <si>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</si>
  <si>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</si>
  <si>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</si>
  <si>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</si>
  <si>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</si>
  <si>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</si>
  <si>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</si>
  <si>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</si>
  <si>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</si>
  <si>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</si>
  <si>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</si>
  <si>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</si>
  <si>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</si>
  <si>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</si>
  <si>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</si>
  <si>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</si>
  <si>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</si>
  <si>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</si>
  <si>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</si>
  <si>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</si>
  <si>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</si>
  <si>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</si>
  <si>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</si>
  <si>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</si>
  <si>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</si>
  <si>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</si>
  <si>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</si>
  <si>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</si>
  <si>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</si>
  <si>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</si>
  <si>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</si>
  <si>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</si>
  <si>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</si>
  <si>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</si>
  <si>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</si>
  <si>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</si>
  <si>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</si>
  <si>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</si>
  <si>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</si>
  <si>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</si>
  <si>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</si>
  <si>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</si>
  <si>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</si>
  <si>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</si>
  <si>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</si>
  <si>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</si>
  <si>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</si>
  <si>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</si>
  <si>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</si>
  <si>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</si>
  <si>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</si>
  <si>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</si>
  <si>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</si>
  <si>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</si>
  <si>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</si>
  <si>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</si>
  <si>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</si>
  <si>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</si>
  <si>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</si>
  <si>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</si>
  <si>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</si>
  <si>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</si>
  <si>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</si>
  <si>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</si>
  <si>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</si>
  <si>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</si>
  <si>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</si>
  <si>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</si>
  <si>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</si>
  <si>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</si>
  <si>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</si>
  <si>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</si>
  <si>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</si>
  <si>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</si>
  <si>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</si>
  <si>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</si>
  <si>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</si>
  <si>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</si>
  <si>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</si>
  <si>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</si>
  <si>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</si>
  <si>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</si>
  <si>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</si>
  <si>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</si>
  <si>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</si>
  <si>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</si>
  <si>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</si>
  <si>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</si>
  <si>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</si>
  <si>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</si>
  <si>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</si>
  <si>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</si>
  <si>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</si>
  <si>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</si>
  <si>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</si>
  <si>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</si>
  <si>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</si>
  <si>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</si>
  <si>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</si>
  <si>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</si>
  <si>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</si>
  <si>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</si>
  <si>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</si>
  <si>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</si>
  <si>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</si>
  <si>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</si>
  <si>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</si>
  <si>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</si>
  <si>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</si>
  <si>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</si>
  <si>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</si>
  <si>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</si>
  <si>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</si>
  <si>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</si>
  <si>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</si>
  <si>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</si>
  <si>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</si>
  <si>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</si>
  <si>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</si>
  <si>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</si>
  <si>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</si>
  <si>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</si>
  <si>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</si>
  <si>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</si>
  <si>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</si>
  <si>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</si>
  <si>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</si>
  <si>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</si>
  <si>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</si>
  <si>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</si>
  <si>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</si>
  <si>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</si>
  <si>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</si>
  <si>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</si>
  <si>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</si>
  <si>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</si>
  <si>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</si>
  <si>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</si>
  <si>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</si>
  <si>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</si>
  <si>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</si>
  <si>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</si>
  <si>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</si>
  <si>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</si>
  <si>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</si>
  <si>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</si>
  <si>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</si>
  <si>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</si>
  <si>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</si>
  <si>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</si>
  <si>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</si>
  <si>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</si>
  <si>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</si>
  <si>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</si>
  <si>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</si>
  <si>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</si>
  <si>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</si>
  <si>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</si>
  <si>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</si>
  <si>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</si>
  <si>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</si>
  <si>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</si>
  <si>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</si>
  <si>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</si>
  <si>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</si>
  <si>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</si>
  <si>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</si>
  <si>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</si>
  <si>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</si>
  <si>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</si>
  <si>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</si>
  <si>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</si>
  <si>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</si>
  <si>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</si>
  <si>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</si>
  <si>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</si>
  <si>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</si>
  <si>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</si>
  <si>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</si>
  <si>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</si>
  <si>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</si>
  <si>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</si>
  <si>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</si>
  <si>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</si>
  <si>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</si>
  <si>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</si>
  <si>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</si>
  <si>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</si>
  <si>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</si>
  <si>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</si>
  <si>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</si>
  <si>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</si>
  <si>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</si>
  <si>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</si>
  <si>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</si>
  <si>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</si>
  <si>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</si>
  <si>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</si>
  <si>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</si>
  <si>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</si>
  <si>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</si>
  <si>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</si>
  <si>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</si>
  <si>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</si>
  <si>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</si>
  <si>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</si>
  <si>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</si>
  <si>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</si>
  <si>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</si>
  <si>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</si>
  <si>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</si>
  <si>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</si>
  <si>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</si>
  <si>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</si>
  <si>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</si>
  <si>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</si>
  <si>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</si>
  <si>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</si>
  <si>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</si>
  <si>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</si>
  <si>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</si>
  <si>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</si>
  <si>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</si>
  <si>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</si>
  <si>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</si>
  <si>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</si>
  <si>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</si>
  <si>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</si>
  <si>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</si>
  <si>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</si>
  <si>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</si>
  <si>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</si>
  <si>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</si>
  <si>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</si>
  <si>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</si>
  <si>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</si>
  <si>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</si>
  <si>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</si>
  <si>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</si>
  <si>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</si>
  <si>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</si>
  <si>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</si>
  <si>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</si>
  <si>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</si>
  <si>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</si>
  <si>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</si>
  <si>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</si>
  <si>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</si>
  <si>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</si>
  <si>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</si>
  <si>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</si>
  <si>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</si>
  <si>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</si>
  <si>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</si>
  <si>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</si>
  <si>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</si>
  <si>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</si>
  <si>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</si>
  <si>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</si>
  <si>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</si>
  <si>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</si>
  <si>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</si>
  <si>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</si>
  <si>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</si>
  <si>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</si>
  <si>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</si>
  <si>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</si>
  <si>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</si>
  <si>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</si>
  <si>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</si>
  <si>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</si>
  <si>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</si>
  <si>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</si>
  <si>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</si>
  <si>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</si>
  <si>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</si>
  <si>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</si>
  <si>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</si>
  <si>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</si>
  <si>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</si>
  <si>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</si>
  <si>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</si>
  <si>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</si>
  <si>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</si>
  <si>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</si>
  <si>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</si>
  <si>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</si>
  <si>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</si>
  <si>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</si>
  <si>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</si>
  <si>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</si>
  <si>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</si>
  <si>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</si>
  <si>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</si>
  <si>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</si>
  <si>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</si>
  <si>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</si>
  <si>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3" type="noConversion"/>
  </si>
  <si>
    <t>UPS A1-26 / 2P 30A</t>
  </si>
  <si>
    <t>2023.11.06 설치 (패더IT)</t>
    <phoneticPr fontId="13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</si>
  <si>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</si>
  <si>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</si>
  <si>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</si>
  <si>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</si>
  <si>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</si>
  <si>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</si>
  <si>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</si>
  <si>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</si>
  <si>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</si>
  <si>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</si>
  <si>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</si>
  <si>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</si>
  <si>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</si>
  <si>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</si>
  <si>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</si>
  <si>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</si>
  <si>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</si>
  <si>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</si>
  <si>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</si>
  <si>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</si>
  <si>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</si>
  <si>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</si>
  <si>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</si>
  <si>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</si>
  <si>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</si>
  <si>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</si>
  <si>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</si>
  <si>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</si>
  <si>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</si>
  <si>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</si>
  <si>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</si>
  <si>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</si>
  <si>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</si>
  <si>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</si>
  <si>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</si>
  <si>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</si>
  <si>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</si>
  <si>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</si>
  <si>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</si>
  <si>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</si>
  <si>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</si>
  <si>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</si>
  <si>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</si>
  <si>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</si>
  <si>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</si>
  <si>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</si>
  <si>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</si>
  <si>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</si>
  <si>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</si>
  <si>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</si>
  <si>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</si>
  <si>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</si>
  <si>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</si>
  <si>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</si>
  <si>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</si>
  <si>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</si>
  <si>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</si>
  <si>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</si>
  <si>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</si>
  <si>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</si>
  <si>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</si>
  <si>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</si>
  <si>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</si>
  <si>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</si>
  <si>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</si>
  <si>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</si>
  <si>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</si>
  <si>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</si>
  <si>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</si>
  <si>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</si>
  <si>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</si>
  <si>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</si>
  <si>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</si>
  <si>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</si>
  <si>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</si>
  <si>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</si>
  <si>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</si>
  <si>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</si>
  <si>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</si>
  <si>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</si>
  <si>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</si>
  <si>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</si>
  <si>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</si>
  <si>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</si>
  <si>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</si>
  <si>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</si>
  <si>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</si>
  <si>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</si>
  <si>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</si>
  <si>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</si>
  <si>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</si>
  <si>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</si>
  <si>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</si>
  <si>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</si>
  <si>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</si>
  <si>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</si>
  <si>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</si>
  <si>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</si>
  <si>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</si>
  <si>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</si>
  <si>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</si>
  <si>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</si>
  <si>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</si>
  <si>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</si>
  <si>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</si>
  <si>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</si>
  <si>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</si>
  <si>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</si>
  <si>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</si>
  <si>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</si>
  <si>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</si>
  <si>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</si>
  <si>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</si>
  <si>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</si>
  <si>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</si>
  <si>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</si>
  <si>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</si>
  <si>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</si>
  <si>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</si>
  <si>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</si>
  <si>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</si>
  <si>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</si>
  <si>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</si>
  <si>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</si>
  <si>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</si>
  <si>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</si>
  <si>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</si>
  <si>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</si>
  <si>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</si>
  <si>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</si>
  <si>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</si>
  <si>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</si>
  <si>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</si>
  <si>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</si>
  <si>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</si>
  <si>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</si>
  <si>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</si>
  <si>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</si>
  <si>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</si>
  <si>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</si>
  <si>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</si>
  <si>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</si>
  <si>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</si>
  <si>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</si>
  <si>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</si>
  <si>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3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</si>
  <si>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</si>
  <si>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</si>
  <si>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</si>
  <si>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</si>
  <si>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</si>
  <si>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</si>
  <si>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</si>
  <si>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</si>
  <si>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</si>
  <si>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</si>
  <si>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</si>
  <si>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</si>
  <si>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</si>
  <si>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</si>
  <si>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3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</si>
  <si>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</si>
  <si>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</si>
  <si>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</si>
  <si>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</si>
  <si>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</si>
  <si>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</si>
  <si>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</si>
  <si>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</si>
  <si>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</si>
  <si>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</si>
  <si>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</si>
  <si>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</si>
  <si>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</si>
  <si>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</si>
  <si>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</si>
  <si>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</si>
  <si>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</si>
  <si>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</si>
  <si>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</si>
  <si>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</si>
  <si>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</si>
  <si>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3" type="noConversion"/>
  </si>
  <si>
    <t>Sejong Telecom Inc.('23.10.12 투입)</t>
    <phoneticPr fontId="13" type="noConversion"/>
  </si>
  <si>
    <t>Digital Edge</t>
    <phoneticPr fontId="13" type="noConversion"/>
  </si>
  <si>
    <t>Shinhan financial Investment</t>
    <phoneticPr fontId="13" type="noConversion"/>
  </si>
  <si>
    <t>Quad Miner</t>
    <phoneticPr fontId="13" type="noConversion"/>
  </si>
  <si>
    <t>CARANG</t>
  </si>
  <si>
    <t>Delphicom Co., Ltd.</t>
  </si>
  <si>
    <t>Feather-IT</t>
    <phoneticPr fontId="13" type="noConversion"/>
  </si>
  <si>
    <t>eBID</t>
    <phoneticPr fontId="13" type="noConversion"/>
  </si>
  <si>
    <t>Exanet</t>
  </si>
  <si>
    <t>Net People Co., Ltd.</t>
  </si>
  <si>
    <t>Needs Telecom</t>
    <phoneticPr fontId="13" type="noConversion"/>
  </si>
  <si>
    <t>NTT KOREA Co., Ltd.</t>
    <phoneticPr fontId="13" type="noConversion"/>
  </si>
  <si>
    <t>UNSYS Co., Ltd.</t>
    <phoneticPr fontId="13" type="noConversion"/>
  </si>
  <si>
    <t>IT Train</t>
    <phoneticPr fontId="13" type="noConversion"/>
  </si>
  <si>
    <t>LG Hello Vision Co., Ltd.</t>
    <phoneticPr fontId="13" type="noConversion"/>
  </si>
  <si>
    <t>계약용량</t>
    <phoneticPr fontId="13" type="noConversion"/>
  </si>
  <si>
    <t>kW</t>
    <phoneticPr fontId="13" type="noConversion"/>
  </si>
  <si>
    <t>시간당 전력량</t>
    <phoneticPr fontId="13" type="noConversion"/>
  </si>
  <si>
    <t>남은 전력량</t>
    <phoneticPr fontId="13" type="noConversion"/>
  </si>
  <si>
    <t>전력초과여부</t>
    <phoneticPr fontId="13" type="noConversion"/>
  </si>
  <si>
    <t>사용초과 고객 수</t>
    <phoneticPr fontId="13" type="noConversion"/>
  </si>
  <si>
    <t>적정함</t>
    <phoneticPr fontId="13" type="noConversion"/>
  </si>
  <si>
    <t>무부하 랙</t>
    <phoneticPr fontId="13" type="noConversion"/>
  </si>
  <si>
    <t>미사용 랙</t>
    <phoneticPr fontId="13" type="noConversion"/>
  </si>
  <si>
    <t>고객사명 입력↓</t>
    <phoneticPr fontId="33" type="noConversion"/>
  </si>
  <si>
    <t>총 계약용량</t>
    <phoneticPr fontId="33" type="noConversion"/>
  </si>
  <si>
    <t>총 시간당 전력량</t>
    <phoneticPr fontId="33" type="noConversion"/>
  </si>
  <si>
    <t>총 남은 전력량</t>
    <phoneticPr fontId="33" type="noConversion"/>
  </si>
  <si>
    <t>전력초과여부</t>
    <phoneticPr fontId="33" type="noConversion"/>
  </si>
  <si>
    <t>위치</t>
    <phoneticPr fontId="13" type="noConversion"/>
  </si>
  <si>
    <t>7층</t>
    <phoneticPr fontId="13" type="noConversion"/>
  </si>
  <si>
    <t>6층</t>
    <phoneticPr fontId="13" type="noConversion"/>
  </si>
  <si>
    <t>5층</t>
    <phoneticPr fontId="13" type="noConversion"/>
  </si>
  <si>
    <t>4층</t>
    <phoneticPr fontId="13" type="noConversion"/>
  </si>
  <si>
    <t>Entry1</t>
    <phoneticPr fontId="13" type="noConversion"/>
  </si>
  <si>
    <t>Entry2</t>
    <phoneticPr fontId="13" type="noConversion"/>
  </si>
  <si>
    <t>Entry3</t>
  </si>
  <si>
    <t>Entry4</t>
  </si>
  <si>
    <t>Entry5</t>
  </si>
  <si>
    <t>Entry6</t>
  </si>
  <si>
    <t>Entry7</t>
  </si>
  <si>
    <t>Entry8</t>
    <phoneticPr fontId="13" type="noConversion"/>
  </si>
  <si>
    <t>Entry9</t>
    <phoneticPr fontId="13" type="noConversion"/>
  </si>
  <si>
    <t>Entry10</t>
    <phoneticPr fontId="13" type="noConversion"/>
  </si>
  <si>
    <t>DEKR
NO.</t>
  </si>
  <si>
    <t>계약용량</t>
  </si>
  <si>
    <t>kW</t>
  </si>
  <si>
    <t>sejong</t>
    <phoneticPr fontId="13" type="noConversion"/>
  </si>
  <si>
    <t>↑ 위 셀에 고객사명을 입력하면 4~7층 고객사랙의 총 전력값이 나옵니다.</t>
    <phoneticPr fontId="13" type="noConversion"/>
  </si>
  <si>
    <t>SEL1층별 고객사 랙 전력데이터 현황</t>
    <phoneticPr fontId="13" type="noConversion"/>
  </si>
  <si>
    <t>DEK, 층간 Patch Cabinet</t>
  </si>
  <si>
    <t>DEK, 층간 Patch Cabinet</t>
    <phoneticPr fontId="13" type="noConversion"/>
  </si>
  <si>
    <t>B525</t>
    <phoneticPr fontId="13" type="noConversion"/>
  </si>
  <si>
    <t>B111</t>
    <phoneticPr fontId="13" type="noConversion"/>
  </si>
  <si>
    <t>B114</t>
    <phoneticPr fontId="13" type="noConversion"/>
  </si>
  <si>
    <t>C1210</t>
    <phoneticPr fontId="13" type="noConversion"/>
  </si>
  <si>
    <t>C1211</t>
    <phoneticPr fontId="13" type="noConversion"/>
  </si>
  <si>
    <t>쿼드마이너('24.01 예정)</t>
    <phoneticPr fontId="13" type="noConversion"/>
  </si>
  <si>
    <t>5-DaHall 1-PDU-17
싱텔
분전반(A)</t>
  </si>
  <si>
    <t>5-DaHall 1-PDU-18
싱텔
분전반(B)</t>
  </si>
  <si>
    <t>싱텔 PDU 월간 계측값  입력 필요</t>
    <phoneticPr fontId="13" type="noConversion"/>
  </si>
  <si>
    <t>kW(전월최대유효전력)</t>
    <phoneticPr fontId="13" type="noConversion"/>
  </si>
  <si>
    <t>Date : 2023-12-01 ~ 2023-12-31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</si>
  <si>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</si>
  <si>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</si>
  <si>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</si>
  <si>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</si>
  <si>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</si>
  <si>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</si>
  <si>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</si>
  <si>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</si>
  <si>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</si>
  <si>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</si>
  <si>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</si>
  <si>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</si>
  <si>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</si>
  <si>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</si>
  <si>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</si>
  <si>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</si>
  <si>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</si>
  <si>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</si>
  <si>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</si>
  <si>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</si>
  <si>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</si>
  <si>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</si>
  <si>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</si>
  <si>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</si>
  <si>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</si>
  <si>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</si>
  <si>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</si>
  <si>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</si>
  <si>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</si>
  <si>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</si>
  <si>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</si>
  <si>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</si>
  <si>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</si>
  <si>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</si>
  <si>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</si>
  <si>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</si>
  <si>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</si>
  <si>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</si>
  <si>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</si>
  <si>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</si>
  <si>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</si>
  <si>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</si>
  <si>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</si>
  <si>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</si>
  <si>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</si>
  <si>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</si>
  <si>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</si>
  <si>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</si>
  <si>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</si>
  <si>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</si>
  <si>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</si>
  <si>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</si>
  <si>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</si>
  <si>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</si>
  <si>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</si>
  <si>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</si>
  <si>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</si>
  <si>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</si>
  <si>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[branch#075] [A] kWh last month</t>
  </si>
  <si>
    <t>[branch#021] [A] kWh last month</t>
  </si>
  <si>
    <t>[branch#076] [A] kWh last month</t>
  </si>
  <si>
    <t>[branch#022] [A] kWh last month</t>
  </si>
  <si>
    <t>[branch#077] [A] kWh last month</t>
  </si>
  <si>
    <t>[branch#023] [A] kWh last month</t>
  </si>
  <si>
    <t>[branch#078] [A] kWh last month</t>
  </si>
  <si>
    <t>[branch#024] [A] kWh last month</t>
  </si>
  <si>
    <t>[branch#079] [A] kWh last month</t>
  </si>
  <si>
    <t>[branch#025] [A] kWh last month</t>
  </si>
  <si>
    <t>[branch#080] [A] kWh last month</t>
  </si>
  <si>
    <t>[branch#026]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</si>
  <si>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</si>
  <si>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</si>
  <si>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</si>
  <si>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</si>
  <si>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</si>
  <si>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</si>
  <si>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</si>
  <si>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</si>
  <si>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</si>
  <si>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</si>
  <si>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</si>
  <si>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</si>
  <si>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</si>
  <si>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</si>
  <si>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</si>
  <si>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</si>
  <si>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</si>
  <si>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</si>
  <si>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</si>
  <si>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</si>
  <si>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</si>
  <si>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</si>
  <si>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</si>
  <si>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</si>
  <si>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</si>
  <si>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</si>
  <si>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</si>
  <si>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</si>
  <si>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</si>
  <si>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</si>
  <si>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</si>
  <si>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</si>
  <si>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</si>
  <si>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</si>
  <si>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</si>
  <si>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</si>
  <si>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</si>
  <si>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</si>
  <si>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</si>
  <si>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</si>
  <si>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</si>
  <si>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</si>
  <si>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</si>
  <si>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</si>
  <si>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</si>
  <si>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</si>
  <si>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</si>
  <si>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</si>
  <si>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</si>
  <si>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</si>
  <si>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0155 [branch#01] [A] W</t>
  </si>
  <si>
    <t>0295 [branch#02] [A] W</t>
  </si>
  <si>
    <t>0435 [branch#03] [A] W</t>
  </si>
  <si>
    <t>0575 [branch#04] [A] W</t>
  </si>
  <si>
    <t>0715 [branch#05] [A] W</t>
  </si>
  <si>
    <t>0855 [branch#06] [A] W</t>
  </si>
  <si>
    <t>0995 [branch#07] [A] W</t>
  </si>
  <si>
    <t>1135 [branch#08] [A] W</t>
  </si>
  <si>
    <t>1275 [branch#09] [A] W</t>
  </si>
  <si>
    <t>1415 [branch#10] [A] W</t>
  </si>
  <si>
    <t>1555 [branch#11] [A] W</t>
  </si>
  <si>
    <t>1695 [branch#12] [A] W</t>
  </si>
  <si>
    <t>[branch#001] [A] W</t>
  </si>
  <si>
    <t>[branch#002] [A] W</t>
  </si>
  <si>
    <t>[branch#003] [A] W</t>
  </si>
  <si>
    <t>[branch#004] [A] W</t>
  </si>
  <si>
    <t>[branch#005] [A] W</t>
  </si>
  <si>
    <t>[branch#006] [A] W</t>
  </si>
  <si>
    <t>[branch#007] [A] W</t>
  </si>
  <si>
    <t>[branch#008] [A] W</t>
  </si>
  <si>
    <t>[branch#009] [A] W</t>
  </si>
  <si>
    <t>[branch#010] [A] W</t>
  </si>
  <si>
    <t>[branch#011] [A] W</t>
  </si>
  <si>
    <t>[branch#012] [A] W</t>
  </si>
  <si>
    <t>[branch#013] [A] W</t>
  </si>
  <si>
    <t>[branch#014] [A] W</t>
  </si>
  <si>
    <t>[branch#015] [A] W</t>
  </si>
  <si>
    <t>[branch#016] [A] W</t>
  </si>
  <si>
    <t>[branch#017] [A] W</t>
  </si>
  <si>
    <t>[branch#018] [A] W</t>
  </si>
  <si>
    <t>[branch#055] [A] W</t>
  </si>
  <si>
    <t>[branch#056] [A] W</t>
  </si>
  <si>
    <t>[branch#057] [A] W</t>
  </si>
  <si>
    <t>[branch#058] [A] W</t>
  </si>
  <si>
    <t>[branch#059] [A] W</t>
  </si>
  <si>
    <t>[branch#060] [A] W</t>
  </si>
  <si>
    <t>[branch#061] [A] W</t>
  </si>
  <si>
    <t>[branch#062] [A] W</t>
  </si>
  <si>
    <t>[branch#063] [A] W</t>
  </si>
  <si>
    <t>[branch#064] [A] W</t>
  </si>
  <si>
    <t>[branch#065] [A] W</t>
  </si>
  <si>
    <t>[branch#066] [A] W</t>
  </si>
  <si>
    <t>[branch#067] [A] W</t>
  </si>
  <si>
    <t>[branch#068] [A] W</t>
  </si>
  <si>
    <t>[branch#069] [A] W</t>
  </si>
  <si>
    <t>[branch#070] [A] W</t>
  </si>
  <si>
    <t>[branch#071] [A] W</t>
  </si>
  <si>
    <t>[branch#072] [A] W</t>
  </si>
  <si>
    <t>[branch#019] [A] W</t>
  </si>
  <si>
    <t>[branch#073] [A] W</t>
  </si>
  <si>
    <t>[branch#020] [A] W</t>
  </si>
  <si>
    <t>[branch#074] [A] W</t>
  </si>
  <si>
    <t>[branch#075] [A] W</t>
  </si>
  <si>
    <t>[branch#021] [A] W</t>
  </si>
  <si>
    <t>[branch#076] [A] W</t>
  </si>
  <si>
    <t>[branch#022] [A] W</t>
  </si>
  <si>
    <t>[branch#077] [A] W</t>
  </si>
  <si>
    <t>[branch#023] [A] W</t>
  </si>
  <si>
    <t>[branch#078] [A] W</t>
  </si>
  <si>
    <t>[branch#024] [A] W</t>
  </si>
  <si>
    <t>[branch#079] [A] W</t>
  </si>
  <si>
    <t>[branch#025] [A] W</t>
  </si>
  <si>
    <t>[branch#080] [A] W</t>
  </si>
  <si>
    <t>[branch#026] [A] W</t>
  </si>
  <si>
    <t>[branch#027] [A] W</t>
  </si>
  <si>
    <t>[branch#028] [A] W</t>
  </si>
  <si>
    <t>[branch#029] [A] W</t>
  </si>
  <si>
    <t>[branch#030] [A] W</t>
  </si>
  <si>
    <t>[branch#031] [A] W</t>
  </si>
  <si>
    <t>[branch#032] [A] W</t>
  </si>
  <si>
    <t>[branch#033] [A] W</t>
  </si>
  <si>
    <t>[branch#034] [A] W</t>
  </si>
  <si>
    <t>[branch#035] [A] W</t>
  </si>
  <si>
    <t>[branch#036] [A] W</t>
  </si>
  <si>
    <t>[branch#037] [A] W</t>
  </si>
  <si>
    <t>[branch#038] [A] W</t>
  </si>
  <si>
    <t>[branch#039] [A] W</t>
  </si>
  <si>
    <t>[branch#040] [A] W</t>
  </si>
  <si>
    <t>[branch#041] [A] W</t>
  </si>
  <si>
    <t>[branch#042] [A] W</t>
  </si>
  <si>
    <t>[branch#043] [A] W</t>
  </si>
  <si>
    <t>[branch#044] [A] W</t>
  </si>
  <si>
    <t>[branch#045] [A] W</t>
  </si>
  <si>
    <t>[branch#046] [A] W</t>
  </si>
  <si>
    <t>[branch#047] [A] W</t>
  </si>
  <si>
    <t>[branch#048] [A] W</t>
  </si>
  <si>
    <t>[branch#049] [A] W</t>
  </si>
  <si>
    <t>[branch#050] [A] W</t>
  </si>
  <si>
    <t>[branch#051] [A] W</t>
  </si>
  <si>
    <t>[branch#052] [A] W</t>
  </si>
  <si>
    <t>[branch#053] [A] W</t>
  </si>
  <si>
    <t>[branch#054] [A] W</t>
  </si>
  <si>
    <t>1835 [branch#13] [A] W</t>
  </si>
  <si>
    <t>1975 [branch#14] [A] W</t>
  </si>
  <si>
    <t>2115 [branch#15] [A] W</t>
  </si>
  <si>
    <t>2255 [branch#16] [A] W</t>
  </si>
  <si>
    <t>2395 [branch#17] [A] W</t>
  </si>
  <si>
    <t>2535 [branch#18] [A] W</t>
  </si>
  <si>
    <t>2675 [branch#19] [A] W</t>
  </si>
  <si>
    <t>2815 [branch#20] [A] W</t>
  </si>
  <si>
    <t>2955 [branch#21] [A] W</t>
  </si>
  <si>
    <t>3095 [branch#22] [A] W</t>
  </si>
  <si>
    <t>3235 [branch#23] [A] W</t>
  </si>
  <si>
    <t>3375 [branch#24] [A] W</t>
  </si>
  <si>
    <t>3515 [branch#25] [A] W</t>
  </si>
  <si>
    <t>3655 [branch#26] [A] W</t>
  </si>
  <si>
    <t>3795 [branch#27] [A] W</t>
  </si>
  <si>
    <t>3935 [branch#28] [A] W</t>
  </si>
  <si>
    <t>4075 [branch#29] [A] W</t>
  </si>
  <si>
    <t>4215 [branch#30] [A] W</t>
  </si>
  <si>
    <t>4355 [branch#31] [A] W</t>
  </si>
  <si>
    <t>4495 [branch#32] [A] W</t>
  </si>
  <si>
    <t>4635 [branch#33] [A] W</t>
  </si>
  <si>
    <t>4775 [branch#34] [A] W</t>
  </si>
  <si>
    <t>4-DaHall 1-PDU-02</t>
    <phoneticPr fontId="13" type="noConversion"/>
  </si>
  <si>
    <t>[branch#001] [A] kWh last month</t>
    <phoneticPr fontId="13" type="noConversion"/>
  </si>
  <si>
    <t>[branch#001] [A] W</t>
    <phoneticPr fontId="13" type="noConversion"/>
  </si>
  <si>
    <t>=INDEX('각층분기별_유효전력량(전월)'!C2:C2020,MATCH(1,("4-DaHall 1-PDU-02"='각층분기별_유효전력량(전월)'!A2:A2020)*("[branch#001] [A] kWh last month"='각층분기별_유효전력량(전월)'!B2:B2020),0))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</si>
</sst>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9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</fills>
  <borders count="498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medium">
        <color indexed="64"/>
      </bottom>
      <diagonal/>
    </border>
  </borders>
  <cellStyleXfs count="13">
    <xf numFmtId="0" fontId="0" fillId="0" borderId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/>
    <xf numFmtId="0" fontId="35" fillId="0" borderId="0"/>
    <xf numFmtId="41" fontId="35" fillId="0" borderId="0" applyFont="0" applyFill="0" applyBorder="0" applyAlignment="0" applyProtection="0"/>
    <xf numFmtId="9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11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</cellStyleXfs>
  <cellXfs count="387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0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14" fillId="2" borderId="7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180" fontId="15" fillId="0" borderId="11" xfId="0" applyNumberFormat="1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180" fontId="15" fillId="0" borderId="1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180" fontId="15" fillId="0" borderId="15" xfId="0" applyNumberFormat="1" applyFont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180" fontId="15" fillId="0" borderId="18" xfId="0" applyNumberFormat="1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5" fillId="0" borderId="21" xfId="0" applyNumberFormat="1" applyFont="1" applyBorder="1" applyAlignment="1">
      <alignment horizontal="center" vertical="center" wrapText="1"/>
    </xf>
    <xf numFmtId="0" fontId="14" fillId="0" borderId="22" xfId="0" quotePrefix="1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5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5" fillId="0" borderId="25" xfId="0" applyNumberFormat="1" applyFont="1" applyBorder="1" applyAlignment="1">
      <alignment horizontal="center" vertical="center" wrapText="1"/>
    </xf>
    <xf numFmtId="0" fontId="14" fillId="0" borderId="26" xfId="0" quotePrefix="1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5" fillId="0" borderId="28" xfId="0" applyNumberFormat="1" applyFont="1" applyBorder="1" applyAlignment="1">
      <alignment horizontal="center" vertical="center" wrapText="1"/>
    </xf>
    <xf numFmtId="0" fontId="14" fillId="0" borderId="29" xfId="0" quotePrefix="1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4" fillId="0" borderId="19" xfId="0" quotePrefix="1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14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8" fillId="0" borderId="0" xfId="0" applyFont="1">
      <alignment vertical="center"/>
    </xf>
    <xf numFmtId="178" fontId="21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4" fillId="2" borderId="3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 wrapText="1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177" fontId="15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4" fillId="0" borderId="37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177" fontId="15" fillId="0" borderId="15" xfId="0" applyNumberFormat="1" applyFont="1" applyBorder="1" applyAlignment="1">
      <alignment horizontal="center" vertical="center"/>
    </xf>
    <xf numFmtId="0" fontId="15" fillId="0" borderId="39" xfId="0" applyFont="1" applyBorder="1" applyAlignment="1">
      <alignment horizontal="center" vertical="center" wrapText="1"/>
    </xf>
    <xf numFmtId="177" fontId="15" fillId="0" borderId="15" xfId="0" applyNumberFormat="1" applyFont="1" applyBorder="1" applyAlignment="1">
      <alignment horizontal="center" vertical="center" wrapText="1"/>
    </xf>
    <xf numFmtId="0" fontId="15" fillId="0" borderId="16" xfId="0" applyFont="1" applyBorder="1" applyAlignment="1">
      <alignment horizontal="center" vertical="center" wrapText="1"/>
    </xf>
    <xf numFmtId="0" fontId="15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7" fillId="0" borderId="41" xfId="0" applyFont="1" applyBorder="1" applyAlignment="1">
      <alignment horizontal="center" vertical="center"/>
    </xf>
    <xf numFmtId="180" fontId="15" fillId="0" borderId="41" xfId="0" applyNumberFormat="1" applyFont="1" applyBorder="1" applyAlignment="1">
      <alignment horizontal="center" vertical="center" wrapText="1"/>
    </xf>
    <xf numFmtId="177" fontId="15" fillId="0" borderId="41" xfId="0" applyNumberFormat="1" applyFont="1" applyBorder="1" applyAlignment="1">
      <alignment horizontal="center" vertical="center" wrapText="1"/>
    </xf>
    <xf numFmtId="0" fontId="14" fillId="0" borderId="42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177" fontId="15" fillId="0" borderId="25" xfId="0" applyNumberFormat="1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4" fillId="0" borderId="38" xfId="0" quotePrefix="1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 wrapText="1"/>
    </xf>
    <xf numFmtId="0" fontId="14" fillId="0" borderId="45" xfId="0" quotePrefix="1" applyFont="1" applyBorder="1" applyAlignment="1">
      <alignment horizontal="center" vertical="center"/>
    </xf>
    <xf numFmtId="0" fontId="14" fillId="0" borderId="43" xfId="0" quotePrefix="1" applyFont="1" applyBorder="1" applyAlignment="1">
      <alignment horizontal="center" vertical="center"/>
    </xf>
    <xf numFmtId="0" fontId="14" fillId="0" borderId="42" xfId="0" quotePrefix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7" fillId="0" borderId="47" xfId="0" applyFont="1" applyBorder="1" applyAlignment="1">
      <alignment horizontal="center" vertical="center"/>
    </xf>
    <xf numFmtId="180" fontId="15" fillId="0" borderId="47" xfId="0" applyNumberFormat="1" applyFont="1" applyBorder="1" applyAlignment="1">
      <alignment horizontal="center" vertical="center" wrapText="1"/>
    </xf>
    <xf numFmtId="0" fontId="14" fillId="0" borderId="4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177" fontId="15" fillId="0" borderId="47" xfId="0" applyNumberFormat="1" applyFont="1" applyBorder="1" applyAlignment="1">
      <alignment horizontal="center" vertical="center" wrapText="1"/>
    </xf>
    <xf numFmtId="0" fontId="15" fillId="0" borderId="50" xfId="0" applyFont="1" applyBorder="1" applyAlignment="1">
      <alignment horizontal="center" vertical="center" wrapText="1"/>
    </xf>
    <xf numFmtId="0" fontId="14" fillId="0" borderId="51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4" fillId="2" borderId="53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0" fontId="14" fillId="0" borderId="54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 wrapText="1"/>
    </xf>
    <xf numFmtId="180" fontId="15" fillId="0" borderId="11" xfId="0" applyNumberFormat="1" applyFont="1" applyBorder="1" applyAlignment="1">
      <alignment horizontal="center" vertical="center" wrapText="1"/>
    </xf>
    <xf numFmtId="177" fontId="15" fillId="0" borderId="11" xfId="0" applyNumberFormat="1" applyFont="1" applyBorder="1" applyAlignment="1">
      <alignment horizontal="center" vertical="center" wrapText="1"/>
    </xf>
    <xf numFmtId="0" fontId="15" fillId="0" borderId="56" xfId="0" applyFont="1" applyBorder="1" applyAlignment="1">
      <alignment horizontal="center" vertical="center"/>
    </xf>
    <xf numFmtId="177" fontId="15" fillId="0" borderId="18" xfId="0" applyNumberFormat="1" applyFont="1" applyBorder="1" applyAlignment="1">
      <alignment horizontal="center" vertical="center" wrapText="1"/>
    </xf>
    <xf numFmtId="0" fontId="15" fillId="0" borderId="58" xfId="0" applyFont="1" applyBorder="1" applyAlignment="1">
      <alignment horizontal="center" vertical="center"/>
    </xf>
    <xf numFmtId="177" fontId="15" fillId="0" borderId="21" xfId="0" applyNumberFormat="1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37" xfId="0" quotePrefix="1" applyFont="1" applyBorder="1" applyAlignment="1">
      <alignment horizontal="center" vertical="center"/>
    </xf>
    <xf numFmtId="0" fontId="14" fillId="0" borderId="54" xfId="0" quotePrefix="1" applyFont="1" applyBorder="1" applyAlignment="1">
      <alignment horizontal="center" vertical="center"/>
    </xf>
    <xf numFmtId="0" fontId="14" fillId="0" borderId="55" xfId="0" quotePrefix="1" applyFont="1" applyBorder="1" applyAlignment="1">
      <alignment horizontal="center" vertical="center"/>
    </xf>
    <xf numFmtId="0" fontId="14" fillId="0" borderId="48" xfId="0" quotePrefix="1" applyFont="1" applyBorder="1" applyAlignment="1">
      <alignment horizontal="center" vertical="center"/>
    </xf>
    <xf numFmtId="0" fontId="14" fillId="0" borderId="49" xfId="0" quotePrefix="1" applyFont="1" applyBorder="1" applyAlignment="1">
      <alignment horizontal="center" vertical="center"/>
    </xf>
    <xf numFmtId="0" fontId="14" fillId="0" borderId="51" xfId="0" quotePrefix="1" applyFont="1" applyBorder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15" fillId="0" borderId="20" xfId="0" applyFont="1" applyBorder="1" applyAlignment="1">
      <alignment horizontal="center" vertical="center"/>
    </xf>
    <xf numFmtId="0" fontId="14" fillId="0" borderId="59" xfId="0" quotePrefix="1" applyFont="1" applyBorder="1" applyAlignment="1">
      <alignment horizontal="center" vertical="center"/>
    </xf>
    <xf numFmtId="0" fontId="14" fillId="0" borderId="60" xfId="0" quotePrefix="1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 wrapText="1"/>
    </xf>
    <xf numFmtId="0" fontId="15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2" fillId="0" borderId="0" xfId="0" applyNumberFormat="1" applyFont="1" applyAlignment="1">
      <alignment horizontal="center" vertical="center" wrapText="1"/>
    </xf>
    <xf numFmtId="181" fontId="2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4" fillId="2" borderId="7" xfId="0" applyNumberFormat="1" applyFont="1" applyFill="1" applyBorder="1" applyAlignment="1">
      <alignment horizontal="center" vertical="center"/>
    </xf>
    <xf numFmtId="181" fontId="14" fillId="2" borderId="8" xfId="0" applyNumberFormat="1" applyFont="1" applyFill="1" applyBorder="1" applyAlignment="1">
      <alignment horizontal="center" vertical="center"/>
    </xf>
    <xf numFmtId="181" fontId="12" fillId="2" borderId="8" xfId="0" applyNumberFormat="1" applyFont="1" applyFill="1" applyBorder="1" applyAlignment="1">
      <alignment horizontal="center" vertical="center"/>
    </xf>
    <xf numFmtId="181" fontId="14" fillId="2" borderId="53" xfId="0" applyNumberFormat="1" applyFont="1" applyFill="1" applyBorder="1" applyAlignment="1">
      <alignment horizontal="center" vertical="center"/>
    </xf>
    <xf numFmtId="181" fontId="14" fillId="2" borderId="32" xfId="0" applyNumberFormat="1" applyFont="1" applyFill="1" applyBorder="1" applyAlignment="1">
      <alignment horizontal="center" vertical="center"/>
    </xf>
    <xf numFmtId="181" fontId="14" fillId="2" borderId="33" xfId="0" applyNumberFormat="1" applyFont="1" applyFill="1" applyBorder="1" applyAlignment="1">
      <alignment horizontal="center" vertical="center"/>
    </xf>
    <xf numFmtId="181" fontId="14" fillId="2" borderId="9" xfId="0" applyNumberFormat="1" applyFont="1" applyFill="1" applyBorder="1" applyAlignment="1">
      <alignment horizontal="center" vertical="center" wrapText="1"/>
    </xf>
    <xf numFmtId="181" fontId="12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2" fillId="0" borderId="11" xfId="0" applyNumberFormat="1" applyFont="1" applyBorder="1" applyAlignment="1">
      <alignment horizontal="center" vertical="center"/>
    </xf>
    <xf numFmtId="181" fontId="14" fillId="0" borderId="34" xfId="0" applyNumberFormat="1" applyFont="1" applyBorder="1" applyAlignment="1">
      <alignment horizontal="center" vertical="center"/>
    </xf>
    <xf numFmtId="181" fontId="14" fillId="0" borderId="35" xfId="0" applyNumberFormat="1" applyFont="1" applyBorder="1" applyAlignment="1">
      <alignment horizontal="center" vertical="center"/>
    </xf>
    <xf numFmtId="181" fontId="12" fillId="0" borderId="13" xfId="0" applyNumberFormat="1" applyFont="1" applyBorder="1" applyAlignment="1">
      <alignment horizontal="center" vertical="center" wrapText="1"/>
    </xf>
    <xf numFmtId="181" fontId="12" fillId="0" borderId="17" xfId="0" applyNumberFormat="1" applyFont="1" applyBorder="1" applyAlignment="1">
      <alignment horizontal="center" vertical="center"/>
    </xf>
    <xf numFmtId="181" fontId="12" fillId="0" borderId="15" xfId="0" applyNumberFormat="1" applyFont="1" applyBorder="1" applyAlignment="1">
      <alignment horizontal="center" vertical="center"/>
    </xf>
    <xf numFmtId="181" fontId="14" fillId="0" borderId="37" xfId="0" applyNumberFormat="1" applyFont="1" applyBorder="1" applyAlignment="1">
      <alignment horizontal="center" vertical="center"/>
    </xf>
    <xf numFmtId="181" fontId="14" fillId="0" borderId="38" xfId="0" applyNumberFormat="1" applyFont="1" applyBorder="1" applyAlignment="1">
      <alignment horizontal="center" vertical="center"/>
    </xf>
    <xf numFmtId="181" fontId="27" fillId="0" borderId="11" xfId="0" applyNumberFormat="1" applyFont="1" applyBorder="1" applyAlignment="1">
      <alignment horizontal="center" vertical="center"/>
    </xf>
    <xf numFmtId="181" fontId="12" fillId="0" borderId="16" xfId="0" applyNumberFormat="1" applyFont="1" applyBorder="1" applyAlignment="1">
      <alignment horizontal="center" vertical="center" wrapText="1"/>
    </xf>
    <xf numFmtId="181" fontId="14" fillId="0" borderId="37" xfId="0" quotePrefix="1" applyNumberFormat="1" applyFont="1" applyBorder="1" applyAlignment="1">
      <alignment horizontal="center" vertical="center"/>
    </xf>
    <xf numFmtId="181" fontId="14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2" fillId="0" borderId="15" xfId="0" applyNumberFormat="1" applyFont="1" applyBorder="1" applyAlignment="1">
      <alignment horizontal="center" vertical="center" wrapText="1"/>
    </xf>
    <xf numFmtId="181" fontId="12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2" fillId="0" borderId="18" xfId="0" applyNumberFormat="1" applyFont="1" applyBorder="1" applyAlignment="1">
      <alignment horizontal="center" vertical="center" wrapText="1"/>
    </xf>
    <xf numFmtId="181" fontId="14" fillId="0" borderId="54" xfId="0" quotePrefix="1" applyNumberFormat="1" applyFont="1" applyBorder="1" applyAlignment="1">
      <alignment horizontal="center" vertical="center"/>
    </xf>
    <xf numFmtId="181" fontId="14" fillId="0" borderId="55" xfId="0" quotePrefix="1" applyNumberFormat="1" applyFont="1" applyBorder="1" applyAlignment="1">
      <alignment horizontal="center" vertical="center"/>
    </xf>
    <xf numFmtId="181" fontId="12" fillId="0" borderId="11" xfId="0" applyNumberFormat="1" applyFont="1" applyBorder="1" applyAlignment="1">
      <alignment horizontal="center" vertical="center" wrapText="1"/>
    </xf>
    <xf numFmtId="181" fontId="27" fillId="0" borderId="15" xfId="0" applyNumberFormat="1" applyFont="1" applyBorder="1" applyAlignment="1">
      <alignment horizontal="center" vertical="center"/>
    </xf>
    <xf numFmtId="181" fontId="12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2" fillId="0" borderId="25" xfId="0" applyNumberFormat="1" applyFont="1" applyBorder="1" applyAlignment="1">
      <alignment horizontal="center" vertical="center" wrapText="1"/>
    </xf>
    <xf numFmtId="181" fontId="14" fillId="0" borderId="42" xfId="0" quotePrefix="1" applyNumberFormat="1" applyFont="1" applyBorder="1" applyAlignment="1">
      <alignment horizontal="center" vertical="center"/>
    </xf>
    <xf numFmtId="181" fontId="14" fillId="0" borderId="43" xfId="0" quotePrefix="1" applyNumberFormat="1" applyFont="1" applyBorder="1" applyAlignment="1">
      <alignment horizontal="center" vertical="center"/>
    </xf>
    <xf numFmtId="181" fontId="12" fillId="0" borderId="26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horizontal="center" vertical="center"/>
    </xf>
    <xf numFmtId="181" fontId="14" fillId="0" borderId="0" xfId="0" quotePrefix="1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2" fillId="0" borderId="40" xfId="0" applyNumberFormat="1" applyFont="1" applyBorder="1" applyAlignment="1">
      <alignment horizontal="center" vertical="center"/>
    </xf>
    <xf numFmtId="181" fontId="12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2" fillId="0" borderId="47" xfId="0" applyNumberFormat="1" applyFont="1" applyBorder="1" applyAlignment="1">
      <alignment horizontal="center" vertical="center" wrapText="1"/>
    </xf>
    <xf numFmtId="181" fontId="14" fillId="0" borderId="48" xfId="0" quotePrefix="1" applyNumberFormat="1" applyFont="1" applyBorder="1" applyAlignment="1">
      <alignment horizontal="center" vertical="center"/>
    </xf>
    <xf numFmtId="181" fontId="12" fillId="0" borderId="41" xfId="0" applyNumberFormat="1" applyFont="1" applyBorder="1" applyAlignment="1">
      <alignment horizontal="center" vertical="center" wrapText="1"/>
    </xf>
    <xf numFmtId="181" fontId="14" fillId="0" borderId="51" xfId="0" quotePrefix="1" applyNumberFormat="1" applyFont="1" applyBorder="1" applyAlignment="1">
      <alignment horizontal="center" vertical="center"/>
    </xf>
    <xf numFmtId="181" fontId="14" fillId="0" borderId="45" xfId="0" quotePrefix="1" applyNumberFormat="1" applyFont="1" applyBorder="1" applyAlignment="1">
      <alignment horizontal="center" vertical="center"/>
    </xf>
    <xf numFmtId="181" fontId="12" fillId="0" borderId="39" xfId="0" applyNumberFormat="1" applyFont="1" applyBorder="1" applyAlignment="1">
      <alignment horizontal="center" vertical="center" wrapText="1"/>
    </xf>
    <xf numFmtId="181" fontId="12" fillId="0" borderId="44" xfId="0" applyNumberFormat="1" applyFont="1" applyBorder="1" applyAlignment="1">
      <alignment horizontal="center" vertical="center" wrapText="1"/>
    </xf>
    <xf numFmtId="181" fontId="27" fillId="0" borderId="25" xfId="0" applyNumberFormat="1" applyFont="1" applyBorder="1" applyAlignment="1">
      <alignment horizontal="center" vertical="center"/>
    </xf>
    <xf numFmtId="181" fontId="27" fillId="0" borderId="18" xfId="0" applyNumberFormat="1" applyFont="1" applyBorder="1" applyAlignment="1">
      <alignment horizontal="center" vertical="center"/>
    </xf>
    <xf numFmtId="181" fontId="14" fillId="0" borderId="48" xfId="0" applyNumberFormat="1" applyFont="1" applyBorder="1" applyAlignment="1">
      <alignment horizontal="center" vertical="center"/>
    </xf>
    <xf numFmtId="181" fontId="14" fillId="0" borderId="49" xfId="0" applyNumberFormat="1" applyFont="1" applyBorder="1" applyAlignment="1">
      <alignment horizontal="center" vertical="center"/>
    </xf>
    <xf numFmtId="181" fontId="14" fillId="0" borderId="45" xfId="0" applyNumberFormat="1" applyFont="1" applyBorder="1" applyAlignment="1">
      <alignment horizontal="center" vertical="center"/>
    </xf>
    <xf numFmtId="181" fontId="27" fillId="0" borderId="41" xfId="0" applyNumberFormat="1" applyFont="1" applyBorder="1" applyAlignment="1">
      <alignment horizontal="center" vertical="center"/>
    </xf>
    <xf numFmtId="181" fontId="14" fillId="0" borderId="43" xfId="0" applyNumberFormat="1" applyFont="1" applyBorder="1" applyAlignment="1">
      <alignment horizontal="center" vertical="center"/>
    </xf>
    <xf numFmtId="181" fontId="27" fillId="0" borderId="47" xfId="0" applyNumberFormat="1" applyFont="1" applyBorder="1" applyAlignment="1">
      <alignment horizontal="center" vertical="center"/>
    </xf>
    <xf numFmtId="181" fontId="14" fillId="0" borderId="55" xfId="0" applyNumberFormat="1" applyFont="1" applyBorder="1" applyAlignment="1">
      <alignment horizontal="center" vertical="center"/>
    </xf>
    <xf numFmtId="181" fontId="14" fillId="0" borderId="51" xfId="0" applyNumberFormat="1" applyFont="1" applyBorder="1" applyAlignment="1">
      <alignment horizontal="center" vertical="center"/>
    </xf>
    <xf numFmtId="181" fontId="14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7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7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7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7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7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5" fillId="0" borderId="0" xfId="0" applyFont="1" applyAlignment="1">
      <alignment horizontal="right" vertical="center"/>
    </xf>
    <xf numFmtId="176" fontId="15" fillId="0" borderId="103" xfId="2" applyNumberFormat="1" applyFont="1" applyBorder="1">
      <alignment vertical="center"/>
    </xf>
    <xf numFmtId="176" fontId="15" fillId="0" borderId="6" xfId="2" applyNumberFormat="1" applyFont="1" applyBorder="1">
      <alignment vertical="center"/>
    </xf>
    <xf numFmtId="181" fontId="12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2" fillId="7" borderId="17" xfId="0" applyNumberFormat="1" applyFont="1" applyFill="1" applyBorder="1" applyAlignment="1">
      <alignment horizontal="center" vertical="center"/>
    </xf>
    <xf numFmtId="181" fontId="12" fillId="7" borderId="24" xfId="0" applyNumberFormat="1" applyFont="1" applyFill="1" applyBorder="1" applyAlignment="1">
      <alignment horizontal="center" vertical="center"/>
    </xf>
    <xf numFmtId="181" fontId="12" fillId="7" borderId="40" xfId="0" applyNumberFormat="1" applyFont="1" applyFill="1" applyBorder="1" applyAlignment="1">
      <alignment horizontal="center" vertical="center"/>
    </xf>
    <xf numFmtId="181" fontId="12" fillId="7" borderId="46" xfId="0" applyNumberFormat="1" applyFont="1" applyFill="1" applyBorder="1" applyAlignment="1">
      <alignment horizontal="center" vertical="center"/>
    </xf>
    <xf numFmtId="176" fontId="31" fillId="0" borderId="6" xfId="2" applyNumberFormat="1" applyFont="1" applyBorder="1">
      <alignment vertical="center"/>
    </xf>
    <xf numFmtId="181" fontId="12" fillId="7" borderId="14" xfId="0" applyNumberFormat="1" applyFont="1" applyFill="1" applyBorder="1" applyAlignment="1">
      <alignment horizontal="center" vertical="center"/>
    </xf>
    <xf numFmtId="181" fontId="26" fillId="7" borderId="16" xfId="0" applyNumberFormat="1" applyFont="1" applyFill="1" applyBorder="1" applyAlignment="1">
      <alignment horizontal="center" vertical="center" wrapText="1"/>
    </xf>
    <xf numFmtId="181" fontId="12" fillId="7" borderId="10" xfId="0" applyNumberFormat="1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5" fillId="7" borderId="17" xfId="0" applyFont="1" applyFill="1" applyBorder="1" applyAlignment="1">
      <alignment horizontal="center" vertical="center"/>
    </xf>
    <xf numFmtId="0" fontId="15" fillId="7" borderId="17" xfId="0" applyFont="1" applyFill="1" applyBorder="1" applyAlignment="1">
      <alignment horizontal="center" vertical="center" wrapText="1"/>
    </xf>
    <xf numFmtId="0" fontId="15" fillId="7" borderId="14" xfId="0" applyFont="1" applyFill="1" applyBorder="1" applyAlignment="1">
      <alignment horizontal="center" vertical="center" wrapText="1"/>
    </xf>
    <xf numFmtId="176" fontId="15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5" fillId="7" borderId="10" xfId="0" applyFont="1" applyFill="1" applyBorder="1" applyAlignment="1">
      <alignment horizontal="center" vertical="center"/>
    </xf>
    <xf numFmtId="181" fontId="26" fillId="7" borderId="26" xfId="0" applyNumberFormat="1" applyFont="1" applyFill="1" applyBorder="1" applyAlignment="1">
      <alignment horizontal="center" vertical="center" wrapText="1"/>
    </xf>
    <xf numFmtId="181" fontId="26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6" fillId="7" borderId="13" xfId="0" applyNumberFormat="1" applyFont="1" applyFill="1" applyBorder="1" applyAlignment="1">
      <alignment horizontal="center" vertical="center" wrapText="1"/>
    </xf>
    <xf numFmtId="181" fontId="26" fillId="7" borderId="10" xfId="0" applyNumberFormat="1" applyFont="1" applyFill="1" applyBorder="1" applyAlignment="1">
      <alignment horizontal="center" vertical="center"/>
    </xf>
    <xf numFmtId="181" fontId="26" fillId="7" borderId="14" xfId="0" applyNumberFormat="1" applyFont="1" applyFill="1" applyBorder="1" applyAlignment="1">
      <alignment horizontal="center" vertical="center"/>
    </xf>
    <xf numFmtId="181" fontId="26" fillId="7" borderId="44" xfId="0" applyNumberFormat="1" applyFont="1" applyFill="1" applyBorder="1" applyAlignment="1">
      <alignment horizontal="center" vertical="center" wrapText="1"/>
    </xf>
    <xf numFmtId="181" fontId="26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4" fillId="0" borderId="15" xfId="0" applyNumberFormat="1" applyFont="1" applyBorder="1" applyAlignment="1">
      <alignment horizontal="center" vertical="center"/>
    </xf>
    <xf numFmtId="181" fontId="14" fillId="0" borderId="127" xfId="0" applyNumberFormat="1" applyFont="1" applyBorder="1" applyAlignment="1">
      <alignment horizontal="center" vertical="center"/>
    </xf>
    <xf numFmtId="181" fontId="14" fillId="0" borderId="128" xfId="0" applyNumberFormat="1" applyFont="1" applyBorder="1" applyAlignment="1">
      <alignment horizontal="center" vertical="center"/>
    </xf>
    <xf numFmtId="181" fontId="34" fillId="0" borderId="18" xfId="0" applyNumberFormat="1" applyFont="1" applyBorder="1" applyAlignment="1">
      <alignment horizontal="center" vertical="center"/>
    </xf>
    <xf numFmtId="181" fontId="34" fillId="0" borderId="11" xfId="0" applyNumberFormat="1" applyFont="1" applyBorder="1" applyAlignment="1">
      <alignment horizontal="center" vertical="center"/>
    </xf>
    <xf numFmtId="181" fontId="34" fillId="0" borderId="25" xfId="0" applyNumberFormat="1" applyFont="1" applyBorder="1" applyAlignment="1">
      <alignment horizontal="center" vertical="center"/>
    </xf>
    <xf numFmtId="181" fontId="14" fillId="0" borderId="130" xfId="0" applyNumberFormat="1" applyFont="1" applyBorder="1" applyAlignment="1">
      <alignment horizontal="center" vertical="center"/>
    </xf>
    <xf numFmtId="181" fontId="14" fillId="0" borderId="131" xfId="0" quotePrefix="1" applyNumberFormat="1" applyFont="1" applyBorder="1" applyAlignment="1">
      <alignment horizontal="center" vertical="center"/>
    </xf>
    <xf numFmtId="181" fontId="14" fillId="5" borderId="34" xfId="0" applyNumberFormat="1" applyFont="1" applyFill="1" applyBorder="1" applyAlignment="1">
      <alignment horizontal="center" vertical="center"/>
    </xf>
    <xf numFmtId="181" fontId="14" fillId="5" borderId="35" xfId="0" applyNumberFormat="1" applyFont="1" applyFill="1" applyBorder="1" applyAlignment="1">
      <alignment horizontal="center" vertical="center"/>
    </xf>
    <xf numFmtId="181" fontId="14" fillId="5" borderId="37" xfId="0" applyNumberFormat="1" applyFont="1" applyFill="1" applyBorder="1" applyAlignment="1">
      <alignment horizontal="center" vertical="center"/>
    </xf>
    <xf numFmtId="181" fontId="14" fillId="5" borderId="38" xfId="0" applyNumberFormat="1" applyFont="1" applyFill="1" applyBorder="1" applyAlignment="1">
      <alignment horizontal="center" vertical="center"/>
    </xf>
    <xf numFmtId="181" fontId="14" fillId="5" borderId="48" xfId="0" applyNumberFormat="1" applyFont="1" applyFill="1" applyBorder="1" applyAlignment="1">
      <alignment horizontal="center" vertical="center"/>
    </xf>
    <xf numFmtId="181" fontId="14" fillId="5" borderId="49" xfId="0" applyNumberFormat="1" applyFont="1" applyFill="1" applyBorder="1" applyAlignment="1">
      <alignment horizontal="center" vertical="center"/>
    </xf>
    <xf numFmtId="181" fontId="14" fillId="5" borderId="51" xfId="0" quotePrefix="1" applyNumberFormat="1" applyFont="1" applyFill="1" applyBorder="1" applyAlignment="1">
      <alignment horizontal="center" vertical="center"/>
    </xf>
    <xf numFmtId="181" fontId="14" fillId="5" borderId="45" xfId="0" applyNumberFormat="1" applyFont="1" applyFill="1" applyBorder="1" applyAlignment="1">
      <alignment horizontal="center" vertical="center"/>
    </xf>
    <xf numFmtId="181" fontId="14" fillId="5" borderId="37" xfId="0" quotePrefix="1" applyNumberFormat="1" applyFont="1" applyFill="1" applyBorder="1" applyAlignment="1">
      <alignment horizontal="center" vertical="center"/>
    </xf>
    <xf numFmtId="181" fontId="14" fillId="5" borderId="42" xfId="0" applyNumberFormat="1" applyFont="1" applyFill="1" applyBorder="1" applyAlignment="1">
      <alignment horizontal="center" vertical="center"/>
    </xf>
    <xf numFmtId="181" fontId="14" fillId="5" borderId="42" xfId="0" quotePrefix="1" applyNumberFormat="1" applyFont="1" applyFill="1" applyBorder="1" applyAlignment="1">
      <alignment horizontal="center" vertical="center"/>
    </xf>
    <xf numFmtId="0" fontId="14" fillId="5" borderId="34" xfId="0" applyFont="1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181" fontId="38" fillId="0" borderId="15" xfId="0" applyNumberFormat="1" applyFont="1" applyBorder="1" applyAlignment="1">
      <alignment horizontal="center" vertical="center"/>
    </xf>
    <xf numFmtId="180" fontId="15" fillId="5" borderId="11" xfId="0" applyNumberFormat="1" applyFont="1" applyFill="1" applyBorder="1" applyAlignment="1">
      <alignment horizontal="center" vertical="center"/>
    </xf>
    <xf numFmtId="180" fontId="15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5" fillId="5" borderId="134" xfId="0" applyNumberFormat="1" applyFont="1" applyFill="1" applyBorder="1" applyAlignment="1">
      <alignment horizontal="center" vertical="center"/>
    </xf>
    <xf numFmtId="180" fontId="15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4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39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4" fillId="0" borderId="127" xfId="0" quotePrefix="1" applyNumberFormat="1" applyFont="1" applyBorder="1" applyAlignment="1">
      <alignment horizontal="center" vertical="center"/>
    </xf>
    <xf numFmtId="181" fontId="14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5" fillId="0" borderId="135" xfId="2" applyNumberFormat="1" applyFont="1" applyBorder="1">
      <alignment vertical="center"/>
    </xf>
    <xf numFmtId="176" fontId="15" fillId="0" borderId="136" xfId="2" applyNumberFormat="1" applyFont="1" applyBorder="1">
      <alignment vertical="center"/>
    </xf>
    <xf numFmtId="176" fontId="15" fillId="0" borderId="136" xfId="2" applyNumberFormat="1" applyFont="1" applyFill="1" applyBorder="1">
      <alignment vertical="center"/>
    </xf>
    <xf numFmtId="0" fontId="14" fillId="0" borderId="135" xfId="0" applyFont="1" applyBorder="1" applyAlignment="1">
      <alignment horizontal="center" vertical="center"/>
    </xf>
    <xf numFmtId="176" fontId="16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2" fillId="8" borderId="15" xfId="0" applyNumberFormat="1" applyFont="1" applyFill="1" applyBorder="1" applyAlignment="1">
      <alignment horizontal="center" vertical="center" wrapText="1"/>
    </xf>
    <xf numFmtId="181" fontId="12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2" fillId="0" borderId="41" xfId="0" applyNumberFormat="1" applyFont="1" applyBorder="1" applyAlignment="1">
      <alignment horizontal="center" vertical="center"/>
    </xf>
    <xf numFmtId="180" fontId="15" fillId="8" borderId="18" xfId="0" applyNumberFormat="1" applyFont="1" applyFill="1" applyBorder="1" applyAlignment="1">
      <alignment horizontal="center" vertical="center" wrapText="1"/>
    </xf>
    <xf numFmtId="180" fontId="15" fillId="8" borderId="11" xfId="0" applyNumberFormat="1" applyFont="1" applyFill="1" applyBorder="1" applyAlignment="1">
      <alignment horizontal="center" vertical="center"/>
    </xf>
    <xf numFmtId="180" fontId="15" fillId="8" borderId="15" xfId="0" applyNumberFormat="1" applyFont="1" applyFill="1" applyBorder="1" applyAlignment="1">
      <alignment horizontal="center" vertical="center"/>
    </xf>
    <xf numFmtId="180" fontId="15" fillId="8" borderId="15" xfId="0" applyNumberFormat="1" applyFont="1" applyFill="1" applyBorder="1" applyAlignment="1">
      <alignment horizontal="center" vertical="center" wrapText="1"/>
    </xf>
    <xf numFmtId="180" fontId="15" fillId="8" borderId="25" xfId="0" applyNumberFormat="1" applyFont="1" applyFill="1" applyBorder="1" applyAlignment="1">
      <alignment horizontal="center" vertical="center" wrapText="1"/>
    </xf>
    <xf numFmtId="181" fontId="12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2" fillId="8" borderId="18" xfId="0" applyNumberFormat="1" applyFont="1" applyFill="1" applyBorder="1" applyAlignment="1">
      <alignment horizontal="center" vertical="center" wrapText="1"/>
    </xf>
    <xf numFmtId="0" fontId="20" fillId="0" borderId="0" xfId="9" applyFont="1">
      <alignment vertical="center"/>
    </xf>
    <xf numFmtId="0" fontId="11" fillId="0" borderId="0" xfId="9">
      <alignment vertical="center"/>
    </xf>
    <xf numFmtId="0" fontId="18" fillId="0" borderId="0" xfId="9" applyFont="1">
      <alignment vertical="center"/>
    </xf>
    <xf numFmtId="0" fontId="11" fillId="0" borderId="0" xfId="9" applyAlignment="1">
      <alignment horizontal="center" vertical="center"/>
    </xf>
    <xf numFmtId="0" fontId="11" fillId="0" borderId="0" xfId="9" applyAlignment="1">
      <alignment horizontal="right" vertical="center" wrapText="1"/>
    </xf>
    <xf numFmtId="178" fontId="21" fillId="0" borderId="0" xfId="9" applyNumberFormat="1" applyFont="1" applyAlignment="1">
      <alignment horizontal="center" vertical="center" wrapText="1"/>
    </xf>
    <xf numFmtId="0" fontId="15" fillId="0" borderId="0" xfId="9" applyFont="1" applyAlignment="1">
      <alignment horizontal="center" vertical="center" wrapText="1"/>
    </xf>
    <xf numFmtId="0" fontId="17" fillId="0" borderId="0" xfId="9" applyFont="1" applyAlignment="1">
      <alignment horizontal="center" vertical="center"/>
    </xf>
    <xf numFmtId="0" fontId="11" fillId="0" borderId="0" xfId="9" applyAlignment="1">
      <alignment vertical="center" wrapText="1"/>
    </xf>
    <xf numFmtId="0" fontId="14" fillId="2" borderId="7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4" fillId="2" borderId="32" xfId="9" applyFont="1" applyFill="1" applyBorder="1" applyAlignment="1">
      <alignment horizontal="center" vertical="center"/>
    </xf>
    <xf numFmtId="0" fontId="14" fillId="2" borderId="33" xfId="9" applyFont="1" applyFill="1" applyBorder="1" applyAlignment="1">
      <alignment horizontal="center" vertical="center"/>
    </xf>
    <xf numFmtId="0" fontId="14" fillId="2" borderId="9" xfId="9" applyFont="1" applyFill="1" applyBorder="1" applyAlignment="1">
      <alignment horizontal="center" vertical="center" wrapText="1"/>
    </xf>
    <xf numFmtId="0" fontId="15" fillId="0" borderId="10" xfId="9" applyFont="1" applyBorder="1" applyAlignment="1">
      <alignment horizontal="center" vertical="center"/>
    </xf>
    <xf numFmtId="0" fontId="11" fillId="0" borderId="11" xfId="9" applyBorder="1" applyAlignment="1">
      <alignment horizontal="center" vertical="center"/>
    </xf>
    <xf numFmtId="0" fontId="11" fillId="0" borderId="12" xfId="9" applyBorder="1" applyAlignment="1">
      <alignment horizontal="center" vertical="center"/>
    </xf>
    <xf numFmtId="180" fontId="15" fillId="0" borderId="11" xfId="9" applyNumberFormat="1" applyFont="1" applyBorder="1" applyAlignment="1">
      <alignment horizontal="center" vertical="center"/>
    </xf>
    <xf numFmtId="0" fontId="14" fillId="0" borderId="34" xfId="9" applyFont="1" applyBorder="1" applyAlignment="1">
      <alignment horizontal="center" vertical="center"/>
    </xf>
    <xf numFmtId="0" fontId="14" fillId="0" borderId="35" xfId="9" applyFont="1" applyBorder="1" applyAlignment="1">
      <alignment horizontal="center" vertical="center"/>
    </xf>
    <xf numFmtId="180" fontId="15" fillId="8" borderId="11" xfId="9" applyNumberFormat="1" applyFont="1" applyFill="1" applyBorder="1" applyAlignment="1">
      <alignment horizontal="center" vertical="center"/>
    </xf>
    <xf numFmtId="177" fontId="15" fillId="0" borderId="11" xfId="9" applyNumberFormat="1" applyFont="1" applyBorder="1" applyAlignment="1">
      <alignment horizontal="center" vertical="center"/>
    </xf>
    <xf numFmtId="0" fontId="27" fillId="0" borderId="11" xfId="9" applyFont="1" applyBorder="1" applyAlignment="1">
      <alignment horizontal="center" vertical="center"/>
    </xf>
    <xf numFmtId="0" fontId="11" fillId="0" borderId="36" xfId="9" applyBorder="1" applyAlignment="1">
      <alignment horizontal="center" vertical="center"/>
    </xf>
    <xf numFmtId="0" fontId="15" fillId="0" borderId="14" xfId="9" applyFont="1" applyBorder="1" applyAlignment="1">
      <alignment horizontal="center" vertical="center"/>
    </xf>
    <xf numFmtId="0" fontId="11" fillId="0" borderId="15" xfId="9" applyBorder="1" applyAlignment="1">
      <alignment horizontal="center" vertical="center"/>
    </xf>
    <xf numFmtId="180" fontId="15" fillId="0" borderId="15" xfId="9" applyNumberFormat="1" applyFont="1" applyBorder="1" applyAlignment="1">
      <alignment horizontal="center" vertical="center"/>
    </xf>
    <xf numFmtId="0" fontId="14" fillId="0" borderId="37" xfId="9" applyFont="1" applyBorder="1" applyAlignment="1">
      <alignment horizontal="center" vertical="center"/>
    </xf>
    <xf numFmtId="0" fontId="14" fillId="0" borderId="38" xfId="9" applyFont="1" applyBorder="1" applyAlignment="1">
      <alignment horizontal="center" vertical="center"/>
    </xf>
    <xf numFmtId="180" fontId="15" fillId="8" borderId="15" xfId="9" applyNumberFormat="1" applyFont="1" applyFill="1" applyBorder="1" applyAlignment="1">
      <alignment horizontal="center" vertical="center"/>
    </xf>
    <xf numFmtId="180" fontId="15" fillId="0" borderId="15" xfId="9" applyNumberFormat="1" applyFont="1" applyBorder="1" applyAlignment="1">
      <alignment horizontal="center" vertical="center" wrapText="1"/>
    </xf>
    <xf numFmtId="177" fontId="15" fillId="0" borderId="15" xfId="9" applyNumberFormat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15" fillId="0" borderId="39" xfId="9" applyFont="1" applyBorder="1" applyAlignment="1">
      <alignment horizontal="center" vertical="center" wrapText="1"/>
    </xf>
    <xf numFmtId="0" fontId="15" fillId="0" borderId="17" xfId="9" applyFont="1" applyBorder="1" applyAlignment="1">
      <alignment horizontal="center" vertical="center"/>
    </xf>
    <xf numFmtId="0" fontId="14" fillId="0" borderId="37" xfId="9" quotePrefix="1" applyFont="1" applyBorder="1" applyAlignment="1">
      <alignment horizontal="center" vertical="center"/>
    </xf>
    <xf numFmtId="0" fontId="14" fillId="0" borderId="38" xfId="9" quotePrefix="1" applyFont="1" applyBorder="1" applyAlignment="1">
      <alignment horizontal="center" vertical="center"/>
    </xf>
    <xf numFmtId="177" fontId="15" fillId="0" borderId="15" xfId="9" applyNumberFormat="1" applyFont="1" applyBorder="1" applyAlignment="1">
      <alignment horizontal="center" vertical="center" wrapText="1"/>
    </xf>
    <xf numFmtId="0" fontId="15" fillId="0" borderId="16" xfId="9" applyFont="1" applyBorder="1" applyAlignment="1">
      <alignment horizontal="center" vertical="center" wrapText="1"/>
    </xf>
    <xf numFmtId="0" fontId="15" fillId="0" borderId="14" xfId="9" applyFont="1" applyBorder="1" applyAlignment="1">
      <alignment horizontal="center" vertical="center" wrapText="1"/>
    </xf>
    <xf numFmtId="0" fontId="11" fillId="0" borderId="47" xfId="9" applyBorder="1" applyAlignment="1">
      <alignment horizontal="center" vertical="center"/>
    </xf>
    <xf numFmtId="180" fontId="15" fillId="0" borderId="47" xfId="9" applyNumberFormat="1" applyFont="1" applyBorder="1" applyAlignment="1">
      <alignment horizontal="center" vertical="center" wrapText="1"/>
    </xf>
    <xf numFmtId="177" fontId="15" fillId="0" borderId="47" xfId="9" applyNumberFormat="1" applyFont="1" applyBorder="1" applyAlignment="1">
      <alignment horizontal="center" vertical="center" wrapText="1"/>
    </xf>
    <xf numFmtId="0" fontId="15" fillId="0" borderId="50" xfId="9" applyFont="1" applyBorder="1" applyAlignment="1">
      <alignment horizontal="center" vertical="center" wrapText="1"/>
    </xf>
    <xf numFmtId="180" fontId="15" fillId="0" borderId="11" xfId="9" applyNumberFormat="1" applyFont="1" applyBorder="1" applyAlignment="1">
      <alignment horizontal="center" vertical="center" wrapText="1"/>
    </xf>
    <xf numFmtId="177" fontId="15" fillId="0" borderId="11" xfId="9" applyNumberFormat="1" applyFont="1" applyBorder="1" applyAlignment="1">
      <alignment horizontal="center" vertical="center" wrapText="1"/>
    </xf>
    <xf numFmtId="0" fontId="15" fillId="0" borderId="52" xfId="9" applyFont="1" applyBorder="1" applyAlignment="1">
      <alignment horizontal="center" vertical="center"/>
    </xf>
    <xf numFmtId="180" fontId="15" fillId="8" borderId="15" xfId="9" applyNumberFormat="1" applyFont="1" applyFill="1" applyBorder="1" applyAlignment="1">
      <alignment horizontal="center" vertical="center" wrapText="1"/>
    </xf>
    <xf numFmtId="0" fontId="15" fillId="0" borderId="62" xfId="9" applyFont="1" applyBorder="1" applyAlignment="1">
      <alignment horizontal="center" vertical="center" wrapText="1"/>
    </xf>
    <xf numFmtId="0" fontId="15" fillId="0" borderId="20" xfId="9" applyFont="1" applyBorder="1" applyAlignment="1">
      <alignment horizontal="center" vertical="center"/>
    </xf>
    <xf numFmtId="0" fontId="11" fillId="0" borderId="21" xfId="9" applyBorder="1" applyAlignment="1">
      <alignment horizontal="center" vertical="center"/>
    </xf>
    <xf numFmtId="180" fontId="15" fillId="0" borderId="21" xfId="9" applyNumberFormat="1" applyFont="1" applyBorder="1" applyAlignment="1">
      <alignment horizontal="center" vertical="center" wrapText="1"/>
    </xf>
    <xf numFmtId="177" fontId="15" fillId="0" borderId="21" xfId="9" applyNumberFormat="1" applyFont="1" applyBorder="1" applyAlignment="1">
      <alignment horizontal="center" vertical="center" wrapText="1"/>
    </xf>
    <xf numFmtId="0" fontId="15" fillId="0" borderId="63" xfId="9" applyFont="1" applyBorder="1" applyAlignment="1">
      <alignment horizontal="center" vertical="center" wrapText="1"/>
    </xf>
    <xf numFmtId="0" fontId="11" fillId="0" borderId="23" xfId="9" applyBorder="1" applyAlignment="1">
      <alignment horizontal="center" vertical="center"/>
    </xf>
    <xf numFmtId="180" fontId="11" fillId="0" borderId="0" xfId="9" applyNumberFormat="1">
      <alignment vertical="center"/>
    </xf>
    <xf numFmtId="0" fontId="15" fillId="0" borderId="19" xfId="9" applyFont="1" applyBorder="1" applyAlignment="1">
      <alignment horizontal="center" vertical="center" wrapText="1"/>
    </xf>
    <xf numFmtId="0" fontId="15" fillId="0" borderId="64" xfId="9" applyFont="1" applyBorder="1" applyAlignment="1">
      <alignment horizontal="center" vertical="center"/>
    </xf>
    <xf numFmtId="0" fontId="11" fillId="0" borderId="18" xfId="9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180" fontId="15" fillId="0" borderId="18" xfId="9" applyNumberFormat="1" applyFont="1" applyBorder="1" applyAlignment="1">
      <alignment horizontal="center" vertical="center" wrapText="1"/>
    </xf>
    <xf numFmtId="180" fontId="15" fillId="8" borderId="18" xfId="9" applyNumberFormat="1" applyFont="1" applyFill="1" applyBorder="1" applyAlignment="1">
      <alignment horizontal="center" vertical="center" wrapText="1"/>
    </xf>
    <xf numFmtId="0" fontId="14" fillId="0" borderId="54" xfId="9" applyFont="1" applyBorder="1" applyAlignment="1">
      <alignment horizontal="center" vertical="center"/>
    </xf>
    <xf numFmtId="0" fontId="14" fillId="0" borderId="55" xfId="9" applyFont="1" applyBorder="1" applyAlignment="1">
      <alignment horizontal="center" vertical="center"/>
    </xf>
    <xf numFmtId="177" fontId="15" fillId="0" borderId="18" xfId="9" applyNumberFormat="1" applyFont="1" applyBorder="1" applyAlignment="1">
      <alignment horizontal="center" vertical="center" wrapText="1"/>
    </xf>
    <xf numFmtId="0" fontId="15" fillId="0" borderId="44" xfId="9" applyFont="1" applyBorder="1" applyAlignment="1">
      <alignment horizontal="center" vertical="center" wrapText="1"/>
    </xf>
    <xf numFmtId="0" fontId="15" fillId="0" borderId="36" xfId="9" applyFont="1" applyBorder="1" applyAlignment="1">
      <alignment horizontal="center" vertical="center" wrapText="1"/>
    </xf>
    <xf numFmtId="0" fontId="11" fillId="0" borderId="41" xfId="9" applyBorder="1" applyAlignment="1">
      <alignment horizontal="center" vertical="center"/>
    </xf>
    <xf numFmtId="0" fontId="27" fillId="0" borderId="41" xfId="9" applyFont="1" applyBorder="1" applyAlignment="1">
      <alignment horizontal="center" vertical="center"/>
    </xf>
    <xf numFmtId="180" fontId="15" fillId="0" borderId="41" xfId="9" applyNumberFormat="1" applyFont="1" applyBorder="1" applyAlignment="1">
      <alignment horizontal="center" vertical="center" wrapText="1"/>
    </xf>
    <xf numFmtId="0" fontId="14" fillId="0" borderId="51" xfId="9" applyFont="1" applyBorder="1" applyAlignment="1">
      <alignment horizontal="center" vertical="center"/>
    </xf>
    <xf numFmtId="0" fontId="14" fillId="0" borderId="45" xfId="9" applyFont="1" applyBorder="1" applyAlignment="1">
      <alignment horizontal="center" vertical="center"/>
    </xf>
    <xf numFmtId="177" fontId="15" fillId="0" borderId="41" xfId="9" applyNumberFormat="1" applyFont="1" applyBorder="1" applyAlignment="1">
      <alignment horizontal="center" vertical="center" wrapText="1"/>
    </xf>
    <xf numFmtId="0" fontId="11" fillId="0" borderId="62" xfId="9" applyBorder="1">
      <alignment vertical="center"/>
    </xf>
    <xf numFmtId="0" fontId="15" fillId="0" borderId="24" xfId="9" applyFont="1" applyBorder="1" applyAlignment="1">
      <alignment horizontal="center" vertical="center"/>
    </xf>
    <xf numFmtId="0" fontId="11" fillId="0" borderId="25" xfId="9" applyBorder="1" applyAlignment="1">
      <alignment horizontal="center" vertical="center"/>
    </xf>
    <xf numFmtId="180" fontId="15" fillId="0" borderId="25" xfId="9" applyNumberFormat="1" applyFont="1" applyBorder="1" applyAlignment="1">
      <alignment horizontal="center" vertical="center" wrapText="1"/>
    </xf>
    <xf numFmtId="0" fontId="14" fillId="0" borderId="42" xfId="9" applyFont="1" applyBorder="1" applyAlignment="1">
      <alignment horizontal="center" vertical="center"/>
    </xf>
    <xf numFmtId="180" fontId="15" fillId="8" borderId="25" xfId="9" applyNumberFormat="1" applyFont="1" applyFill="1" applyBorder="1" applyAlignment="1">
      <alignment horizontal="center" vertical="center" wrapText="1"/>
    </xf>
    <xf numFmtId="177" fontId="15" fillId="0" borderId="25" xfId="9" applyNumberFormat="1" applyFont="1" applyBorder="1" applyAlignment="1">
      <alignment horizontal="center" vertical="center" wrapText="1"/>
    </xf>
    <xf numFmtId="0" fontId="27" fillId="0" borderId="25" xfId="9" applyFont="1" applyBorder="1" applyAlignment="1">
      <alignment horizontal="center" vertical="center"/>
    </xf>
    <xf numFmtId="0" fontId="15" fillId="0" borderId="26" xfId="9" applyFont="1" applyBorder="1" applyAlignment="1">
      <alignment horizontal="center" vertical="center" wrapText="1"/>
    </xf>
    <xf numFmtId="0" fontId="15" fillId="0" borderId="65" xfId="9" applyFont="1" applyBorder="1" applyAlignment="1">
      <alignment horizontal="center" vertical="center"/>
    </xf>
    <xf numFmtId="0" fontId="15" fillId="0" borderId="66" xfId="9" applyFont="1" applyBorder="1" applyAlignment="1">
      <alignment horizontal="center" vertical="center" wrapText="1"/>
    </xf>
    <xf numFmtId="0" fontId="14" fillId="0" borderId="43" xfId="9" quotePrefix="1" applyFont="1" applyBorder="1" applyAlignment="1">
      <alignment horizontal="center" vertical="center"/>
    </xf>
    <xf numFmtId="0" fontId="15" fillId="0" borderId="61" xfId="9" applyFont="1" applyBorder="1" applyAlignment="1">
      <alignment horizontal="center" vertical="center" wrapText="1"/>
    </xf>
    <xf numFmtId="0" fontId="15" fillId="0" borderId="56" xfId="9" applyFont="1" applyBorder="1" applyAlignment="1">
      <alignment horizontal="center" vertical="center"/>
    </xf>
    <xf numFmtId="0" fontId="23" fillId="0" borderId="17" xfId="9" applyFont="1" applyBorder="1" applyAlignment="1">
      <alignment horizontal="center" vertical="center" wrapText="1"/>
    </xf>
    <xf numFmtId="0" fontId="27" fillId="0" borderId="21" xfId="9" applyFont="1" applyBorder="1" applyAlignment="1">
      <alignment horizontal="center" vertical="center"/>
    </xf>
    <xf numFmtId="0" fontId="13" fillId="0" borderId="14" xfId="9" applyFont="1" applyBorder="1" applyAlignment="1">
      <alignment horizontal="center" vertical="center"/>
    </xf>
    <xf numFmtId="0" fontId="14" fillId="0" borderId="54" xfId="9" quotePrefix="1" applyFont="1" applyBorder="1" applyAlignment="1">
      <alignment horizontal="center" vertical="center"/>
    </xf>
    <xf numFmtId="0" fontId="15" fillId="0" borderId="17" xfId="9" applyFont="1" applyBorder="1" applyAlignment="1">
      <alignment horizontal="center" vertical="center" wrapText="1"/>
    </xf>
    <xf numFmtId="0" fontId="14" fillId="0" borderId="42" xfId="9" quotePrefix="1" applyFont="1" applyBorder="1" applyAlignment="1">
      <alignment horizontal="center" vertical="center"/>
    </xf>
    <xf numFmtId="0" fontId="15" fillId="0" borderId="0" xfId="9" applyFont="1" applyAlignment="1">
      <alignment horizontal="center" vertical="center"/>
    </xf>
    <xf numFmtId="0" fontId="27" fillId="0" borderId="0" xfId="9" applyFont="1" applyAlignment="1">
      <alignment horizontal="center" vertical="center"/>
    </xf>
    <xf numFmtId="180" fontId="15" fillId="0" borderId="0" xfId="9" applyNumberFormat="1" applyFont="1" applyAlignment="1">
      <alignment horizontal="center" vertical="center" wrapText="1"/>
    </xf>
    <xf numFmtId="0" fontId="14" fillId="0" borderId="0" xfId="9" quotePrefix="1" applyFont="1" applyAlignment="1">
      <alignment horizontal="center" vertical="center"/>
    </xf>
    <xf numFmtId="177" fontId="15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1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1" fillId="0" borderId="3" xfId="9" applyBorder="1">
      <alignment vertical="center"/>
    </xf>
    <xf numFmtId="0" fontId="11" fillId="0" borderId="141" xfId="9" applyBorder="1">
      <alignment vertical="center"/>
    </xf>
    <xf numFmtId="0" fontId="11" fillId="0" borderId="142" xfId="9" applyBorder="1">
      <alignment vertical="center"/>
    </xf>
    <xf numFmtId="0" fontId="11" fillId="0" borderId="143" xfId="9" applyBorder="1">
      <alignment vertical="center"/>
    </xf>
    <xf numFmtId="0" fontId="11" fillId="0" borderId="1" xfId="9" applyBorder="1">
      <alignment vertical="center"/>
    </xf>
    <xf numFmtId="0" fontId="11" fillId="0" borderId="144" xfId="9" applyBorder="1">
      <alignment vertical="center"/>
    </xf>
    <xf numFmtId="0" fontId="11" fillId="0" borderId="4" xfId="9" applyBorder="1">
      <alignment vertical="center"/>
    </xf>
    <xf numFmtId="0" fontId="11" fillId="0" borderId="101" xfId="9" applyBorder="1">
      <alignment vertical="center"/>
    </xf>
    <xf numFmtId="0" fontId="11" fillId="0" borderId="102" xfId="9" applyBorder="1">
      <alignment vertical="center"/>
    </xf>
    <xf numFmtId="0" fontId="14" fillId="0" borderId="102" xfId="9" applyFont="1" applyBorder="1" applyAlignment="1">
      <alignment horizontal="center" vertical="center"/>
    </xf>
    <xf numFmtId="0" fontId="11" fillId="0" borderId="115" xfId="9" applyBorder="1" applyAlignment="1">
      <alignment horizontal="center" vertical="center"/>
    </xf>
    <xf numFmtId="0" fontId="11" fillId="0" borderId="138" xfId="9" applyBorder="1">
      <alignment vertical="center"/>
    </xf>
    <xf numFmtId="0" fontId="14" fillId="0" borderId="145" xfId="9" applyFont="1" applyBorder="1" applyAlignment="1">
      <alignment horizontal="center" vertical="center"/>
    </xf>
    <xf numFmtId="0" fontId="11" fillId="0" borderId="145" xfId="9" applyBorder="1">
      <alignment vertical="center"/>
    </xf>
    <xf numFmtId="0" fontId="11" fillId="0" borderId="2" xfId="9" applyBorder="1">
      <alignment vertical="center"/>
    </xf>
    <xf numFmtId="0" fontId="11" fillId="0" borderId="99" xfId="9" applyBorder="1">
      <alignment vertical="center"/>
    </xf>
    <xf numFmtId="49" fontId="15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4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5" fillId="0" borderId="147" xfId="0" applyFont="1" applyBorder="1" applyAlignment="1">
      <alignment horizontal="center" vertical="center"/>
    </xf>
    <xf numFmtId="181" fontId="14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81" fontId="14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81" fontId="15" fillId="0" borderId="0" xfId="0" applyNumberFormat="1" applyFont="1" applyAlignment="1">
      <alignment horizontal="right" vertical="center" wrapText="1"/>
    </xf>
    <xf numFmtId="181" fontId="16" fillId="2" borderId="7" xfId="0" applyNumberFormat="1" applyFont="1" applyFill="1" applyBorder="1" applyAlignment="1">
      <alignment horizontal="center" vertical="center"/>
    </xf>
    <xf numFmtId="181" fontId="15" fillId="0" borderId="10" xfId="0" applyNumberFormat="1" applyFont="1" applyBorder="1" applyAlignment="1">
      <alignment horizontal="center" vertical="center"/>
    </xf>
    <xf numFmtId="181" fontId="15" fillId="0" borderId="14" xfId="0" applyNumberFormat="1" applyFont="1" applyBorder="1" applyAlignment="1">
      <alignment horizontal="center" vertical="center"/>
    </xf>
    <xf numFmtId="181" fontId="15" fillId="0" borderId="17" xfId="0" applyNumberFormat="1" applyFont="1" applyBorder="1" applyAlignment="1">
      <alignment horizontal="center" vertical="center"/>
    </xf>
    <xf numFmtId="181" fontId="15" fillId="0" borderId="40" xfId="0" applyNumberFormat="1" applyFont="1" applyBorder="1" applyAlignment="1">
      <alignment horizontal="center" vertical="center"/>
    </xf>
    <xf numFmtId="181" fontId="15" fillId="0" borderId="17" xfId="0" applyNumberFormat="1" applyFont="1" applyBorder="1" applyAlignment="1">
      <alignment horizontal="center" vertical="center" wrapText="1"/>
    </xf>
    <xf numFmtId="181" fontId="15" fillId="0" borderId="58" xfId="0" applyNumberFormat="1" applyFont="1" applyBorder="1" applyAlignment="1">
      <alignment horizontal="center" vertical="center"/>
    </xf>
    <xf numFmtId="181" fontId="15" fillId="0" borderId="0" xfId="0" applyNumberFormat="1" applyFont="1" applyAlignment="1">
      <alignment horizontal="center" vertical="center"/>
    </xf>
    <xf numFmtId="181" fontId="18" fillId="0" borderId="0" xfId="0" applyNumberFormat="1" applyFont="1">
      <alignment vertical="center"/>
    </xf>
    <xf numFmtId="181" fontId="15" fillId="0" borderId="46" xfId="0" applyNumberFormat="1" applyFont="1" applyBorder="1" applyAlignment="1">
      <alignment horizontal="center" vertical="center"/>
    </xf>
    <xf numFmtId="181" fontId="15" fillId="0" borderId="24" xfId="0" applyNumberFormat="1" applyFont="1" applyBorder="1" applyAlignment="1">
      <alignment horizontal="center" vertical="center"/>
    </xf>
    <xf numFmtId="181" fontId="15" fillId="0" borderId="0" xfId="0" applyNumberFormat="1" applyFont="1">
      <alignment vertical="center"/>
    </xf>
    <xf numFmtId="181" fontId="15" fillId="0" borderId="40" xfId="0" applyNumberFormat="1" applyFont="1" applyBorder="1" applyAlignment="1">
      <alignment horizontal="center" vertical="center" wrapText="1"/>
    </xf>
    <xf numFmtId="181" fontId="15" fillId="0" borderId="56" xfId="0" applyNumberFormat="1" applyFont="1" applyBorder="1" applyAlignment="1">
      <alignment horizontal="center" vertical="center" wrapText="1"/>
    </xf>
    <xf numFmtId="0" fontId="15" fillId="0" borderId="0" xfId="0" applyFont="1">
      <alignment vertical="center"/>
    </xf>
    <xf numFmtId="181" fontId="15" fillId="0" borderId="52" xfId="0" applyNumberFormat="1" applyFont="1" applyBorder="1" applyAlignment="1">
      <alignment horizontal="center" vertical="center" wrapText="1"/>
    </xf>
    <xf numFmtId="0" fontId="15" fillId="0" borderId="52" xfId="0" applyFont="1" applyBorder="1">
      <alignment vertical="center"/>
    </xf>
    <xf numFmtId="181" fontId="15" fillId="0" borderId="24" xfId="0" applyNumberFormat="1" applyFont="1" applyBorder="1" applyAlignment="1">
      <alignment horizontal="center" vertical="center" wrapText="1"/>
    </xf>
    <xf numFmtId="181" fontId="15" fillId="0" borderId="0" xfId="0" applyNumberFormat="1" applyFont="1" applyAlignment="1">
      <alignment horizontal="center" vertical="center" wrapText="1"/>
    </xf>
    <xf numFmtId="181" fontId="18" fillId="0" borderId="0" xfId="0" applyNumberFormat="1" applyFont="1" applyAlignment="1">
      <alignment horizontal="center" vertical="center"/>
    </xf>
    <xf numFmtId="181" fontId="16" fillId="2" borderId="33" xfId="0" applyNumberFormat="1" applyFont="1" applyFill="1" applyBorder="1" applyAlignment="1">
      <alignment horizontal="center" vertical="center"/>
    </xf>
    <xf numFmtId="181" fontId="16" fillId="0" borderId="35" xfId="0" applyNumberFormat="1" applyFont="1" applyBorder="1" applyAlignment="1">
      <alignment horizontal="center" vertical="center"/>
    </xf>
    <xf numFmtId="181" fontId="16" fillId="0" borderId="38" xfId="0" applyNumberFormat="1" applyFont="1" applyBorder="1" applyAlignment="1">
      <alignment horizontal="center" vertical="center"/>
    </xf>
    <xf numFmtId="181" fontId="16" fillId="0" borderId="45" xfId="0" applyNumberFormat="1" applyFont="1" applyBorder="1" applyAlignment="1">
      <alignment horizontal="center" vertical="center"/>
    </xf>
    <xf numFmtId="181" fontId="16" fillId="0" borderId="43" xfId="0" applyNumberFormat="1" applyFont="1" applyBorder="1" applyAlignment="1">
      <alignment horizontal="center" vertical="center"/>
    </xf>
    <xf numFmtId="181" fontId="16" fillId="0" borderId="0" xfId="0" quotePrefix="1" applyNumberFormat="1" applyFont="1" applyAlignment="1">
      <alignment horizontal="center" vertical="center"/>
    </xf>
    <xf numFmtId="181" fontId="16" fillId="0" borderId="38" xfId="0" quotePrefix="1" applyNumberFormat="1" applyFont="1" applyBorder="1" applyAlignment="1">
      <alignment horizontal="center" vertical="center"/>
    </xf>
    <xf numFmtId="181" fontId="16" fillId="0" borderId="45" xfId="0" quotePrefix="1" applyNumberFormat="1" applyFont="1" applyBorder="1" applyAlignment="1">
      <alignment horizontal="center" vertical="center"/>
    </xf>
    <xf numFmtId="181" fontId="16" fillId="0" borderId="43" xfId="0" quotePrefix="1" applyNumberFormat="1" applyFont="1" applyBorder="1" applyAlignment="1">
      <alignment horizontal="center" vertical="center"/>
    </xf>
    <xf numFmtId="181" fontId="16" fillId="0" borderId="131" xfId="0" applyNumberFormat="1" applyFont="1" applyBorder="1" applyAlignment="1">
      <alignment horizontal="center" vertical="center"/>
    </xf>
    <xf numFmtId="181" fontId="16" fillId="0" borderId="128" xfId="0" applyNumberFormat="1" applyFont="1" applyBorder="1" applyAlignment="1">
      <alignment horizontal="center" vertical="center"/>
    </xf>
    <xf numFmtId="181" fontId="15" fillId="0" borderId="0" xfId="0" applyNumberFormat="1" applyFont="1" applyAlignment="1">
      <alignment vertical="center" wrapText="1"/>
    </xf>
    <xf numFmtId="181" fontId="16" fillId="2" borderId="9" xfId="0" applyNumberFormat="1" applyFont="1" applyFill="1" applyBorder="1" applyAlignment="1">
      <alignment horizontal="center" vertical="center" wrapText="1"/>
    </xf>
    <xf numFmtId="181" fontId="15" fillId="0" borderId="13" xfId="0" applyNumberFormat="1" applyFont="1" applyBorder="1" applyAlignment="1">
      <alignment horizontal="center" vertical="center" wrapText="1"/>
    </xf>
    <xf numFmtId="181" fontId="15" fillId="0" borderId="16" xfId="0" applyNumberFormat="1" applyFont="1" applyBorder="1" applyAlignment="1">
      <alignment horizontal="center" vertical="center" wrapText="1"/>
    </xf>
    <xf numFmtId="181" fontId="15" fillId="0" borderId="39" xfId="0" applyNumberFormat="1" applyFont="1" applyBorder="1" applyAlignment="1">
      <alignment horizontal="center" vertical="center" wrapText="1"/>
    </xf>
    <xf numFmtId="181" fontId="15" fillId="0" borderId="26" xfId="0" applyNumberFormat="1" applyFont="1" applyBorder="1" applyAlignment="1">
      <alignment horizontal="center" vertical="center" wrapText="1"/>
    </xf>
    <xf numFmtId="181" fontId="15" fillId="0" borderId="13" xfId="0" applyNumberFormat="1" applyFont="1" applyBorder="1" applyAlignment="1">
      <alignment horizontal="center" vertical="center"/>
    </xf>
    <xf numFmtId="181" fontId="15" fillId="0" borderId="62" xfId="0" applyNumberFormat="1" applyFont="1" applyBorder="1" applyAlignment="1">
      <alignment horizontal="center" vertical="center" wrapText="1"/>
    </xf>
    <xf numFmtId="181" fontId="15" fillId="0" borderId="68" xfId="0" applyNumberFormat="1" applyFont="1" applyBorder="1" applyAlignment="1">
      <alignment horizontal="center" vertical="center" wrapText="1"/>
    </xf>
    <xf numFmtId="181" fontId="15" fillId="0" borderId="44" xfId="0" applyNumberFormat="1" applyFont="1" applyBorder="1" applyAlignment="1">
      <alignment horizontal="center" vertical="center" wrapText="1"/>
    </xf>
    <xf numFmtId="181" fontId="15" fillId="0" borderId="61" xfId="0" applyNumberFormat="1" applyFont="1" applyBorder="1" applyAlignment="1">
      <alignment horizontal="center" vertical="center" wrapText="1"/>
    </xf>
    <xf numFmtId="181" fontId="16" fillId="2" borderId="8" xfId="0" applyNumberFormat="1" applyFont="1" applyFill="1" applyBorder="1" applyAlignment="1">
      <alignment horizontal="center" vertical="center"/>
    </xf>
    <xf numFmtId="181" fontId="15" fillId="0" borderId="11" xfId="0" applyNumberFormat="1" applyFont="1" applyBorder="1" applyAlignment="1">
      <alignment horizontal="center" vertical="center"/>
    </xf>
    <xf numFmtId="181" fontId="15" fillId="0" borderId="15" xfId="0" applyNumberFormat="1" applyFont="1" applyBorder="1" applyAlignment="1">
      <alignment horizontal="center" vertical="center"/>
    </xf>
    <xf numFmtId="181" fontId="15" fillId="0" borderId="41" xfId="0" applyNumberFormat="1" applyFont="1" applyBorder="1" applyAlignment="1">
      <alignment horizontal="center" vertical="center"/>
    </xf>
    <xf numFmtId="181" fontId="15" fillId="0" borderId="25" xfId="0" applyNumberFormat="1" applyFont="1" applyBorder="1" applyAlignment="1">
      <alignment horizontal="center" vertical="center"/>
    </xf>
    <xf numFmtId="181" fontId="15" fillId="0" borderId="47" xfId="0" applyNumberFormat="1" applyFont="1" applyBorder="1" applyAlignment="1">
      <alignment horizontal="center" vertical="center"/>
    </xf>
    <xf numFmtId="181" fontId="15" fillId="0" borderId="132" xfId="0" applyNumberFormat="1" applyFont="1" applyBorder="1" applyAlignment="1">
      <alignment horizontal="center" vertical="center"/>
    </xf>
    <xf numFmtId="181" fontId="15" fillId="0" borderId="133" xfId="0" applyNumberFormat="1" applyFont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4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4" fillId="2" borderId="164" xfId="9" applyFont="1" applyFill="1" applyBorder="1" applyAlignment="1">
      <alignment horizontal="center" vertical="center"/>
    </xf>
    <xf numFmtId="0" fontId="11" fillId="0" borderId="30" xfId="9" applyBorder="1" applyAlignment="1">
      <alignment horizontal="center" vertical="center"/>
    </xf>
    <xf numFmtId="0" fontId="11" fillId="0" borderId="165" xfId="9" applyBorder="1" applyAlignment="1">
      <alignment horizontal="center" vertical="center"/>
    </xf>
    <xf numFmtId="0" fontId="11" fillId="0" borderId="108" xfId="9" applyBorder="1" applyAlignment="1">
      <alignment horizontal="center" vertical="center"/>
    </xf>
    <xf numFmtId="0" fontId="11" fillId="0" borderId="5" xfId="9" applyBorder="1" applyAlignment="1">
      <alignment horizontal="center" vertical="center"/>
    </xf>
    <xf numFmtId="0" fontId="11" fillId="0" borderId="166" xfId="9" applyBorder="1" applyAlignment="1">
      <alignment horizontal="center" vertical="center"/>
    </xf>
    <xf numFmtId="0" fontId="11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1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1" fillId="0" borderId="0" xfId="9" applyFont="1" applyAlignment="1">
      <alignment horizontal="center" vertical="center"/>
    </xf>
    <xf numFmtId="0" fontId="12" fillId="2" borderId="164" xfId="9" applyFont="1" applyFill="1" applyBorder="1" applyAlignment="1">
      <alignment horizontal="center" vertical="center"/>
    </xf>
    <xf numFmtId="0" fontId="12" fillId="0" borderId="165" xfId="9" applyFont="1" applyBorder="1" applyAlignment="1">
      <alignment horizontal="center" vertical="center"/>
    </xf>
    <xf numFmtId="0" fontId="12" fillId="0" borderId="30" xfId="9" applyFont="1" applyBorder="1" applyAlignment="1">
      <alignment horizontal="center" vertical="center"/>
    </xf>
    <xf numFmtId="0" fontId="12" fillId="0" borderId="30" xfId="9" quotePrefix="1" applyFont="1" applyBorder="1" applyAlignment="1">
      <alignment horizontal="center" vertical="center"/>
    </xf>
    <xf numFmtId="0" fontId="12" fillId="0" borderId="168" xfId="9" quotePrefix="1" applyFont="1" applyBorder="1" applyAlignment="1">
      <alignment horizontal="center" vertical="center"/>
    </xf>
    <xf numFmtId="0" fontId="12" fillId="0" borderId="165" xfId="9" quotePrefix="1" applyFont="1" applyBorder="1" applyAlignment="1">
      <alignment horizontal="center" vertical="center"/>
    </xf>
    <xf numFmtId="0" fontId="12" fillId="0" borderId="108" xfId="9" quotePrefix="1" applyFont="1" applyBorder="1" applyAlignment="1">
      <alignment horizontal="center" vertical="center"/>
    </xf>
    <xf numFmtId="0" fontId="12" fillId="0" borderId="5" xfId="9" applyFont="1" applyBorder="1" applyAlignment="1">
      <alignment horizontal="center" vertical="center"/>
    </xf>
    <xf numFmtId="0" fontId="12" fillId="0" borderId="166" xfId="9" applyFont="1" applyBorder="1" applyAlignment="1">
      <alignment horizontal="center" vertical="center"/>
    </xf>
    <xf numFmtId="0" fontId="12" fillId="0" borderId="167" xfId="9" quotePrefix="1" applyFont="1" applyBorder="1" applyAlignment="1">
      <alignment horizontal="center" vertical="center"/>
    </xf>
    <xf numFmtId="0" fontId="12" fillId="0" borderId="108" xfId="9" applyFont="1" applyBorder="1" applyAlignment="1">
      <alignment horizontal="center" vertical="center"/>
    </xf>
    <xf numFmtId="0" fontId="12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4" fillId="4" borderId="37" xfId="0" applyFont="1" applyFill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42" fillId="0" borderId="37" xfId="0" applyFont="1" applyBorder="1" applyAlignment="1">
      <alignment horizontal="center" vertical="center"/>
    </xf>
    <xf numFmtId="0" fontId="25" fillId="4" borderId="37" xfId="0" applyFont="1" applyFill="1" applyBorder="1" applyAlignment="1">
      <alignment horizontal="center" vertical="center"/>
    </xf>
    <xf numFmtId="0" fontId="25" fillId="0" borderId="38" xfId="0" applyFont="1" applyBorder="1" applyAlignment="1">
      <alignment horizontal="center" vertical="center"/>
    </xf>
    <xf numFmtId="0" fontId="25" fillId="0" borderId="38" xfId="0" applyFont="1" applyBorder="1" applyAlignment="1">
      <alignment horizontal="center" vertical="center" shrinkToFit="1"/>
    </xf>
    <xf numFmtId="0" fontId="14" fillId="0" borderId="38" xfId="0" applyFont="1" applyBorder="1" applyAlignment="1">
      <alignment horizontal="center" vertical="center" shrinkToFit="1"/>
    </xf>
    <xf numFmtId="0" fontId="38" fillId="0" borderId="15" xfId="0" applyFont="1" applyBorder="1" applyAlignment="1">
      <alignment horizontal="center" vertical="center"/>
    </xf>
    <xf numFmtId="0" fontId="38" fillId="0" borderId="25" xfId="0" applyFont="1" applyBorder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0" fontId="44" fillId="0" borderId="24" xfId="0" applyFont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 vertical="center" wrapText="1"/>
    </xf>
    <xf numFmtId="0" fontId="31" fillId="0" borderId="39" xfId="0" applyFont="1" applyBorder="1" applyAlignment="1">
      <alignment horizontal="center" vertical="center" wrapText="1"/>
    </xf>
    <xf numFmtId="0" fontId="44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5" fillId="0" borderId="0" xfId="9" applyNumberFormat="1" applyFont="1" applyAlignment="1">
      <alignment vertical="center" wrapText="1"/>
    </xf>
    <xf numFmtId="181" fontId="14" fillId="0" borderId="50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146" xfId="0" applyNumberFormat="1" applyFont="1" applyBorder="1" applyAlignment="1">
      <alignment horizontal="center" vertical="center" wrapText="1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4" fillId="7" borderId="16" xfId="0" applyNumberFormat="1" applyFont="1" applyFill="1" applyBorder="1" applyAlignment="1">
      <alignment horizontal="center" vertical="center" wrapText="1"/>
    </xf>
    <xf numFmtId="181" fontId="14" fillId="7" borderId="50" xfId="0" applyNumberFormat="1" applyFont="1" applyFill="1" applyBorder="1" applyAlignment="1">
      <alignment horizontal="center" vertical="center" wrapText="1"/>
    </xf>
    <xf numFmtId="181" fontId="14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6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4" fillId="10" borderId="37" xfId="0" applyFont="1" applyFill="1" applyBorder="1" applyAlignment="1">
      <alignment horizontal="center" vertical="center"/>
    </xf>
    <xf numFmtId="0" fontId="14" fillId="10" borderId="38" xfId="0" applyFont="1" applyFill="1" applyBorder="1" applyAlignment="1">
      <alignment horizontal="center" vertical="center"/>
    </xf>
    <xf numFmtId="0" fontId="14" fillId="10" borderId="38" xfId="0" applyFont="1" applyFill="1" applyBorder="1" applyAlignment="1">
      <alignment horizontal="left" vertical="center"/>
    </xf>
    <xf numFmtId="0" fontId="46" fillId="10" borderId="38" xfId="0" applyFont="1" applyFill="1" applyBorder="1" applyAlignment="1">
      <alignment horizontal="center" vertical="center" wrapText="1"/>
    </xf>
    <xf numFmtId="181" fontId="12" fillId="7" borderId="39" xfId="0" applyNumberFormat="1" applyFont="1" applyFill="1" applyBorder="1" applyAlignment="1">
      <alignment horizontal="center" vertical="center" wrapText="1"/>
    </xf>
    <xf numFmtId="0" fontId="20" fillId="4" borderId="0" xfId="0" applyFont="1" applyFill="1">
      <alignment vertical="center"/>
    </xf>
    <xf numFmtId="0" fontId="49" fillId="0" borderId="13" xfId="0" applyFont="1" applyBorder="1" applyAlignment="1">
      <alignment horizontal="left" vertical="center"/>
    </xf>
    <xf numFmtId="0" fontId="49" fillId="0" borderId="19" xfId="0" applyFont="1" applyBorder="1" applyAlignment="1">
      <alignment horizontal="left" vertical="center"/>
    </xf>
    <xf numFmtId="0" fontId="49" fillId="0" borderId="16" xfId="0" applyFont="1" applyBorder="1" applyAlignment="1">
      <alignment horizontal="left" vertical="center"/>
    </xf>
    <xf numFmtId="0" fontId="31" fillId="7" borderId="10" xfId="0" applyFont="1" applyFill="1" applyBorder="1" applyAlignment="1">
      <alignment horizontal="center" vertical="center"/>
    </xf>
    <xf numFmtId="0" fontId="31" fillId="7" borderId="17" xfId="0" applyFont="1" applyFill="1" applyBorder="1" applyAlignment="1">
      <alignment horizontal="center" vertical="center"/>
    </xf>
    <xf numFmtId="0" fontId="31" fillId="7" borderId="14" xfId="0" applyFont="1" applyFill="1" applyBorder="1" applyAlignment="1">
      <alignment horizontal="center" vertical="center"/>
    </xf>
    <xf numFmtId="0" fontId="50" fillId="0" borderId="16" xfId="0" applyFont="1" applyBorder="1" applyAlignment="1">
      <alignment horizontal="left" vertical="center"/>
    </xf>
    <xf numFmtId="0" fontId="50" fillId="0" borderId="16" xfId="0" applyFont="1" applyBorder="1" applyAlignment="1">
      <alignment horizontal="center" vertical="center"/>
    </xf>
    <xf numFmtId="0" fontId="25" fillId="0" borderId="16" xfId="0" applyFont="1" applyBorder="1" applyAlignment="1">
      <alignment horizontal="center" vertical="center"/>
    </xf>
    <xf numFmtId="181" fontId="43" fillId="0" borderId="38" xfId="0" applyNumberFormat="1" applyFont="1" applyBorder="1" applyAlignment="1">
      <alignment horizontal="center" vertical="center"/>
    </xf>
    <xf numFmtId="181" fontId="25" fillId="0" borderId="37" xfId="0" applyNumberFormat="1" applyFont="1" applyBorder="1" applyAlignment="1">
      <alignment horizontal="center" vertical="center"/>
    </xf>
    <xf numFmtId="181" fontId="25" fillId="0" borderId="37" xfId="0" quotePrefix="1" applyNumberFormat="1" applyFont="1" applyBorder="1" applyAlignment="1">
      <alignment horizontal="center" vertical="center"/>
    </xf>
    <xf numFmtId="181" fontId="43" fillId="15" borderId="38" xfId="0" applyNumberFormat="1" applyFont="1" applyFill="1" applyBorder="1" applyAlignment="1">
      <alignment horizontal="center" vertical="center"/>
    </xf>
    <xf numFmtId="181" fontId="43" fillId="0" borderId="38" xfId="0" quotePrefix="1" applyNumberFormat="1" applyFont="1" applyBorder="1" applyAlignment="1">
      <alignment horizontal="center" vertical="center"/>
    </xf>
    <xf numFmtId="181" fontId="49" fillId="0" borderId="37" xfId="0" quotePrefix="1" applyNumberFormat="1" applyFont="1" applyBorder="1" applyAlignment="1">
      <alignment horizontal="center" vertical="center" wrapText="1"/>
    </xf>
    <xf numFmtId="181" fontId="45" fillId="0" borderId="37" xfId="0" quotePrefix="1" applyNumberFormat="1" applyFont="1" applyBorder="1" applyAlignment="1">
      <alignment horizontal="center" vertical="center"/>
    </xf>
    <xf numFmtId="181" fontId="43" fillId="0" borderId="45" xfId="0" applyNumberFormat="1" applyFont="1" applyBorder="1" applyAlignment="1">
      <alignment horizontal="center" vertical="center"/>
    </xf>
    <xf numFmtId="0" fontId="31" fillId="4" borderId="14" xfId="0" applyFont="1" applyFill="1" applyBorder="1" applyAlignment="1">
      <alignment horizontal="center" vertical="center"/>
    </xf>
    <xf numFmtId="0" fontId="31" fillId="4" borderId="40" xfId="0" applyFont="1" applyFill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43" fillId="0" borderId="16" xfId="0" applyFont="1" applyBorder="1" applyAlignment="1">
      <alignment horizontal="center" vertical="center" wrapText="1"/>
    </xf>
    <xf numFmtId="0" fontId="43" fillId="4" borderId="16" xfId="0" applyFont="1" applyFill="1" applyBorder="1" applyAlignment="1">
      <alignment horizontal="center" vertical="center" wrapText="1"/>
    </xf>
    <xf numFmtId="0" fontId="43" fillId="0" borderId="52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43" fillId="0" borderId="17" xfId="9" applyFont="1" applyBorder="1" applyAlignment="1">
      <alignment horizontal="center" vertical="center"/>
    </xf>
    <xf numFmtId="0" fontId="43" fillId="0" borderId="56" xfId="9" applyFont="1" applyBorder="1" applyAlignment="1">
      <alignment horizontal="center" vertical="center"/>
    </xf>
    <xf numFmtId="0" fontId="25" fillId="0" borderId="37" xfId="9" applyFont="1" applyBorder="1" applyAlignment="1">
      <alignment horizontal="center" vertical="center"/>
    </xf>
    <xf numFmtId="0" fontId="43" fillId="0" borderId="16" xfId="9" applyFont="1" applyBorder="1" applyAlignment="1">
      <alignment horizontal="center" vertical="center" wrapText="1"/>
    </xf>
    <xf numFmtId="0" fontId="43" fillId="0" borderId="30" xfId="9" applyFont="1" applyBorder="1" applyAlignment="1">
      <alignment horizontal="center" vertical="center"/>
    </xf>
    <xf numFmtId="0" fontId="43" fillId="4" borderId="16" xfId="9" applyFont="1" applyFill="1" applyBorder="1" applyAlignment="1">
      <alignment horizontal="center" vertical="center" wrapText="1"/>
    </xf>
    <xf numFmtId="0" fontId="43" fillId="0" borderId="67" xfId="9" applyFont="1" applyBorder="1" applyAlignment="1">
      <alignment horizontal="center" vertical="center"/>
    </xf>
    <xf numFmtId="0" fontId="25" fillId="0" borderId="34" xfId="9" applyFont="1" applyBorder="1" applyAlignment="1">
      <alignment horizontal="center" vertical="center"/>
    </xf>
    <xf numFmtId="0" fontId="25" fillId="0" borderId="35" xfId="9" applyFont="1" applyBorder="1" applyAlignment="1">
      <alignment horizontal="center" vertical="center"/>
    </xf>
    <xf numFmtId="0" fontId="43" fillId="0" borderId="36" xfId="9" applyFont="1" applyBorder="1" applyAlignment="1">
      <alignment horizontal="center" vertical="center" wrapText="1"/>
    </xf>
    <xf numFmtId="0" fontId="57" fillId="0" borderId="0" xfId="0" applyFont="1" applyAlignment="1">
      <alignment horizontal="center" vertical="center"/>
    </xf>
    <xf numFmtId="0" fontId="57" fillId="0" borderId="97" xfId="0" applyFont="1" applyBorder="1" applyAlignment="1">
      <alignment horizontal="center" vertical="center"/>
    </xf>
    <xf numFmtId="184" fontId="58" fillId="7" borderId="150" xfId="2" applyNumberFormat="1" applyFont="1" applyFill="1" applyBorder="1" applyAlignment="1" applyProtection="1">
      <alignment horizontal="center" vertical="center"/>
    </xf>
    <xf numFmtId="0" fontId="57" fillId="0" borderId="98" xfId="0" applyFont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184" fontId="58" fillId="7" borderId="90" xfId="2" applyNumberFormat="1" applyFont="1" applyFill="1" applyBorder="1" applyAlignment="1" applyProtection="1">
      <alignment horizontal="center" vertical="center"/>
    </xf>
    <xf numFmtId="0" fontId="57" fillId="0" borderId="72" xfId="0" applyFont="1" applyBorder="1" applyAlignment="1">
      <alignment horizontal="center" vertical="center"/>
    </xf>
    <xf numFmtId="184" fontId="59" fillId="6" borderId="97" xfId="2" applyNumberFormat="1" applyFont="1" applyFill="1" applyBorder="1" applyAlignment="1" applyProtection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/>
    </xf>
    <xf numFmtId="184" fontId="59" fillId="7" borderId="75" xfId="2" applyNumberFormat="1" applyFont="1" applyFill="1" applyBorder="1" applyAlignment="1" applyProtection="1">
      <alignment horizontal="center" vertical="center"/>
    </xf>
    <xf numFmtId="0" fontId="60" fillId="0" borderId="82" xfId="0" applyFont="1" applyBorder="1" applyAlignment="1">
      <alignment horizontal="left" vertical="center"/>
    </xf>
    <xf numFmtId="0" fontId="57" fillId="1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184" fontId="58" fillId="7" borderId="75" xfId="2" applyNumberFormat="1" applyFont="1" applyFill="1" applyBorder="1" applyAlignment="1" applyProtection="1">
      <alignment horizontal="center" vertical="center" wrapText="1"/>
    </xf>
    <xf numFmtId="0" fontId="58" fillId="0" borderId="6" xfId="0" applyFont="1" applyBorder="1" applyAlignment="1">
      <alignment horizontal="center" vertical="center" wrapText="1"/>
    </xf>
    <xf numFmtId="0" fontId="59" fillId="0" borderId="82" xfId="0" applyFont="1" applyBorder="1" applyAlignment="1">
      <alignment horizontal="center" vertical="center"/>
    </xf>
    <xf numFmtId="0" fontId="60" fillId="0" borderId="82" xfId="0" applyFont="1" applyBorder="1" applyAlignment="1">
      <alignment horizontal="center" vertical="center"/>
    </xf>
    <xf numFmtId="184" fontId="59" fillId="6" borderId="71" xfId="2" applyNumberFormat="1" applyFont="1" applyFill="1" applyBorder="1" applyAlignment="1" applyProtection="1">
      <alignment horizontal="center" vertical="center"/>
    </xf>
    <xf numFmtId="0" fontId="59" fillId="0" borderId="72" xfId="0" applyFont="1" applyBorder="1" applyAlignment="1">
      <alignment horizontal="center" vertical="center"/>
    </xf>
    <xf numFmtId="184" fontId="59" fillId="7" borderId="92" xfId="2" applyNumberFormat="1" applyFont="1" applyFill="1" applyBorder="1" applyAlignment="1" applyProtection="1">
      <alignment horizontal="center" vertical="center"/>
    </xf>
    <xf numFmtId="0" fontId="58" fillId="7" borderId="6" xfId="0" applyFont="1" applyFill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 wrapText="1"/>
    </xf>
    <xf numFmtId="0" fontId="58" fillId="0" borderId="97" xfId="0" applyFont="1" applyBorder="1" applyAlignment="1">
      <alignment horizontal="center" vertical="center"/>
    </xf>
    <xf numFmtId="0" fontId="57" fillId="17" borderId="151" xfId="0" applyFont="1" applyFill="1" applyBorder="1" applyAlignment="1">
      <alignment horizontal="center" vertical="center"/>
    </xf>
    <xf numFmtId="0" fontId="57" fillId="17" borderId="98" xfId="0" applyFont="1" applyFill="1" applyBorder="1" applyAlignment="1">
      <alignment horizontal="center" vertical="center"/>
    </xf>
    <xf numFmtId="0" fontId="59" fillId="0" borderId="73" xfId="0" applyFont="1" applyBorder="1" applyAlignment="1">
      <alignment horizontal="center" vertical="center"/>
    </xf>
    <xf numFmtId="0" fontId="59" fillId="0" borderId="151" xfId="0" applyFont="1" applyBorder="1" applyAlignment="1">
      <alignment horizontal="center" vertical="center"/>
    </xf>
    <xf numFmtId="0" fontId="57" fillId="17" borderId="82" xfId="0" applyFont="1" applyFill="1" applyBorder="1" applyAlignment="1">
      <alignment horizontal="center" vertical="center"/>
    </xf>
    <xf numFmtId="0" fontId="59" fillId="17" borderId="83" xfId="0" applyFont="1" applyFill="1" applyBorder="1" applyAlignment="1">
      <alignment horizontal="center" vertical="center"/>
    </xf>
    <xf numFmtId="0" fontId="59" fillId="15" borderId="83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/>
    </xf>
    <xf numFmtId="181" fontId="31" fillId="0" borderId="16" xfId="0" applyNumberFormat="1" applyFont="1" applyBorder="1" applyAlignment="1">
      <alignment horizontal="center" vertical="center" wrapText="1"/>
    </xf>
    <xf numFmtId="181" fontId="31" fillId="4" borderId="40" xfId="0" applyNumberFormat="1" applyFont="1" applyFill="1" applyBorder="1" applyAlignment="1">
      <alignment horizontal="center" vertical="center"/>
    </xf>
    <xf numFmtId="181" fontId="31" fillId="4" borderId="17" xfId="0" applyNumberFormat="1" applyFont="1" applyFill="1" applyBorder="1" applyAlignment="1">
      <alignment horizontal="center" vertical="center"/>
    </xf>
    <xf numFmtId="0" fontId="43" fillId="0" borderId="0" xfId="0" applyFont="1" applyAlignment="1">
      <alignment horizontal="left" vertical="center"/>
    </xf>
    <xf numFmtId="0" fontId="16" fillId="18" borderId="0" xfId="0" applyFont="1" applyFill="1" applyAlignment="1">
      <alignment horizontal="center" vertical="center"/>
    </xf>
    <xf numFmtId="0" fontId="16" fillId="19" borderId="159" xfId="0" applyFont="1" applyFill="1" applyBorder="1" applyAlignment="1">
      <alignment horizontal="center" vertical="center"/>
    </xf>
    <xf numFmtId="0" fontId="16" fillId="19" borderId="160" xfId="0" applyFont="1" applyFill="1" applyBorder="1" applyAlignment="1">
      <alignment horizontal="center" vertical="center"/>
    </xf>
    <xf numFmtId="0" fontId="16" fillId="19" borderId="162" xfId="0" applyFont="1" applyFill="1" applyBorder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0" fontId="16" fillId="19" borderId="163" xfId="0" applyFont="1" applyFill="1" applyBorder="1" applyAlignment="1">
      <alignment horizontal="center" vertical="center"/>
    </xf>
    <xf numFmtId="0" fontId="16" fillId="19" borderId="161" xfId="0" applyFont="1" applyFill="1" applyBorder="1" applyAlignment="1">
      <alignment horizontal="center" vertical="center"/>
    </xf>
    <xf numFmtId="0" fontId="15" fillId="0" borderId="152" xfId="0" applyFont="1" applyBorder="1" applyAlignment="1">
      <alignment horizontal="center" vertical="center"/>
    </xf>
    <xf numFmtId="183" fontId="15" fillId="0" borderId="148" xfId="0" applyNumberFormat="1" applyFont="1" applyBorder="1" applyAlignment="1">
      <alignment horizontal="center" vertical="center"/>
    </xf>
    <xf numFmtId="0" fontId="15" fillId="20" borderId="145" xfId="0" applyFont="1" applyFill="1" applyBorder="1" applyAlignment="1">
      <alignment horizontal="center" vertical="center"/>
    </xf>
    <xf numFmtId="183" fontId="15" fillId="0" borderId="149" xfId="0" applyNumberFormat="1" applyFont="1" applyBorder="1" applyAlignment="1">
      <alignment horizontal="center" vertical="center"/>
    </xf>
    <xf numFmtId="0" fontId="15" fillId="0" borderId="153" xfId="0" applyFont="1" applyBorder="1" applyAlignment="1">
      <alignment horizontal="center" vertical="center"/>
    </xf>
    <xf numFmtId="0" fontId="15" fillId="0" borderId="154" xfId="0" applyFont="1" applyBorder="1" applyAlignment="1">
      <alignment horizontal="center" vertical="center"/>
    </xf>
    <xf numFmtId="0" fontId="15" fillId="0" borderId="155" xfId="0" applyFont="1" applyBorder="1" applyAlignment="1">
      <alignment horizontal="center" vertical="center"/>
    </xf>
    <xf numFmtId="183" fontId="15" fillId="0" borderId="156" xfId="0" applyNumberFormat="1" applyFont="1" applyBorder="1" applyAlignment="1">
      <alignment horizontal="center" vertical="center"/>
    </xf>
    <xf numFmtId="0" fontId="15" fillId="20" borderId="99" xfId="0" applyFont="1" applyFill="1" applyBorder="1" applyAlignment="1">
      <alignment horizontal="center" vertical="center"/>
    </xf>
    <xf numFmtId="183" fontId="15" fillId="0" borderId="157" xfId="0" applyNumberFormat="1" applyFont="1" applyBorder="1" applyAlignment="1">
      <alignment horizontal="center" vertical="center"/>
    </xf>
    <xf numFmtId="0" fontId="15" fillId="0" borderId="158" xfId="0" applyFont="1" applyBorder="1" applyAlignment="1">
      <alignment horizontal="center" vertical="center"/>
    </xf>
    <xf numFmtId="183" fontId="15" fillId="0" borderId="0" xfId="0" applyNumberFormat="1" applyFont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182" fontId="1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59" fillId="0" borderId="181" xfId="0" applyFont="1" applyBorder="1" applyAlignment="1">
      <alignment horizontal="center" vertical="center"/>
    </xf>
    <xf numFmtId="0" fontId="59" fillId="0" borderId="182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66" fillId="0" borderId="71" xfId="0" applyFont="1" applyBorder="1" applyAlignment="1">
      <alignment horizontal="center" vertical="center"/>
    </xf>
    <xf numFmtId="0" fontId="66" fillId="6" borderId="115" xfId="0" applyFont="1" applyFill="1" applyBorder="1" applyAlignment="1">
      <alignment horizontal="center" vertical="center" wrapText="1"/>
    </xf>
    <xf numFmtId="0" fontId="59" fillId="4" borderId="6" xfId="0" applyFont="1" applyFill="1" applyBorder="1" applyAlignment="1">
      <alignment horizontal="center" vertical="center"/>
    </xf>
    <xf numFmtId="0" fontId="59" fillId="4" borderId="82" xfId="0" applyFont="1" applyFill="1" applyBorder="1" applyAlignment="1">
      <alignment horizontal="center" vertical="center"/>
    </xf>
    <xf numFmtId="0" fontId="13" fillId="0" borderId="152" xfId="0" applyFont="1" applyBorder="1" applyAlignment="1">
      <alignment horizontal="center" vertical="center"/>
    </xf>
    <xf numFmtId="0" fontId="67" fillId="0" borderId="147" xfId="0" applyFont="1" applyBorder="1" applyAlignment="1">
      <alignment horizontal="center" vertical="center"/>
    </xf>
    <xf numFmtId="0" fontId="13" fillId="0" borderId="147" xfId="0" applyFont="1" applyBorder="1" applyAlignment="1">
      <alignment horizontal="center" vertical="center"/>
    </xf>
    <xf numFmtId="183" fontId="13" fillId="0" borderId="148" xfId="0" applyNumberFormat="1" applyFont="1" applyBorder="1" applyAlignment="1">
      <alignment horizontal="center" vertical="center"/>
    </xf>
    <xf numFmtId="0" fontId="13" fillId="20" borderId="145" xfId="0" applyFont="1" applyFill="1" applyBorder="1" applyAlignment="1">
      <alignment horizontal="center" vertical="center"/>
    </xf>
    <xf numFmtId="183" fontId="13" fillId="0" borderId="149" xfId="0" applyNumberFormat="1" applyFont="1" applyBorder="1" applyAlignment="1">
      <alignment horizontal="center" vertical="center"/>
    </xf>
    <xf numFmtId="0" fontId="13" fillId="0" borderId="153" xfId="0" applyFont="1" applyBorder="1" applyAlignment="1">
      <alignment horizontal="center" vertical="center"/>
    </xf>
    <xf numFmtId="183" fontId="68" fillId="0" borderId="149" xfId="0" applyNumberFormat="1" applyFont="1" applyBorder="1" applyAlignment="1">
      <alignment horizontal="center" vertical="center"/>
    </xf>
    <xf numFmtId="0" fontId="45" fillId="13" borderId="147" xfId="0" applyFont="1" applyFill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0" fontId="13" fillId="0" borderId="0" xfId="0" applyFont="1">
      <alignment vertical="center"/>
    </xf>
    <xf numFmtId="0" fontId="67" fillId="0" borderId="147" xfId="0" applyFont="1" applyBorder="1" applyAlignment="1">
      <alignment horizontal="center" vertical="center" wrapText="1"/>
    </xf>
    <xf numFmtId="183" fontId="45" fillId="0" borderId="149" xfId="0" applyNumberFormat="1" applyFont="1" applyBorder="1" applyAlignment="1">
      <alignment horizontal="center" vertical="center"/>
    </xf>
    <xf numFmtId="183" fontId="45" fillId="0" borderId="148" xfId="0" applyNumberFormat="1" applyFont="1" applyBorder="1" applyAlignment="1">
      <alignment horizontal="center" vertical="center"/>
    </xf>
    <xf numFmtId="183" fontId="13" fillId="14" borderId="149" xfId="0" applyNumberFormat="1" applyFont="1" applyFill="1" applyBorder="1" applyAlignment="1">
      <alignment horizontal="center" vertical="center"/>
    </xf>
    <xf numFmtId="0" fontId="13" fillId="14" borderId="147" xfId="0" applyFont="1" applyFill="1" applyBorder="1" applyAlignment="1">
      <alignment horizontal="center" vertical="center"/>
    </xf>
    <xf numFmtId="0" fontId="67" fillId="14" borderId="147" xfId="0" applyFont="1" applyFill="1" applyBorder="1" applyAlignment="1">
      <alignment horizontal="center" vertical="center"/>
    </xf>
    <xf numFmtId="0" fontId="13" fillId="14" borderId="153" xfId="0" applyFont="1" applyFill="1" applyBorder="1" applyAlignment="1">
      <alignment horizontal="center" vertical="center"/>
    </xf>
    <xf numFmtId="183" fontId="68" fillId="0" borderId="148" xfId="0" applyNumberFormat="1" applyFont="1" applyBorder="1" applyAlignment="1">
      <alignment horizontal="center" vertical="center"/>
    </xf>
    <xf numFmtId="0" fontId="70" fillId="0" borderId="152" xfId="0" applyFont="1" applyBorder="1" applyAlignment="1">
      <alignment horizontal="center" vertical="center"/>
    </xf>
    <xf numFmtId="0" fontId="71" fillId="0" borderId="147" xfId="0" applyFont="1" applyBorder="1" applyAlignment="1">
      <alignment horizontal="center" vertical="center" wrapText="1"/>
    </xf>
    <xf numFmtId="0" fontId="70" fillId="0" borderId="147" xfId="0" applyFont="1" applyBorder="1" applyAlignment="1">
      <alignment horizontal="center" vertical="center"/>
    </xf>
    <xf numFmtId="183" fontId="70" fillId="0" borderId="148" xfId="0" applyNumberFormat="1" applyFont="1" applyBorder="1" applyAlignment="1">
      <alignment horizontal="center" vertical="center"/>
    </xf>
    <xf numFmtId="0" fontId="13" fillId="0" borderId="154" xfId="0" applyFont="1" applyBorder="1" applyAlignment="1">
      <alignment horizontal="center" vertical="center"/>
    </xf>
    <xf numFmtId="0" fontId="13" fillId="0" borderId="155" xfId="0" applyFont="1" applyBorder="1" applyAlignment="1">
      <alignment horizontal="center" vertical="center"/>
    </xf>
    <xf numFmtId="183" fontId="13" fillId="0" borderId="156" xfId="0" applyNumberFormat="1" applyFont="1" applyBorder="1" applyAlignment="1">
      <alignment horizontal="center" vertical="center"/>
    </xf>
    <xf numFmtId="0" fontId="13" fillId="20" borderId="99" xfId="0" applyFont="1" applyFill="1" applyBorder="1" applyAlignment="1">
      <alignment horizontal="center" vertical="center"/>
    </xf>
    <xf numFmtId="183" fontId="13" fillId="0" borderId="157" xfId="0" applyNumberFormat="1" applyFont="1" applyBorder="1" applyAlignment="1">
      <alignment horizontal="center" vertical="center"/>
    </xf>
    <xf numFmtId="0" fontId="13" fillId="0" borderId="15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83" fontId="13" fillId="0" borderId="0" xfId="0" applyNumberFormat="1" applyFont="1" applyAlignment="1">
      <alignment horizontal="center" vertical="center"/>
    </xf>
    <xf numFmtId="0" fontId="45" fillId="18" borderId="0" xfId="0" applyFont="1" applyFill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45" fillId="19" borderId="159" xfId="0" applyFont="1" applyFill="1" applyBorder="1" applyAlignment="1">
      <alignment horizontal="center" vertical="center"/>
    </xf>
    <xf numFmtId="0" fontId="45" fillId="19" borderId="160" xfId="0" applyFont="1" applyFill="1" applyBorder="1" applyAlignment="1">
      <alignment horizontal="center" vertical="center"/>
    </xf>
    <xf numFmtId="0" fontId="45" fillId="19" borderId="162" xfId="0" applyFont="1" applyFill="1" applyBorder="1" applyAlignment="1">
      <alignment horizontal="center" vertical="center"/>
    </xf>
    <xf numFmtId="0" fontId="45" fillId="20" borderId="138" xfId="0" applyFont="1" applyFill="1" applyBorder="1" applyAlignment="1">
      <alignment horizontal="center" vertical="center"/>
    </xf>
    <xf numFmtId="0" fontId="45" fillId="19" borderId="163" xfId="0" applyFont="1" applyFill="1" applyBorder="1" applyAlignment="1">
      <alignment horizontal="center" vertical="center"/>
    </xf>
    <xf numFmtId="0" fontId="45" fillId="19" borderId="161" xfId="0" applyFont="1" applyFill="1" applyBorder="1" applyAlignment="1">
      <alignment horizontal="center" vertical="center"/>
    </xf>
    <xf numFmtId="0" fontId="13" fillId="0" borderId="147" xfId="0" applyFont="1" applyBorder="1" applyAlignment="1">
      <alignment horizontal="center" vertical="center" wrapText="1"/>
    </xf>
    <xf numFmtId="0" fontId="13" fillId="6" borderId="145" xfId="0" applyFont="1" applyFill="1" applyBorder="1" applyAlignment="1">
      <alignment horizontal="center" vertical="center"/>
    </xf>
    <xf numFmtId="0" fontId="49" fillId="18" borderId="0" xfId="0" applyFont="1" applyFill="1" applyAlignment="1">
      <alignment horizontal="center" vertical="center"/>
    </xf>
    <xf numFmtId="0" fontId="45" fillId="19" borderId="96" xfId="0" applyFont="1" applyFill="1" applyBorder="1" applyAlignment="1">
      <alignment horizontal="center" vertical="center"/>
    </xf>
    <xf numFmtId="0" fontId="45" fillId="19" borderId="97" xfId="0" applyFont="1" applyFill="1" applyBorder="1" applyAlignment="1">
      <alignment horizontal="center" vertical="center"/>
    </xf>
    <xf numFmtId="0" fontId="45" fillId="19" borderId="150" xfId="0" applyFont="1" applyFill="1" applyBorder="1" applyAlignment="1">
      <alignment horizontal="center" vertical="center"/>
    </xf>
    <xf numFmtId="0" fontId="45" fillId="19" borderId="151" xfId="0" applyFont="1" applyFill="1" applyBorder="1" applyAlignment="1">
      <alignment horizontal="center" vertical="center"/>
    </xf>
    <xf numFmtId="0" fontId="45" fillId="19" borderId="98" xfId="0" applyFont="1" applyFill="1" applyBorder="1" applyAlignment="1">
      <alignment horizontal="center" vertical="center"/>
    </xf>
    <xf numFmtId="0" fontId="13" fillId="0" borderId="184" xfId="0" applyFont="1" applyBorder="1" applyAlignment="1">
      <alignment horizontal="center" vertical="center"/>
    </xf>
    <xf numFmtId="0" fontId="13" fillId="0" borderId="172" xfId="0" applyFont="1" applyBorder="1" applyAlignment="1">
      <alignment horizontal="center" vertical="center"/>
    </xf>
    <xf numFmtId="183" fontId="13" fillId="0" borderId="185" xfId="0" applyNumberFormat="1" applyFont="1" applyBorder="1" applyAlignment="1">
      <alignment horizontal="center" vertical="center"/>
    </xf>
    <xf numFmtId="183" fontId="13" fillId="0" borderId="184" xfId="0" applyNumberFormat="1" applyFont="1" applyBorder="1" applyAlignment="1">
      <alignment horizontal="center" vertical="center"/>
    </xf>
    <xf numFmtId="0" fontId="13" fillId="0" borderId="185" xfId="0" applyFont="1" applyBorder="1" applyAlignment="1">
      <alignment horizontal="center" vertical="center"/>
    </xf>
    <xf numFmtId="0" fontId="13" fillId="0" borderId="186" xfId="0" applyFont="1" applyBorder="1" applyAlignment="1">
      <alignment horizontal="center" vertical="center"/>
    </xf>
    <xf numFmtId="0" fontId="13" fillId="0" borderId="187" xfId="0" applyFont="1" applyBorder="1" applyAlignment="1">
      <alignment horizontal="center" vertical="center"/>
    </xf>
    <xf numFmtId="183" fontId="13" fillId="0" borderId="188" xfId="0" applyNumberFormat="1" applyFont="1" applyBorder="1" applyAlignment="1">
      <alignment horizontal="center" vertical="center"/>
    </xf>
    <xf numFmtId="183" fontId="13" fillId="0" borderId="186" xfId="0" applyNumberFormat="1" applyFont="1" applyBorder="1" applyAlignment="1">
      <alignment horizontal="center" vertical="center"/>
    </xf>
    <xf numFmtId="0" fontId="13" fillId="0" borderId="188" xfId="0" applyFont="1" applyBorder="1" applyAlignment="1">
      <alignment horizontal="center" vertical="center"/>
    </xf>
    <xf numFmtId="0" fontId="45" fillId="21" borderId="152" xfId="0" applyFont="1" applyFill="1" applyBorder="1" applyAlignment="1">
      <alignment horizontal="center" vertical="center"/>
    </xf>
    <xf numFmtId="0" fontId="45" fillId="21" borderId="147" xfId="0" applyFont="1" applyFill="1" applyBorder="1" applyAlignment="1">
      <alignment horizontal="center" vertical="center" wrapText="1"/>
    </xf>
    <xf numFmtId="0" fontId="45" fillId="21" borderId="147" xfId="0" applyFont="1" applyFill="1" applyBorder="1" applyAlignment="1">
      <alignment horizontal="center" vertical="center"/>
    </xf>
    <xf numFmtId="183" fontId="45" fillId="21" borderId="148" xfId="0" applyNumberFormat="1" applyFont="1" applyFill="1" applyBorder="1" applyAlignment="1">
      <alignment horizontal="center" vertical="center"/>
    </xf>
    <xf numFmtId="187" fontId="49" fillId="21" borderId="148" xfId="0" applyNumberFormat="1" applyFont="1" applyFill="1" applyBorder="1" applyAlignment="1">
      <alignment horizontal="center" vertical="center"/>
    </xf>
    <xf numFmtId="0" fontId="45" fillId="21" borderId="6" xfId="0" applyFont="1" applyFill="1" applyBorder="1" applyAlignment="1">
      <alignment horizontal="center" vertical="center" wrapText="1"/>
    </xf>
    <xf numFmtId="187" fontId="49" fillId="21" borderId="149" xfId="0" applyNumberFormat="1" applyFont="1" applyFill="1" applyBorder="1" applyAlignment="1">
      <alignment horizontal="center" vertical="center"/>
    </xf>
    <xf numFmtId="0" fontId="45" fillId="21" borderId="153" xfId="0" applyFont="1" applyFill="1" applyBorder="1" applyAlignment="1">
      <alignment horizontal="center" vertical="center"/>
    </xf>
    <xf numFmtId="183" fontId="49" fillId="21" borderId="149" xfId="0" applyNumberFormat="1" applyFont="1" applyFill="1" applyBorder="1" applyAlignment="1">
      <alignment horizontal="center" vertical="center"/>
    </xf>
    <xf numFmtId="183" fontId="45" fillId="21" borderId="149" xfId="0" applyNumberFormat="1" applyFont="1" applyFill="1" applyBorder="1" applyAlignment="1">
      <alignment horizontal="center" vertical="center"/>
    </xf>
    <xf numFmtId="0" fontId="69" fillId="21" borderId="152" xfId="0" applyFont="1" applyFill="1" applyBorder="1" applyAlignment="1">
      <alignment horizontal="center" vertical="center"/>
    </xf>
    <xf numFmtId="0" fontId="69" fillId="21" borderId="147" xfId="0" applyFont="1" applyFill="1" applyBorder="1" applyAlignment="1">
      <alignment horizontal="center" vertical="center" wrapText="1"/>
    </xf>
    <xf numFmtId="0" fontId="69" fillId="21" borderId="147" xfId="0" applyFont="1" applyFill="1" applyBorder="1" applyAlignment="1">
      <alignment horizontal="center" vertical="center"/>
    </xf>
    <xf numFmtId="183" fontId="69" fillId="21" borderId="148" xfId="0" applyNumberFormat="1" applyFont="1" applyFill="1" applyBorder="1" applyAlignment="1">
      <alignment horizontal="center" vertical="center"/>
    </xf>
    <xf numFmtId="183" fontId="49" fillId="21" borderId="148" xfId="0" applyNumberFormat="1" applyFont="1" applyFill="1" applyBorder="1" applyAlignment="1">
      <alignment horizontal="center" vertical="center"/>
    </xf>
    <xf numFmtId="0" fontId="49" fillId="21" borderId="147" xfId="0" applyFont="1" applyFill="1" applyBorder="1" applyAlignment="1">
      <alignment horizontal="center" vertical="center"/>
    </xf>
    <xf numFmtId="0" fontId="13" fillId="21" borderId="152" xfId="0" applyFont="1" applyFill="1" applyBorder="1" applyAlignment="1">
      <alignment horizontal="center" vertical="center"/>
    </xf>
    <xf numFmtId="0" fontId="45" fillId="21" borderId="184" xfId="0" applyFont="1" applyFill="1" applyBorder="1" applyAlignment="1">
      <alignment horizontal="center" vertical="center"/>
    </xf>
    <xf numFmtId="0" fontId="45" fillId="21" borderId="172" xfId="0" applyFont="1" applyFill="1" applyBorder="1" applyAlignment="1">
      <alignment horizontal="center" vertical="center" wrapText="1"/>
    </xf>
    <xf numFmtId="0" fontId="45" fillId="21" borderId="172" xfId="0" applyFont="1" applyFill="1" applyBorder="1" applyAlignment="1">
      <alignment horizontal="center" vertical="center"/>
    </xf>
    <xf numFmtId="187" fontId="49" fillId="21" borderId="185" xfId="0" applyNumberFormat="1" applyFont="1" applyFill="1" applyBorder="1" applyAlignment="1">
      <alignment horizontal="center" vertical="center"/>
    </xf>
    <xf numFmtId="183" fontId="45" fillId="21" borderId="185" xfId="0" applyNumberFormat="1" applyFont="1" applyFill="1" applyBorder="1" applyAlignment="1">
      <alignment horizontal="center" vertical="center"/>
    </xf>
    <xf numFmtId="0" fontId="45" fillId="0" borderId="152" xfId="0" applyFont="1" applyBorder="1" applyAlignment="1">
      <alignment horizontal="center" vertical="center"/>
    </xf>
    <xf numFmtId="0" fontId="45" fillId="0" borderId="147" xfId="0" applyFont="1" applyBorder="1" applyAlignment="1">
      <alignment horizontal="center" vertical="center" wrapText="1"/>
    </xf>
    <xf numFmtId="0" fontId="73" fillId="16" borderId="136" xfId="0" applyFont="1" applyFill="1" applyBorder="1" applyAlignment="1">
      <alignment horizontal="center" vertical="center"/>
    </xf>
    <xf numFmtId="0" fontId="73" fillId="22" borderId="136" xfId="0" applyFont="1" applyFill="1" applyBorder="1" applyAlignment="1">
      <alignment horizontal="center" vertical="center"/>
    </xf>
    <xf numFmtId="0" fontId="32" fillId="0" borderId="135" xfId="0" applyFont="1" applyBorder="1" applyAlignment="1">
      <alignment horizontal="center" vertical="center" readingOrder="1"/>
    </xf>
    <xf numFmtId="0" fontId="32" fillId="0" borderId="6" xfId="0" applyFont="1" applyBorder="1" applyAlignment="1">
      <alignment horizontal="center" vertical="center" readingOrder="1"/>
    </xf>
    <xf numFmtId="176" fontId="44" fillId="0" borderId="6" xfId="2" applyNumberFormat="1" applyFont="1" applyFill="1" applyBorder="1">
      <alignment vertical="center"/>
    </xf>
    <xf numFmtId="0" fontId="32" fillId="0" borderId="136" xfId="0" applyFont="1" applyBorder="1" applyAlignment="1">
      <alignment horizontal="center" vertical="center" readingOrder="1"/>
    </xf>
    <xf numFmtId="0" fontId="26" fillId="0" borderId="135" xfId="0" applyFont="1" applyBorder="1" applyAlignment="1">
      <alignment horizontal="center" vertical="center"/>
    </xf>
    <xf numFmtId="0" fontId="47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6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176" fontId="15" fillId="0" borderId="191" xfId="2" applyNumberFormat="1" applyFont="1" applyBorder="1">
      <alignment vertical="center"/>
    </xf>
    <xf numFmtId="0" fontId="26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176" fontId="15" fillId="0" borderId="182" xfId="2" applyNumberFormat="1" applyFont="1" applyBorder="1">
      <alignment vertical="center"/>
    </xf>
    <xf numFmtId="176" fontId="15" fillId="0" borderId="191" xfId="2" applyNumberFormat="1" applyFont="1" applyFill="1" applyBorder="1">
      <alignment vertical="center"/>
    </xf>
    <xf numFmtId="176" fontId="15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6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176" fontId="15" fillId="5" borderId="196" xfId="2" applyNumberFormat="1" applyFont="1" applyFill="1" applyBorder="1">
      <alignment vertical="center"/>
    </xf>
    <xf numFmtId="176" fontId="14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5" fillId="0" borderId="198" xfId="2" applyNumberFormat="1" applyFont="1" applyBorder="1">
      <alignment vertical="center"/>
    </xf>
    <xf numFmtId="0" fontId="47" fillId="0" borderId="196" xfId="0" applyFont="1" applyBorder="1" applyAlignment="1">
      <alignment horizontal="center" vertical="center"/>
    </xf>
    <xf numFmtId="176" fontId="15" fillId="0" borderId="196" xfId="2" applyNumberFormat="1" applyFont="1" applyBorder="1">
      <alignment vertical="center"/>
    </xf>
    <xf numFmtId="0" fontId="25" fillId="0" borderId="0" xfId="0" applyFont="1">
      <alignment vertical="center"/>
    </xf>
    <xf numFmtId="176" fontId="15" fillId="0" borderId="6" xfId="2" applyNumberFormat="1" applyFont="1" applyBorder="1" applyAlignment="1">
      <alignment vertical="center" wrapText="1"/>
    </xf>
    <xf numFmtId="0" fontId="15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27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4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4" fillId="0" borderId="182" xfId="2" applyNumberFormat="1" applyFont="1" applyBorder="1">
      <alignment vertical="center"/>
    </xf>
    <xf numFmtId="0" fontId="74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0" fontId="74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0" fontId="74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0" fontId="74" fillId="0" borderId="136" xfId="0" applyFont="1" applyBorder="1" applyAlignment="1">
      <alignment horizontal="center" vertical="center" wrapText="1" readingOrder="1"/>
    </xf>
    <xf numFmtId="0" fontId="48" fillId="0" borderId="136" xfId="0" applyFont="1" applyBorder="1" applyAlignment="1">
      <alignment horizontal="center" vertical="center" wrapText="1" readingOrder="1"/>
    </xf>
    <xf numFmtId="0" fontId="74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74" fillId="5" borderId="196" xfId="0" applyFont="1" applyFill="1" applyBorder="1" applyAlignment="1">
      <alignment horizontal="center" vertical="center" wrapText="1"/>
    </xf>
    <xf numFmtId="0" fontId="48" fillId="5" borderId="196" xfId="0" applyFont="1" applyFill="1" applyBorder="1" applyAlignment="1">
      <alignment horizontal="center" vertical="center" wrapText="1"/>
    </xf>
    <xf numFmtId="0" fontId="74" fillId="5" borderId="6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/>
    </xf>
    <xf numFmtId="0" fontId="48" fillId="0" borderId="196" xfId="0" applyFont="1" applyBorder="1" applyAlignment="1">
      <alignment horizontal="center" vertical="center"/>
    </xf>
    <xf numFmtId="0" fontId="57" fillId="0" borderId="151" xfId="0" applyFont="1" applyBorder="1" applyAlignment="1">
      <alignment horizontal="center" vertical="center"/>
    </xf>
    <xf numFmtId="176" fontId="11" fillId="0" borderId="0" xfId="9" applyNumberFormat="1">
      <alignment vertical="center"/>
    </xf>
    <xf numFmtId="0" fontId="26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6" fillId="0" borderId="0" xfId="0" applyFont="1">
      <alignment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7" xfId="0" applyFont="1" applyFill="1" applyBorder="1" applyAlignment="1">
      <alignment horizontal="center" vertical="center" wrapText="1"/>
    </xf>
    <xf numFmtId="0" fontId="58" fillId="11" borderId="6" xfId="0" applyFont="1" applyFill="1" applyBorder="1" applyAlignment="1">
      <alignment horizontal="center" vertical="center" wrapText="1"/>
    </xf>
    <xf numFmtId="0" fontId="59" fillId="6" borderId="71" xfId="0" applyFont="1" applyFill="1" applyBorder="1" applyAlignment="1">
      <alignment horizontal="center" vertical="center" wrapText="1"/>
    </xf>
    <xf numFmtId="0" fontId="58" fillId="11" borderId="71" xfId="0" applyFont="1" applyFill="1" applyBorder="1" applyAlignment="1">
      <alignment horizontal="center" vertical="center" wrapText="1"/>
    </xf>
    <xf numFmtId="0" fontId="58" fillId="7" borderId="71" xfId="0" applyFont="1" applyFill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59" fillId="0" borderId="181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 wrapText="1"/>
    </xf>
    <xf numFmtId="0" fontId="59" fillId="0" borderId="103" xfId="0" applyFont="1" applyBorder="1" applyAlignment="1">
      <alignment horizontal="center" vertical="center" wrapText="1"/>
    </xf>
    <xf numFmtId="0" fontId="57" fillId="0" borderId="103" xfId="0" applyFont="1" applyBorder="1" applyAlignment="1">
      <alignment horizontal="center" vertical="center" wrapText="1"/>
    </xf>
    <xf numFmtId="0" fontId="58" fillId="7" borderId="97" xfId="0" applyFont="1" applyFill="1" applyBorder="1" applyAlignment="1">
      <alignment horizontal="center" vertical="center" wrapText="1"/>
    </xf>
    <xf numFmtId="184" fontId="58" fillId="6" borderId="75" xfId="2" applyNumberFormat="1" applyFont="1" applyFill="1" applyBorder="1" applyAlignment="1" applyProtection="1">
      <alignment horizontal="center" vertical="center"/>
    </xf>
    <xf numFmtId="184" fontId="58" fillId="7" borderId="6" xfId="2" applyNumberFormat="1" applyFont="1" applyFill="1" applyBorder="1" applyAlignment="1" applyProtection="1">
      <alignment horizontal="center" vertical="center"/>
    </xf>
    <xf numFmtId="0" fontId="61" fillId="0" borderId="182" xfId="0" applyFont="1" applyBorder="1" applyAlignment="1">
      <alignment horizontal="center" vertical="center"/>
    </xf>
    <xf numFmtId="0" fontId="58" fillId="7" borderId="101" xfId="0" applyFont="1" applyFill="1" applyBorder="1" applyAlignment="1">
      <alignment vertical="center" wrapText="1"/>
    </xf>
    <xf numFmtId="0" fontId="59" fillId="0" borderId="212" xfId="0" applyFont="1" applyBorder="1" applyAlignment="1">
      <alignment horizontal="center" vertical="center" wrapText="1"/>
    </xf>
    <xf numFmtId="0" fontId="57" fillId="0" borderId="181" xfId="0" applyFont="1" applyBorder="1" applyAlignment="1">
      <alignment horizontal="center" vertical="center" wrapText="1"/>
    </xf>
    <xf numFmtId="0" fontId="57" fillId="0" borderId="212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9" fillId="0" borderId="212" xfId="0" applyFont="1" applyBorder="1" applyAlignment="1">
      <alignment horizontal="center" vertical="center"/>
    </xf>
    <xf numFmtId="0" fontId="59" fillId="0" borderId="213" xfId="0" applyFont="1" applyBorder="1" applyAlignment="1">
      <alignment horizontal="center" vertical="center" wrapText="1"/>
    </xf>
    <xf numFmtId="0" fontId="59" fillId="0" borderId="214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 wrapText="1"/>
    </xf>
    <xf numFmtId="0" fontId="63" fillId="0" borderId="182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 wrapText="1"/>
    </xf>
    <xf numFmtId="0" fontId="57" fillId="0" borderId="183" xfId="0" applyFont="1" applyBorder="1" applyAlignment="1">
      <alignment horizontal="center" vertical="center" wrapText="1"/>
    </xf>
    <xf numFmtId="0" fontId="59" fillId="6" borderId="182" xfId="0" applyFont="1" applyFill="1" applyBorder="1" applyAlignment="1">
      <alignment horizontal="center" vertical="center" wrapText="1"/>
    </xf>
    <xf numFmtId="0" fontId="58" fillId="7" borderId="182" xfId="0" applyFont="1" applyFill="1" applyBorder="1" applyAlignment="1">
      <alignment horizontal="center" vertical="center" wrapText="1"/>
    </xf>
    <xf numFmtId="0" fontId="57" fillId="0" borderId="212" xfId="0" applyFont="1" applyBorder="1" applyAlignment="1">
      <alignment horizontal="center" vertical="center"/>
    </xf>
    <xf numFmtId="0" fontId="57" fillId="0" borderId="182" xfId="0" applyFont="1" applyBorder="1" applyAlignment="1">
      <alignment horizontal="center" vertical="center"/>
    </xf>
    <xf numFmtId="0" fontId="56" fillId="0" borderId="0" xfId="0" applyFont="1" applyAlignment="1">
      <alignment vertical="center" wrapText="1"/>
    </xf>
    <xf numFmtId="0" fontId="57" fillId="0" borderId="0" xfId="0" applyFont="1" applyAlignment="1">
      <alignment horizontal="center" vertical="center" wrapText="1"/>
    </xf>
    <xf numFmtId="0" fontId="61" fillId="0" borderId="182" xfId="0" applyFont="1" applyBorder="1" applyAlignment="1">
      <alignment horizontal="center" vertical="center" wrapText="1"/>
    </xf>
    <xf numFmtId="184" fontId="59" fillId="7" borderId="216" xfId="2" applyNumberFormat="1" applyFont="1" applyFill="1" applyBorder="1" applyAlignment="1" applyProtection="1">
      <alignment horizontal="center" vertical="center"/>
    </xf>
    <xf numFmtId="184" fontId="59" fillId="6" borderId="75" xfId="2" applyNumberFormat="1" applyFont="1" applyFill="1" applyBorder="1" applyAlignment="1" applyProtection="1">
      <alignment horizontal="center" vertical="center"/>
    </xf>
    <xf numFmtId="0" fontId="59" fillId="6" borderId="182" xfId="0" applyFont="1" applyFill="1" applyBorder="1" applyAlignment="1">
      <alignment horizontal="center" vertical="center"/>
    </xf>
    <xf numFmtId="184" fontId="59" fillId="6" borderId="182" xfId="2" applyNumberFormat="1" applyFont="1" applyFill="1" applyBorder="1" applyAlignment="1" applyProtection="1">
      <alignment horizontal="center" vertical="center"/>
    </xf>
    <xf numFmtId="184" fontId="59" fillId="6" borderId="182" xfId="2" applyNumberFormat="1" applyFont="1" applyFill="1" applyBorder="1" applyAlignment="1" applyProtection="1">
      <alignment horizontal="center" vertical="center" wrapText="1"/>
    </xf>
    <xf numFmtId="184" fontId="59" fillId="6" borderId="212" xfId="2" applyNumberFormat="1" applyFont="1" applyFill="1" applyBorder="1" applyAlignment="1" applyProtection="1">
      <alignment horizontal="center" vertical="center"/>
    </xf>
    <xf numFmtId="184" fontId="57" fillId="6" borderId="181" xfId="2" applyNumberFormat="1" applyFont="1" applyFill="1" applyBorder="1" applyAlignment="1" applyProtection="1">
      <alignment horizontal="center" vertical="center"/>
    </xf>
    <xf numFmtId="184" fontId="58" fillId="7" borderId="71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9" fillId="7" borderId="182" xfId="2" applyNumberFormat="1" applyFont="1" applyFill="1" applyBorder="1" applyAlignment="1" applyProtection="1">
      <alignment horizontal="center" vertical="center"/>
    </xf>
    <xf numFmtId="184" fontId="58" fillId="7" borderId="97" xfId="2" applyNumberFormat="1" applyFont="1" applyFill="1" applyBorder="1" applyAlignment="1" applyProtection="1">
      <alignment horizontal="center" vertical="center"/>
    </xf>
    <xf numFmtId="184" fontId="61" fillId="7" borderId="6" xfId="2" applyNumberFormat="1" applyFont="1" applyFill="1" applyBorder="1" applyAlignment="1" applyProtection="1">
      <alignment horizontal="center" vertical="center"/>
    </xf>
    <xf numFmtId="184" fontId="57" fillId="6" borderId="182" xfId="2" applyNumberFormat="1" applyFont="1" applyFill="1" applyBorder="1" applyAlignment="1" applyProtection="1">
      <alignment horizontal="center" vertical="center"/>
    </xf>
    <xf numFmtId="184" fontId="63" fillId="6" borderId="182" xfId="2" applyNumberFormat="1" applyFont="1" applyFill="1" applyBorder="1" applyAlignment="1" applyProtection="1">
      <alignment horizontal="center" vertical="center"/>
    </xf>
    <xf numFmtId="184" fontId="58" fillId="7" borderId="181" xfId="2" applyNumberFormat="1" applyFont="1" applyFill="1" applyBorder="1" applyAlignment="1" applyProtection="1">
      <alignment horizontal="center" vertical="center"/>
    </xf>
    <xf numFmtId="184" fontId="59" fillId="6" borderId="181" xfId="2" applyNumberFormat="1" applyFont="1" applyFill="1" applyBorder="1" applyAlignment="1" applyProtection="1">
      <alignment horizontal="center" vertical="center"/>
    </xf>
    <xf numFmtId="184" fontId="57" fillId="6" borderId="212" xfId="2" applyNumberFormat="1" applyFont="1" applyFill="1" applyBorder="1" applyAlignment="1" applyProtection="1">
      <alignment horizontal="center" vertical="center"/>
    </xf>
    <xf numFmtId="0" fontId="76" fillId="0" borderId="0" xfId="0" applyFont="1">
      <alignment vertical="center"/>
    </xf>
    <xf numFmtId="0" fontId="59" fillId="12" borderId="6" xfId="0" applyFont="1" applyFill="1" applyBorder="1" applyAlignment="1">
      <alignment horizontal="center" vertical="center" wrapText="1"/>
    </xf>
    <xf numFmtId="0" fontId="59" fillId="12" borderId="6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 wrapText="1"/>
    </xf>
    <xf numFmtId="0" fontId="59" fillId="12" borderId="77" xfId="0" applyFont="1" applyFill="1" applyBorder="1" applyAlignment="1">
      <alignment horizontal="center" vertical="center"/>
    </xf>
    <xf numFmtId="0" fontId="58" fillId="12" borderId="6" xfId="0" applyFont="1" applyFill="1" applyBorder="1" applyAlignment="1">
      <alignment horizontal="center" vertical="center" wrapText="1"/>
    </xf>
    <xf numFmtId="0" fontId="59" fillId="12" borderId="71" xfId="0" applyFont="1" applyFill="1" applyBorder="1" applyAlignment="1">
      <alignment horizontal="center" vertical="center" wrapText="1"/>
    </xf>
    <xf numFmtId="0" fontId="66" fillId="7" borderId="219" xfId="0" applyFont="1" applyFill="1" applyBorder="1" applyAlignment="1">
      <alignment horizontal="center" vertical="center" wrapText="1"/>
    </xf>
    <xf numFmtId="184" fontId="59" fillId="0" borderId="212" xfId="2" applyNumberFormat="1" applyFont="1" applyFill="1" applyBorder="1" applyAlignment="1" applyProtection="1">
      <alignment horizontal="center" vertical="center"/>
    </xf>
    <xf numFmtId="184" fontId="59" fillId="0" borderId="223" xfId="2" applyNumberFormat="1" applyFont="1" applyFill="1" applyBorder="1" applyAlignment="1" applyProtection="1">
      <alignment horizontal="center" vertical="center"/>
    </xf>
    <xf numFmtId="184" fontId="59" fillId="0" borderId="182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184" fontId="59" fillId="0" borderId="224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vertical="center" wrapText="1"/>
    </xf>
    <xf numFmtId="0" fontId="59" fillId="0" borderId="197" xfId="0" applyFont="1" applyBorder="1" applyAlignment="1">
      <alignment horizontal="center" vertical="center" wrapText="1"/>
    </xf>
    <xf numFmtId="184" fontId="59" fillId="0" borderId="181" xfId="2" applyNumberFormat="1" applyFont="1" applyFill="1" applyBorder="1" applyAlignment="1" applyProtection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0" fontId="57" fillId="12" borderId="6" xfId="0" applyFont="1" applyFill="1" applyBorder="1" applyAlignment="1">
      <alignment horizontal="center" vertical="center"/>
    </xf>
    <xf numFmtId="0" fontId="57" fillId="0" borderId="83" xfId="0" applyFont="1" applyBorder="1" applyAlignment="1">
      <alignment horizontal="left" vertical="center"/>
    </xf>
    <xf numFmtId="0" fontId="16" fillId="4" borderId="152" xfId="0" applyFont="1" applyFill="1" applyBorder="1" applyAlignment="1">
      <alignment horizontal="center" vertical="center" wrapText="1"/>
    </xf>
    <xf numFmtId="0" fontId="16" fillId="4" borderId="147" xfId="0" applyFont="1" applyFill="1" applyBorder="1" applyAlignment="1">
      <alignment horizontal="center" vertical="center" wrapText="1"/>
    </xf>
    <xf numFmtId="183" fontId="16" fillId="4" borderId="148" xfId="0" applyNumberFormat="1" applyFont="1" applyFill="1" applyBorder="1" applyAlignment="1">
      <alignment horizontal="center" vertical="center" wrapText="1"/>
    </xf>
    <xf numFmtId="0" fontId="16" fillId="4" borderId="152" xfId="0" applyFont="1" applyFill="1" applyBorder="1" applyAlignment="1">
      <alignment horizontal="center" vertical="center"/>
    </xf>
    <xf numFmtId="0" fontId="16" fillId="4" borderId="147" xfId="0" applyFont="1" applyFill="1" applyBorder="1" applyAlignment="1">
      <alignment horizontal="center" vertical="center"/>
    </xf>
    <xf numFmtId="183" fontId="16" fillId="4" borderId="148" xfId="0" applyNumberFormat="1" applyFont="1" applyFill="1" applyBorder="1" applyAlignment="1">
      <alignment horizontal="center" vertical="center"/>
    </xf>
    <xf numFmtId="0" fontId="15" fillId="4" borderId="13" xfId="9" applyFont="1" applyFill="1" applyBorder="1" applyAlignment="1">
      <alignment horizontal="center" vertical="center" wrapText="1"/>
    </xf>
    <xf numFmtId="0" fontId="15" fillId="4" borderId="14" xfId="9" applyFont="1" applyFill="1" applyBorder="1" applyAlignment="1">
      <alignment horizontal="center" vertical="center" wrapText="1"/>
    </xf>
    <xf numFmtId="0" fontId="15" fillId="4" borderId="46" xfId="9" applyFont="1" applyFill="1" applyBorder="1" applyAlignment="1">
      <alignment horizontal="center" vertical="center" wrapText="1"/>
    </xf>
    <xf numFmtId="0" fontId="57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4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2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1" fillId="4" borderId="0" xfId="9" applyNumberFormat="1" applyFill="1">
      <alignment vertical="center"/>
    </xf>
    <xf numFmtId="10" fontId="26" fillId="0" borderId="0" xfId="12" applyNumberFormat="1" applyFont="1" applyAlignment="1">
      <alignment vertical="center"/>
    </xf>
    <xf numFmtId="10" fontId="78" fillId="0" borderId="0" xfId="9" applyNumberFormat="1" applyFont="1">
      <alignment vertical="center"/>
    </xf>
    <xf numFmtId="0" fontId="14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5" fillId="0" borderId="182" xfId="2" applyNumberFormat="1" applyFont="1" applyFill="1" applyBorder="1">
      <alignment vertical="center"/>
    </xf>
    <xf numFmtId="0" fontId="13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5" fillId="0" borderId="0" xfId="0" applyFont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181" fontId="25" fillId="7" borderId="40" xfId="0" applyNumberFormat="1" applyFont="1" applyFill="1" applyBorder="1" applyAlignment="1">
      <alignment horizontal="center" vertical="center"/>
    </xf>
    <xf numFmtId="181" fontId="25" fillId="9" borderId="17" xfId="0" applyNumberFormat="1" applyFont="1" applyFill="1" applyBorder="1" applyAlignment="1">
      <alignment horizontal="center" vertical="center"/>
    </xf>
    <xf numFmtId="181" fontId="25" fillId="6" borderId="58" xfId="0" applyNumberFormat="1" applyFont="1" applyFill="1" applyBorder="1" applyAlignment="1">
      <alignment horizontal="center" vertical="center"/>
    </xf>
    <xf numFmtId="0" fontId="43" fillId="0" borderId="34" xfId="0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43" fillId="0" borderId="37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 wrapText="1"/>
    </xf>
    <xf numFmtId="0" fontId="16" fillId="0" borderId="34" xfId="0" applyFont="1" applyBorder="1" applyAlignment="1">
      <alignment horizontal="center" vertical="center"/>
    </xf>
    <xf numFmtId="0" fontId="43" fillId="0" borderId="37" xfId="0" quotePrefix="1" applyFont="1" applyBorder="1" applyAlignment="1">
      <alignment horizontal="center" vertical="center"/>
    </xf>
    <xf numFmtId="0" fontId="16" fillId="0" borderId="38" xfId="0" quotePrefix="1" applyFont="1" applyBorder="1" applyAlignment="1">
      <alignment horizontal="center" vertical="center"/>
    </xf>
    <xf numFmtId="0" fontId="16" fillId="0" borderId="37" xfId="0" quotePrefix="1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16" fillId="0" borderId="45" xfId="0" applyFont="1" applyBorder="1" applyAlignment="1">
      <alignment horizontal="center" vertical="center"/>
    </xf>
    <xf numFmtId="0" fontId="43" fillId="0" borderId="38" xfId="0" quotePrefix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54" xfId="0" applyFont="1" applyBorder="1" applyAlignment="1">
      <alignment horizontal="center" vertical="center"/>
    </xf>
    <xf numFmtId="0" fontId="43" fillId="0" borderId="45" xfId="0" applyFont="1" applyBorder="1" applyAlignment="1">
      <alignment horizontal="center" vertical="center"/>
    </xf>
    <xf numFmtId="0" fontId="79" fillId="0" borderId="34" xfId="9" applyFont="1" applyBorder="1" applyAlignment="1">
      <alignment horizontal="center" vertical="center"/>
    </xf>
    <xf numFmtId="0" fontId="79" fillId="0" borderId="35" xfId="9" applyFont="1" applyBorder="1" applyAlignment="1">
      <alignment horizontal="center" vertical="center"/>
    </xf>
    <xf numFmtId="0" fontId="16" fillId="0" borderId="37" xfId="9" applyFont="1" applyBorder="1" applyAlignment="1">
      <alignment horizontal="center" vertical="center"/>
    </xf>
    <xf numFmtId="0" fontId="16" fillId="0" borderId="38" xfId="9" applyFont="1" applyBorder="1" applyAlignment="1">
      <alignment horizontal="center" vertical="center"/>
    </xf>
    <xf numFmtId="0" fontId="16" fillId="0" borderId="37" xfId="9" quotePrefix="1" applyFont="1" applyBorder="1" applyAlignment="1">
      <alignment horizontal="center" vertical="center"/>
    </xf>
    <xf numFmtId="0" fontId="16" fillId="0" borderId="38" xfId="9" quotePrefix="1" applyFont="1" applyBorder="1" applyAlignment="1">
      <alignment horizontal="center" vertical="center"/>
    </xf>
    <xf numFmtId="0" fontId="16" fillId="0" borderId="49" xfId="9" quotePrefix="1" applyFont="1" applyBorder="1" applyAlignment="1">
      <alignment horizontal="center" vertical="center"/>
    </xf>
    <xf numFmtId="0" fontId="16" fillId="0" borderId="34" xfId="9" quotePrefix="1" applyFont="1" applyBorder="1" applyAlignment="1">
      <alignment horizontal="center" vertical="center"/>
    </xf>
    <xf numFmtId="0" fontId="16" fillId="0" borderId="35" xfId="9" quotePrefix="1" applyFont="1" applyBorder="1" applyAlignment="1">
      <alignment horizontal="center" vertical="center"/>
    </xf>
    <xf numFmtId="0" fontId="16" fillId="0" borderId="59" xfId="9" quotePrefix="1" applyFont="1" applyBorder="1" applyAlignment="1">
      <alignment horizontal="center" vertical="center"/>
    </xf>
    <xf numFmtId="0" fontId="16" fillId="0" borderId="60" xfId="9" quotePrefix="1" applyFont="1" applyBorder="1" applyAlignment="1">
      <alignment horizontal="center" vertical="center"/>
    </xf>
    <xf numFmtId="0" fontId="16" fillId="0" borderId="34" xfId="9" applyFont="1" applyBorder="1" applyAlignment="1">
      <alignment horizontal="center" vertical="center"/>
    </xf>
    <xf numFmtId="0" fontId="16" fillId="0" borderId="35" xfId="9" applyFont="1" applyBorder="1" applyAlignment="1">
      <alignment horizontal="center" vertical="center"/>
    </xf>
    <xf numFmtId="0" fontId="43" fillId="0" borderId="37" xfId="9" applyFont="1" applyBorder="1" applyAlignment="1">
      <alignment horizontal="center" vertical="center"/>
    </xf>
    <xf numFmtId="0" fontId="16" fillId="0" borderId="54" xfId="9" applyFont="1" applyBorder="1" applyAlignment="1">
      <alignment horizontal="center" vertical="center"/>
    </xf>
    <xf numFmtId="0" fontId="16" fillId="0" borderId="55" xfId="9" applyFont="1" applyBorder="1" applyAlignment="1">
      <alignment horizontal="center" vertical="center"/>
    </xf>
    <xf numFmtId="0" fontId="16" fillId="0" borderId="51" xfId="9" applyFont="1" applyBorder="1" applyAlignment="1">
      <alignment horizontal="center" vertical="center"/>
    </xf>
    <xf numFmtId="0" fontId="16" fillId="0" borderId="45" xfId="9" applyFont="1" applyBorder="1" applyAlignment="1">
      <alignment horizontal="center" vertical="center"/>
    </xf>
    <xf numFmtId="0" fontId="43" fillId="0" borderId="38" xfId="9" quotePrefix="1" applyFont="1" applyBorder="1" applyAlignment="1">
      <alignment horizontal="center" vertical="center"/>
    </xf>
    <xf numFmtId="0" fontId="16" fillId="0" borderId="42" xfId="9" applyFont="1" applyBorder="1" applyAlignment="1">
      <alignment horizontal="center" vertical="center"/>
    </xf>
    <xf numFmtId="0" fontId="16" fillId="0" borderId="43" xfId="9" applyFont="1" applyBorder="1" applyAlignment="1">
      <alignment horizontal="center" vertical="center"/>
    </xf>
    <xf numFmtId="0" fontId="16" fillId="0" borderId="59" xfId="9" applyFont="1" applyBorder="1" applyAlignment="1">
      <alignment horizontal="center" vertical="center"/>
    </xf>
    <xf numFmtId="0" fontId="16" fillId="0" borderId="60" xfId="9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222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4" fontId="59" fillId="6" borderId="77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 wrapText="1"/>
    </xf>
    <xf numFmtId="184" fontId="59" fillId="7" borderId="197" xfId="2" applyNumberFormat="1" applyFont="1" applyFill="1" applyBorder="1" applyAlignment="1" applyProtection="1">
      <alignment horizontal="center" vertical="center"/>
    </xf>
    <xf numFmtId="0" fontId="58" fillId="7" borderId="6" xfId="0" applyFont="1" applyFill="1" applyBorder="1" applyAlignment="1">
      <alignment vertical="center" wrapText="1"/>
    </xf>
    <xf numFmtId="0" fontId="57" fillId="0" borderId="181" xfId="0" applyFont="1" applyBorder="1" applyAlignment="1">
      <alignment horizontal="center" vertical="center"/>
    </xf>
    <xf numFmtId="0" fontId="58" fillId="0" borderId="181" xfId="0" applyFont="1" applyBorder="1" applyAlignment="1">
      <alignment horizontal="center" vertical="center" wrapText="1"/>
    </xf>
    <xf numFmtId="0" fontId="59" fillId="0" borderId="178" xfId="0" applyFont="1" applyBorder="1" applyAlignment="1">
      <alignment horizontal="center" vertical="center"/>
    </xf>
    <xf numFmtId="184" fontId="58" fillId="7" borderId="82" xfId="2" applyNumberFormat="1" applyFont="1" applyFill="1" applyBorder="1" applyAlignment="1" applyProtection="1">
      <alignment horizontal="center" vertical="center"/>
    </xf>
    <xf numFmtId="184" fontId="59" fillId="6" borderId="82" xfId="2" applyNumberFormat="1" applyFont="1" applyFill="1" applyBorder="1" applyAlignment="1" applyProtection="1">
      <alignment horizontal="center" vertical="center"/>
    </xf>
    <xf numFmtId="184" fontId="59" fillId="7" borderId="72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/>
    </xf>
    <xf numFmtId="0" fontId="59" fillId="0" borderId="80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0" borderId="101" xfId="0" applyFont="1" applyBorder="1" applyAlignment="1">
      <alignment horizontal="center" vertical="center" wrapText="1"/>
    </xf>
    <xf numFmtId="0" fontId="59" fillId="0" borderId="214" xfId="0" applyFont="1" applyBorder="1" applyAlignment="1">
      <alignment horizontal="center" vertical="center"/>
    </xf>
    <xf numFmtId="184" fontId="58" fillId="7" borderId="228" xfId="2" applyNumberFormat="1" applyFont="1" applyFill="1" applyBorder="1" applyAlignment="1" applyProtection="1">
      <alignment horizontal="center" vertical="center"/>
    </xf>
    <xf numFmtId="0" fontId="57" fillId="0" borderId="19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 wrapText="1"/>
    </xf>
    <xf numFmtId="184" fontId="57" fillId="7" borderId="230" xfId="2" applyNumberFormat="1" applyFont="1" applyFill="1" applyBorder="1" applyAlignment="1" applyProtection="1">
      <alignment horizontal="center" vertical="center"/>
    </xf>
    <xf numFmtId="184" fontId="59" fillId="6" borderId="101" xfId="2" applyNumberFormat="1" applyFont="1" applyFill="1" applyBorder="1" applyAlignment="1" applyProtection="1">
      <alignment horizontal="center" vertical="center"/>
    </xf>
    <xf numFmtId="0" fontId="59" fillId="0" borderId="183" xfId="0" applyFont="1" applyBorder="1" applyAlignment="1">
      <alignment horizontal="center" vertical="center" wrapText="1"/>
    </xf>
    <xf numFmtId="184" fontId="59" fillId="7" borderId="230" xfId="2" applyNumberFormat="1" applyFont="1" applyFill="1" applyBorder="1" applyAlignment="1" applyProtection="1">
      <alignment horizontal="center" vertical="center"/>
    </xf>
    <xf numFmtId="184" fontId="58" fillId="0" borderId="225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9" fillId="0" borderId="229" xfId="2" applyNumberFormat="1" applyFont="1" applyFill="1" applyBorder="1" applyAlignment="1" applyProtection="1">
      <alignment horizontal="center" vertical="center"/>
    </xf>
    <xf numFmtId="0" fontId="58" fillId="0" borderId="181" xfId="0" applyFont="1" applyBorder="1" applyAlignment="1">
      <alignment horizontal="center" vertical="center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7" fillId="0" borderId="212" xfId="2" applyNumberFormat="1" applyFont="1" applyFill="1" applyBorder="1" applyAlignment="1" applyProtection="1">
      <alignment horizontal="center" vertical="center"/>
    </xf>
    <xf numFmtId="184" fontId="57" fillId="0" borderId="223" xfId="2" applyNumberFormat="1" applyFont="1" applyFill="1" applyBorder="1" applyAlignment="1" applyProtection="1">
      <alignment horizontal="center" vertical="center"/>
    </xf>
    <xf numFmtId="184" fontId="59" fillId="0" borderId="197" xfId="2" applyNumberFormat="1" applyFont="1" applyFill="1" applyBorder="1" applyAlignment="1" applyProtection="1">
      <alignment horizontal="center" vertical="center"/>
    </xf>
    <xf numFmtId="184" fontId="58" fillId="0" borderId="231" xfId="2" applyNumberFormat="1" applyFont="1" applyFill="1" applyBorder="1" applyAlignment="1" applyProtection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7" fillId="0" borderId="217" xfId="2" applyNumberFormat="1" applyFont="1" applyFill="1" applyBorder="1" applyAlignment="1" applyProtection="1">
      <alignment horizontal="center"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192" xfId="0" applyFont="1" applyBorder="1" applyAlignment="1">
      <alignment horizontal="center" vertical="center"/>
    </xf>
    <xf numFmtId="0" fontId="42" fillId="0" borderId="205" xfId="0" applyFont="1" applyBorder="1" applyAlignment="1">
      <alignment horizontal="center" vertical="center"/>
    </xf>
    <xf numFmtId="0" fontId="42" fillId="0" borderId="206" xfId="0" applyFont="1" applyBorder="1" applyAlignment="1">
      <alignment horizontal="center" vertical="center"/>
    </xf>
    <xf numFmtId="0" fontId="42" fillId="0" borderId="207" xfId="0" applyFont="1" applyBorder="1" applyAlignment="1">
      <alignment horizontal="center" vertical="center"/>
    </xf>
    <xf numFmtId="0" fontId="26" fillId="4" borderId="6" xfId="0" applyFont="1" applyFill="1" applyBorder="1" applyAlignment="1">
      <alignment horizontal="center" vertical="center"/>
    </xf>
    <xf numFmtId="0" fontId="26" fillId="0" borderId="182" xfId="0" applyFont="1" applyBorder="1">
      <alignment vertical="center"/>
    </xf>
    <xf numFmtId="0" fontId="47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5" fillId="0" borderId="236" xfId="2" applyNumberFormat="1" applyFont="1" applyFill="1" applyBorder="1">
      <alignment vertical="center"/>
    </xf>
    <xf numFmtId="176" fontId="15" fillId="0" borderId="237" xfId="2" applyNumberFormat="1" applyFont="1" applyFill="1" applyBorder="1">
      <alignment vertical="center"/>
    </xf>
    <xf numFmtId="0" fontId="42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8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5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4" fillId="5" borderId="182" xfId="0" applyFont="1" applyFill="1" applyBorder="1" applyAlignment="1">
      <alignment horizontal="center" vertical="center" wrapText="1"/>
    </xf>
    <xf numFmtId="0" fontId="48" fillId="5" borderId="182" xfId="0" applyFont="1" applyFill="1" applyBorder="1" applyAlignment="1">
      <alignment horizontal="center" vertical="center" wrapText="1"/>
    </xf>
    <xf numFmtId="0" fontId="74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0" fontId="26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176" fontId="15" fillId="5" borderId="182" xfId="2" applyNumberFormat="1" applyFont="1" applyFill="1" applyBorder="1">
      <alignment vertical="center"/>
    </xf>
    <xf numFmtId="0" fontId="74" fillId="5" borderId="136" xfId="0" applyFont="1" applyFill="1" applyBorder="1" applyAlignment="1">
      <alignment horizontal="center" vertical="center" wrapText="1"/>
    </xf>
    <xf numFmtId="0" fontId="48" fillId="5" borderId="136" xfId="0" applyFont="1" applyFill="1" applyBorder="1" applyAlignment="1">
      <alignment horizontal="center" vertical="center" wrapText="1"/>
    </xf>
    <xf numFmtId="176" fontId="15" fillId="0" borderId="135" xfId="10" applyNumberFormat="1" applyFont="1" applyBorder="1">
      <alignment vertical="center"/>
    </xf>
    <xf numFmtId="0" fontId="48" fillId="0" borderId="136" xfId="9" applyFont="1" applyBorder="1" applyAlignment="1">
      <alignment horizontal="center" vertical="center" wrapText="1"/>
    </xf>
    <xf numFmtId="176" fontId="15" fillId="0" borderId="136" xfId="10" applyNumberFormat="1" applyFont="1" applyBorder="1">
      <alignment vertical="center"/>
    </xf>
    <xf numFmtId="0" fontId="11" fillId="0" borderId="135" xfId="9" applyBorder="1" applyAlignment="1">
      <alignment horizontal="center" vertical="center" wrapText="1"/>
    </xf>
    <xf numFmtId="0" fontId="37" fillId="0" borderId="135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/>
    </xf>
    <xf numFmtId="0" fontId="48" fillId="0" borderId="135" xfId="9" applyFont="1" applyBorder="1" applyAlignment="1">
      <alignment horizontal="center" vertical="center"/>
    </xf>
    <xf numFmtId="0" fontId="42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4" fillId="0" borderId="239" xfId="0" applyFont="1" applyBorder="1" applyAlignment="1">
      <alignment horizontal="center" vertical="center" wrapText="1"/>
    </xf>
    <xf numFmtId="0" fontId="47" fillId="0" borderId="238" xfId="0" applyFont="1" applyBorder="1" applyAlignment="1">
      <alignment horizontal="center" vertical="center" wrapText="1"/>
    </xf>
    <xf numFmtId="176" fontId="15" fillId="0" borderId="238" xfId="2" applyNumberFormat="1" applyFont="1" applyBorder="1">
      <alignment vertical="center"/>
    </xf>
    <xf numFmtId="0" fontId="25" fillId="6" borderId="136" xfId="0" applyFont="1" applyFill="1" applyBorder="1" applyAlignment="1">
      <alignment horizontal="center" vertical="center"/>
    </xf>
    <xf numFmtId="0" fontId="42" fillId="6" borderId="136" xfId="0" applyFont="1" applyFill="1" applyBorder="1" applyAlignment="1">
      <alignment horizontal="center" vertical="center"/>
    </xf>
    <xf numFmtId="176" fontId="42" fillId="6" borderId="136" xfId="2" applyNumberFormat="1" applyFont="1" applyFill="1" applyBorder="1" applyAlignment="1">
      <alignment horizontal="center" vertical="center"/>
    </xf>
    <xf numFmtId="0" fontId="16" fillId="4" borderId="193" xfId="0" applyFont="1" applyFill="1" applyBorder="1" applyAlignment="1">
      <alignment horizontal="center" vertical="center" wrapText="1"/>
    </xf>
    <xf numFmtId="0" fontId="16" fillId="0" borderId="207" xfId="0" applyFont="1" applyBorder="1" applyAlignment="1">
      <alignment horizontal="center" vertical="center" wrapText="1"/>
    </xf>
    <xf numFmtId="0" fontId="16" fillId="0" borderId="136" xfId="0" applyFont="1" applyBorder="1" applyAlignment="1">
      <alignment horizontal="center" vertical="center" wrapText="1"/>
    </xf>
    <xf numFmtId="176" fontId="44" fillId="0" borderId="136" xfId="2" applyNumberFormat="1" applyFont="1" applyFill="1" applyBorder="1">
      <alignment vertical="center"/>
    </xf>
    <xf numFmtId="0" fontId="42" fillId="0" borderId="137" xfId="0" applyFont="1" applyBorder="1" applyAlignment="1">
      <alignment horizontal="center" vertical="center"/>
    </xf>
    <xf numFmtId="0" fontId="42" fillId="0" borderId="136" xfId="0" applyFont="1" applyBorder="1" applyAlignment="1">
      <alignment horizontal="center" vertical="center"/>
    </xf>
    <xf numFmtId="0" fontId="42" fillId="0" borderId="135" xfId="0" applyFont="1" applyBorder="1" applyAlignment="1">
      <alignment horizontal="center" vertical="center"/>
    </xf>
    <xf numFmtId="0" fontId="42" fillId="0" borderId="6" xfId="0" applyFont="1" applyBorder="1" applyAlignment="1">
      <alignment horizontal="center" vertical="center"/>
    </xf>
    <xf numFmtId="0" fontId="14" fillId="9" borderId="136" xfId="0" applyFont="1" applyFill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82" fillId="4" borderId="135" xfId="0" applyFont="1" applyFill="1" applyBorder="1" applyAlignment="1">
      <alignment horizontal="center" vertical="center" wrapText="1"/>
    </xf>
    <xf numFmtId="0" fontId="82" fillId="4" borderId="6" xfId="0" applyFont="1" applyFill="1" applyBorder="1" applyAlignment="1">
      <alignment horizontal="center" vertical="center" wrapText="1"/>
    </xf>
    <xf numFmtId="0" fontId="46" fillId="4" borderId="6" xfId="0" applyFont="1" applyFill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83" fillId="0" borderId="135" xfId="0" applyFont="1" applyBorder="1" applyAlignment="1">
      <alignment horizontal="center" vertical="center" wrapText="1"/>
    </xf>
    <xf numFmtId="0" fontId="83" fillId="0" borderId="6" xfId="0" applyFont="1" applyBorder="1" applyAlignment="1">
      <alignment horizontal="center" vertical="center" wrapText="1"/>
    </xf>
    <xf numFmtId="0" fontId="83" fillId="0" borderId="136" xfId="0" applyFont="1" applyBorder="1" applyAlignment="1">
      <alignment horizontal="center" vertical="center" wrapText="1"/>
    </xf>
    <xf numFmtId="0" fontId="83" fillId="0" borderId="77" xfId="0" applyFont="1" applyBorder="1" applyAlignment="1">
      <alignment horizontal="center" vertical="center" wrapText="1"/>
    </xf>
    <xf numFmtId="0" fontId="83" fillId="0" borderId="137" xfId="0" applyFont="1" applyBorder="1" applyAlignment="1">
      <alignment horizontal="center" vertical="center" wrapText="1"/>
    </xf>
    <xf numFmtId="0" fontId="83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7" fillId="12" borderId="15" xfId="0" applyNumberFormat="1" applyFont="1" applyFill="1" applyBorder="1" applyAlignment="1">
      <alignment horizontal="center" vertical="center"/>
    </xf>
    <xf numFmtId="181" fontId="27" fillId="12" borderId="18" xfId="0" applyNumberFormat="1" applyFont="1" applyFill="1" applyBorder="1" applyAlignment="1">
      <alignment horizontal="center" vertical="center"/>
    </xf>
    <xf numFmtId="183" fontId="49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3" fillId="0" borderId="25" xfId="0" applyNumberFormat="1" applyFont="1" applyBorder="1" applyAlignment="1">
      <alignment horizontal="center" vertical="center"/>
    </xf>
    <xf numFmtId="0" fontId="57" fillId="8" borderId="6" xfId="0" applyFont="1" applyFill="1" applyBorder="1" applyAlignment="1">
      <alignment horizontal="center" vertical="center"/>
    </xf>
    <xf numFmtId="0" fontId="57" fillId="23" borderId="97" xfId="0" applyFont="1" applyFill="1" applyBorder="1" applyAlignment="1">
      <alignment horizontal="center" vertical="center"/>
    </xf>
    <xf numFmtId="0" fontId="57" fillId="23" borderId="6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vertical="center" wrapText="1"/>
    </xf>
    <xf numFmtId="0" fontId="57" fillId="0" borderId="82" xfId="0" applyFont="1" applyBorder="1" applyAlignment="1">
      <alignment vertical="center" wrapText="1"/>
    </xf>
    <xf numFmtId="0" fontId="57" fillId="0" borderId="82" xfId="0" applyFont="1" applyBorder="1">
      <alignment vertical="center"/>
    </xf>
    <xf numFmtId="0" fontId="57" fillId="0" borderId="82" xfId="0" quotePrefix="1" applyFont="1" applyBorder="1">
      <alignment vertical="center"/>
    </xf>
    <xf numFmtId="184" fontId="58" fillId="0" borderId="216" xfId="2" applyNumberFormat="1" applyFont="1" applyFill="1" applyBorder="1" applyAlignment="1" applyProtection="1">
      <alignment horizontal="center" vertical="center"/>
    </xf>
    <xf numFmtId="0" fontId="57" fillId="0" borderId="216" xfId="0" applyFont="1" applyBorder="1" applyAlignment="1">
      <alignment vertical="center" wrapText="1"/>
    </xf>
    <xf numFmtId="0" fontId="57" fillId="0" borderId="216" xfId="0" applyFont="1" applyBorder="1">
      <alignment vertical="center"/>
    </xf>
    <xf numFmtId="0" fontId="60" fillId="23" borderId="101" xfId="0" applyFont="1" applyFill="1" applyBorder="1" applyAlignment="1">
      <alignment horizontal="center" vertical="center"/>
    </xf>
    <xf numFmtId="0" fontId="58" fillId="0" borderId="212" xfId="0" applyFont="1" applyBorder="1" applyAlignment="1">
      <alignment horizontal="center" vertical="center" wrapText="1"/>
    </xf>
    <xf numFmtId="0" fontId="58" fillId="0" borderId="18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184" fontId="58" fillId="0" borderId="230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58" fillId="0" borderId="182" xfId="0" applyFont="1" applyBorder="1">
      <alignment vertical="center"/>
    </xf>
    <xf numFmtId="184" fontId="58" fillId="7" borderId="224" xfId="2" applyNumberFormat="1" applyFont="1" applyFill="1" applyBorder="1" applyAlignment="1" applyProtection="1">
      <alignment horizontal="center" vertical="center"/>
    </xf>
    <xf numFmtId="184" fontId="59" fillId="6" borderId="224" xfId="2" applyNumberFormat="1" applyFont="1" applyFill="1" applyBorder="1" applyAlignment="1" applyProtection="1">
      <alignment horizontal="center" vertical="center"/>
    </xf>
    <xf numFmtId="0" fontId="58" fillId="7" borderId="182" xfId="0" applyFont="1" applyFill="1" applyBorder="1" applyAlignment="1">
      <alignment vertical="center" wrapText="1"/>
    </xf>
    <xf numFmtId="0" fontId="59" fillId="6" borderId="182" xfId="0" applyFont="1" applyFill="1" applyBorder="1" applyAlignment="1">
      <alignment vertical="center" wrapText="1"/>
    </xf>
    <xf numFmtId="0" fontId="59" fillId="12" borderId="182" xfId="0" applyFont="1" applyFill="1" applyBorder="1" applyAlignment="1">
      <alignment horizontal="center" vertical="center"/>
    </xf>
    <xf numFmtId="0" fontId="59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1" fillId="4" borderId="30" xfId="9" applyFill="1" applyBorder="1" applyAlignment="1">
      <alignment horizontal="center" vertical="center"/>
    </xf>
    <xf numFmtId="0" fontId="12" fillId="4" borderId="30" xfId="9" quotePrefix="1" applyFont="1" applyFill="1" applyBorder="1" applyAlignment="1">
      <alignment horizontal="center" vertical="center"/>
    </xf>
    <xf numFmtId="0" fontId="11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1" fillId="4" borderId="165" xfId="9" applyFill="1" applyBorder="1" applyAlignment="1">
      <alignment horizontal="center" vertical="center"/>
    </xf>
    <xf numFmtId="0" fontId="11" fillId="4" borderId="166" xfId="9" applyFill="1" applyBorder="1" applyAlignment="1">
      <alignment horizontal="center" vertical="center"/>
    </xf>
    <xf numFmtId="0" fontId="11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9" fillId="0" borderId="6" xfId="2" applyNumberFormat="1" applyFont="1" applyFill="1" applyBorder="1" applyAlignment="1" applyProtection="1">
      <alignment horizontal="center" vertical="center"/>
    </xf>
    <xf numFmtId="0" fontId="45" fillId="0" borderId="147" xfId="0" applyFont="1" applyBorder="1" applyAlignment="1">
      <alignment horizontal="center" vertical="center"/>
    </xf>
    <xf numFmtId="0" fontId="45" fillId="0" borderId="153" xfId="0" applyFont="1" applyBorder="1" applyAlignment="1">
      <alignment horizontal="center" vertical="center"/>
    </xf>
    <xf numFmtId="184" fontId="58" fillId="0" borderId="82" xfId="2" applyNumberFormat="1" applyFont="1" applyFill="1" applyBorder="1" applyAlignment="1" applyProtection="1">
      <alignment horizontal="center" vertical="center"/>
    </xf>
    <xf numFmtId="0" fontId="57" fillId="12" borderId="82" xfId="0" applyFont="1" applyFill="1" applyBorder="1">
      <alignment vertical="center"/>
    </xf>
    <xf numFmtId="181" fontId="79" fillId="0" borderId="38" xfId="0" quotePrefix="1" applyNumberFormat="1" applyFont="1" applyBorder="1" applyAlignment="1">
      <alignment horizontal="center" vertical="center" wrapText="1"/>
    </xf>
    <xf numFmtId="181" fontId="79" fillId="0" borderId="49" xfId="0" quotePrefix="1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0" fontId="16" fillId="0" borderId="42" xfId="9" quotePrefix="1" applyFont="1" applyBorder="1" applyAlignment="1">
      <alignment horizontal="center" vertical="center"/>
    </xf>
    <xf numFmtId="0" fontId="16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84" fillId="0" borderId="36" xfId="9" applyFont="1" applyBorder="1" applyAlignment="1">
      <alignment horizontal="center" vertical="center"/>
    </xf>
    <xf numFmtId="0" fontId="72" fillId="0" borderId="15" xfId="9" applyFont="1" applyBorder="1" applyAlignment="1">
      <alignment horizontal="center" vertical="center"/>
    </xf>
    <xf numFmtId="0" fontId="85" fillId="0" borderId="15" xfId="9" applyFont="1" applyBorder="1" applyAlignment="1">
      <alignment horizontal="center" vertical="center"/>
    </xf>
    <xf numFmtId="179" fontId="75" fillId="6" borderId="0" xfId="9" applyNumberFormat="1" applyFont="1" applyFill="1">
      <alignment vertical="center"/>
    </xf>
    <xf numFmtId="0" fontId="75" fillId="6" borderId="0" xfId="9" applyFont="1" applyFill="1">
      <alignment vertical="center"/>
    </xf>
    <xf numFmtId="180" fontId="75" fillId="6" borderId="0" xfId="9" applyNumberFormat="1" applyFont="1" applyFill="1">
      <alignment vertical="center"/>
    </xf>
    <xf numFmtId="10" fontId="47" fillId="6" borderId="0" xfId="12" applyNumberFormat="1" applyFont="1" applyFill="1" applyAlignment="1">
      <alignment vertical="center"/>
    </xf>
    <xf numFmtId="0" fontId="86" fillId="0" borderId="135" xfId="9" applyFont="1" applyBorder="1" applyAlignment="1">
      <alignment horizontal="center" vertical="center" wrapText="1"/>
    </xf>
    <xf numFmtId="0" fontId="87" fillId="0" borderId="135" xfId="0" applyFont="1" applyBorder="1" applyAlignment="1">
      <alignment horizontal="center" vertical="center" wrapText="1"/>
    </xf>
    <xf numFmtId="0" fontId="37" fillId="0" borderId="245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48" fillId="0" borderId="245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/>
    </xf>
    <xf numFmtId="0" fontId="48" fillId="0" borderId="245" xfId="9" applyFont="1" applyBorder="1" applyAlignment="1">
      <alignment horizontal="center" vertical="center"/>
    </xf>
    <xf numFmtId="0" fontId="86" fillId="0" borderId="245" xfId="9" applyFont="1" applyBorder="1" applyAlignment="1">
      <alignment horizontal="center" vertical="center" wrapText="1"/>
    </xf>
    <xf numFmtId="0" fontId="87" fillId="0" borderId="245" xfId="0" applyFont="1" applyBorder="1" applyAlignment="1">
      <alignment horizontal="center" vertical="center" wrapText="1"/>
    </xf>
    <xf numFmtId="176" fontId="15" fillId="0" borderId="245" xfId="10" applyNumberFormat="1" applyFont="1" applyBorder="1">
      <alignment vertical="center"/>
    </xf>
    <xf numFmtId="0" fontId="74" fillId="0" borderId="246" xfId="9" applyFont="1" applyBorder="1" applyAlignment="1">
      <alignment horizontal="center" vertical="center" wrapText="1"/>
    </xf>
    <xf numFmtId="0" fontId="48" fillId="0" borderId="246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/>
    </xf>
    <xf numFmtId="0" fontId="48" fillId="0" borderId="246" xfId="9" applyFont="1" applyBorder="1" applyAlignment="1">
      <alignment horizontal="center" vertical="center"/>
    </xf>
    <xf numFmtId="0" fontId="86" fillId="0" borderId="246" xfId="9" applyFont="1" applyBorder="1" applyAlignment="1">
      <alignment horizontal="center" vertical="center" wrapText="1"/>
    </xf>
    <xf numFmtId="0" fontId="87" fillId="0" borderId="246" xfId="9" applyFont="1" applyBorder="1" applyAlignment="1">
      <alignment horizontal="center" vertical="center" wrapText="1"/>
    </xf>
    <xf numFmtId="176" fontId="15" fillId="0" borderId="246" xfId="10" applyNumberFormat="1" applyFont="1" applyBorder="1">
      <alignment vertical="center"/>
    </xf>
    <xf numFmtId="0" fontId="37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48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/>
    </xf>
    <xf numFmtId="0" fontId="48" fillId="0" borderId="247" xfId="9" applyFont="1" applyBorder="1" applyAlignment="1">
      <alignment horizontal="center" vertical="center"/>
    </xf>
    <xf numFmtId="0" fontId="86" fillId="0" borderId="247" xfId="9" applyFont="1" applyBorder="1" applyAlignment="1">
      <alignment horizontal="center" vertical="center" wrapText="1"/>
    </xf>
    <xf numFmtId="0" fontId="87" fillId="0" borderId="247" xfId="0" applyFont="1" applyBorder="1" applyAlignment="1">
      <alignment horizontal="center" vertical="center" wrapText="1"/>
    </xf>
    <xf numFmtId="176" fontId="15" fillId="0" borderId="247" xfId="10" applyNumberFormat="1" applyFont="1" applyBorder="1">
      <alignment vertical="center"/>
    </xf>
    <xf numFmtId="0" fontId="74" fillId="0" borderId="248" xfId="9" applyFont="1" applyBorder="1" applyAlignment="1">
      <alignment horizontal="center" vertical="center" wrapText="1"/>
    </xf>
    <xf numFmtId="0" fontId="48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/>
    </xf>
    <xf numFmtId="0" fontId="48" fillId="0" borderId="248" xfId="9" applyFont="1" applyBorder="1" applyAlignment="1">
      <alignment horizontal="center" vertical="center"/>
    </xf>
    <xf numFmtId="0" fontId="86" fillId="0" borderId="248" xfId="9" applyFont="1" applyBorder="1" applyAlignment="1">
      <alignment horizontal="center" vertical="center" wrapText="1"/>
    </xf>
    <xf numFmtId="0" fontId="87" fillId="0" borderId="248" xfId="9" applyFont="1" applyBorder="1" applyAlignment="1">
      <alignment horizontal="center" vertical="center" wrapText="1"/>
    </xf>
    <xf numFmtId="176" fontId="15" fillId="0" borderId="248" xfId="10" applyNumberFormat="1" applyFont="1" applyBorder="1">
      <alignment vertical="center"/>
    </xf>
    <xf numFmtId="0" fontId="37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0" fontId="48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/>
    </xf>
    <xf numFmtId="0" fontId="48" fillId="0" borderId="249" xfId="9" applyFont="1" applyBorder="1" applyAlignment="1">
      <alignment horizontal="center" vertical="center"/>
    </xf>
    <xf numFmtId="0" fontId="86" fillId="0" borderId="249" xfId="9" applyFont="1" applyBorder="1" applyAlignment="1">
      <alignment horizontal="center" vertical="center" wrapText="1"/>
    </xf>
    <xf numFmtId="0" fontId="87" fillId="0" borderId="249" xfId="0" applyFont="1" applyBorder="1" applyAlignment="1">
      <alignment horizontal="center" vertical="center" wrapText="1"/>
    </xf>
    <xf numFmtId="176" fontId="15" fillId="0" borderId="249" xfId="10" applyNumberFormat="1" applyFont="1" applyBorder="1">
      <alignment vertical="center"/>
    </xf>
    <xf numFmtId="0" fontId="74" fillId="0" borderId="250" xfId="9" applyFont="1" applyBorder="1" applyAlignment="1">
      <alignment horizontal="center" vertical="center" wrapText="1"/>
    </xf>
    <xf numFmtId="0" fontId="48" fillId="0" borderId="250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/>
    </xf>
    <xf numFmtId="0" fontId="48" fillId="0" borderId="250" xfId="9" applyFont="1" applyBorder="1" applyAlignment="1">
      <alignment horizontal="center" vertical="center"/>
    </xf>
    <xf numFmtId="0" fontId="86" fillId="0" borderId="250" xfId="9" applyFont="1" applyBorder="1" applyAlignment="1">
      <alignment horizontal="center" vertical="center" wrapText="1"/>
    </xf>
    <xf numFmtId="0" fontId="87" fillId="0" borderId="250" xfId="9" applyFont="1" applyBorder="1" applyAlignment="1">
      <alignment horizontal="center" vertical="center" wrapText="1"/>
    </xf>
    <xf numFmtId="176" fontId="15" fillId="0" borderId="250" xfId="10" applyNumberFormat="1" applyFont="1" applyBorder="1">
      <alignment vertical="center"/>
    </xf>
    <xf numFmtId="0" fontId="74" fillId="0" borderId="135" xfId="9" applyFont="1" applyBorder="1" applyAlignment="1">
      <alignment horizontal="center" vertical="center" wrapText="1"/>
    </xf>
    <xf numFmtId="0" fontId="48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2" fillId="0" borderId="251" xfId="0" applyNumberFormat="1" applyFont="1" applyBorder="1" applyAlignment="1">
      <alignment horizontal="center" vertical="center"/>
    </xf>
    <xf numFmtId="181" fontId="27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5" fillId="0" borderId="254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80" fontId="15" fillId="0" borderId="0" xfId="0" applyNumberFormat="1" applyFont="1" applyAlignment="1">
      <alignment horizontal="center" vertical="center"/>
    </xf>
    <xf numFmtId="180" fontId="15" fillId="0" borderId="0" xfId="0" applyNumberFormat="1" applyFont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4" fillId="2" borderId="255" xfId="9" applyFont="1" applyFill="1" applyBorder="1" applyAlignment="1">
      <alignment horizontal="center" vertical="center"/>
    </xf>
    <xf numFmtId="49" fontId="15" fillId="0" borderId="67" xfId="9" applyNumberFormat="1" applyFont="1" applyBorder="1" applyAlignment="1">
      <alignment horizontal="center" vertical="center"/>
    </xf>
    <xf numFmtId="0" fontId="15" fillId="0" borderId="57" xfId="9" applyFont="1" applyBorder="1" applyAlignment="1">
      <alignment horizontal="center" vertical="center"/>
    </xf>
    <xf numFmtId="0" fontId="15" fillId="4" borderId="57" xfId="9" applyFont="1" applyFill="1" applyBorder="1" applyAlignment="1">
      <alignment horizontal="center" vertical="center" wrapText="1"/>
    </xf>
    <xf numFmtId="0" fontId="15" fillId="4" borderId="65" xfId="9" applyFont="1" applyFill="1" applyBorder="1" applyAlignment="1">
      <alignment horizontal="center" vertical="center" wrapText="1"/>
    </xf>
    <xf numFmtId="0" fontId="15" fillId="0" borderId="56" xfId="9" applyFont="1" applyBorder="1" applyAlignment="1">
      <alignment horizontal="center" vertical="center" wrapText="1"/>
    </xf>
    <xf numFmtId="0" fontId="15" fillId="0" borderId="256" xfId="9" applyFont="1" applyBorder="1" applyAlignment="1">
      <alignment horizontal="center" vertical="center" wrapText="1"/>
    </xf>
    <xf numFmtId="0" fontId="15" fillId="0" borderId="256" xfId="9" applyFont="1" applyBorder="1" applyAlignment="1">
      <alignment horizontal="center" vertical="center"/>
    </xf>
    <xf numFmtId="0" fontId="15" fillId="0" borderId="257" xfId="9" applyFont="1" applyBorder="1" applyAlignment="1">
      <alignment horizontal="center" vertical="center" wrapText="1"/>
    </xf>
    <xf numFmtId="177" fontId="15" fillId="0" borderId="18" xfId="9" applyNumberFormat="1" applyFont="1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0" fontId="16" fillId="0" borderId="54" xfId="9" quotePrefix="1" applyFont="1" applyBorder="1" applyAlignment="1">
      <alignment horizontal="center" vertical="center"/>
    </xf>
    <xf numFmtId="0" fontId="16" fillId="0" borderId="55" xfId="9" quotePrefix="1" applyFont="1" applyBorder="1" applyAlignment="1">
      <alignment horizontal="center" vertical="center"/>
    </xf>
    <xf numFmtId="0" fontId="88" fillId="0" borderId="15" xfId="9" applyFont="1" applyBorder="1" applyAlignment="1">
      <alignment horizontal="center" vertical="center"/>
    </xf>
    <xf numFmtId="0" fontId="88" fillId="0" borderId="30" xfId="9" applyFont="1" applyBorder="1" applyAlignment="1">
      <alignment horizontal="center" vertical="center"/>
    </xf>
    <xf numFmtId="0" fontId="88" fillId="0" borderId="18" xfId="9" applyFont="1" applyBorder="1" applyAlignment="1">
      <alignment horizontal="center" vertical="center"/>
    </xf>
    <xf numFmtId="0" fontId="16" fillId="6" borderId="38" xfId="9" applyFont="1" applyFill="1" applyBorder="1" applyAlignment="1">
      <alignment horizontal="center" vertical="center"/>
    </xf>
    <xf numFmtId="0" fontId="15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6" fillId="0" borderId="17" xfId="0" applyNumberFormat="1" applyFont="1" applyBorder="1" applyAlignment="1">
      <alignment horizontal="center" vertical="center" wrapText="1"/>
    </xf>
    <xf numFmtId="0" fontId="66" fillId="4" borderId="2" xfId="0" applyFont="1" applyFill="1" applyBorder="1" applyAlignment="1">
      <alignment horizontal="center" vertical="center" wrapText="1"/>
    </xf>
    <xf numFmtId="186" fontId="57" fillId="23" borderId="258" xfId="2" applyNumberFormat="1" applyFont="1" applyFill="1" applyBorder="1" applyAlignment="1" applyProtection="1">
      <alignment horizontal="center" vertical="center"/>
    </xf>
    <xf numFmtId="186" fontId="57" fillId="23" borderId="261" xfId="2" applyNumberFormat="1" applyFont="1" applyFill="1" applyBorder="1" applyAlignment="1" applyProtection="1">
      <alignment horizontal="center" vertical="center"/>
    </xf>
    <xf numFmtId="0" fontId="58" fillId="11" borderId="77" xfId="0" applyFont="1" applyFill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73" fillId="16" borderId="71" xfId="0" applyFont="1" applyFill="1" applyBorder="1" applyAlignment="1">
      <alignment horizontal="center" vertical="center"/>
    </xf>
    <xf numFmtId="0" fontId="73" fillId="22" borderId="71" xfId="0" applyFont="1" applyFill="1" applyBorder="1" applyAlignment="1">
      <alignment horizontal="center" vertical="center"/>
    </xf>
    <xf numFmtId="0" fontId="73" fillId="16" borderId="71" xfId="0" applyFont="1" applyFill="1" applyBorder="1" applyAlignment="1">
      <alignment horizontal="center" vertical="center" wrapText="1"/>
    </xf>
    <xf numFmtId="0" fontId="73" fillId="22" borderId="71" xfId="0" applyFont="1" applyFill="1" applyBorder="1" applyAlignment="1">
      <alignment horizontal="center" vertical="center" wrapText="1"/>
    </xf>
    <xf numFmtId="185" fontId="57" fillId="23" borderId="262" xfId="2" applyNumberFormat="1" applyFont="1" applyFill="1" applyBorder="1" applyAlignment="1" applyProtection="1">
      <alignment horizontal="center" vertical="center"/>
    </xf>
    <xf numFmtId="186" fontId="57" fillId="0" borderId="263" xfId="2" applyNumberFormat="1" applyFont="1" applyFill="1" applyBorder="1" applyAlignment="1" applyProtection="1">
      <alignment horizontal="center" vertical="center"/>
    </xf>
    <xf numFmtId="186" fontId="57" fillId="0" borderId="264" xfId="2" applyNumberFormat="1" applyFont="1" applyFill="1" applyBorder="1" applyAlignment="1" applyProtection="1">
      <alignment horizontal="center" vertical="center"/>
    </xf>
    <xf numFmtId="185" fontId="57" fillId="0" borderId="264" xfId="2" applyNumberFormat="1" applyFont="1" applyFill="1" applyBorder="1" applyAlignment="1" applyProtection="1">
      <alignment horizontal="center" vertical="center"/>
    </xf>
    <xf numFmtId="186" fontId="57" fillId="0" borderId="265" xfId="2" applyNumberFormat="1" applyFont="1" applyFill="1" applyBorder="1" applyAlignment="1" applyProtection="1">
      <alignment horizontal="center" vertical="center"/>
    </xf>
    <xf numFmtId="184" fontId="57" fillId="0" borderId="264" xfId="2" applyNumberFormat="1" applyFont="1" applyFill="1" applyBorder="1" applyAlignment="1" applyProtection="1">
      <alignment horizontal="center" vertical="center"/>
    </xf>
    <xf numFmtId="185" fontId="57" fillId="0" borderId="265" xfId="2" applyNumberFormat="1" applyFont="1" applyFill="1" applyBorder="1" applyAlignment="1" applyProtection="1">
      <alignment horizontal="center" vertical="center"/>
    </xf>
    <xf numFmtId="185" fontId="57" fillId="23" borderId="261" xfId="2" applyNumberFormat="1" applyFont="1" applyFill="1" applyBorder="1" applyAlignment="1" applyProtection="1">
      <alignment horizontal="center" vertical="center"/>
    </xf>
    <xf numFmtId="185" fontId="57" fillId="23" borderId="264" xfId="2" applyNumberFormat="1" applyFont="1" applyFill="1" applyBorder="1" applyAlignment="1" applyProtection="1">
      <alignment horizontal="center" vertical="center"/>
    </xf>
    <xf numFmtId="186" fontId="57" fillId="23" borderId="264" xfId="2" applyNumberFormat="1" applyFont="1" applyFill="1" applyBorder="1" applyAlignment="1" applyProtection="1">
      <alignment horizontal="center" vertical="center"/>
    </xf>
    <xf numFmtId="186" fontId="57" fillId="23" borderId="265" xfId="2" applyNumberFormat="1" applyFont="1" applyFill="1" applyBorder="1" applyAlignment="1" applyProtection="1">
      <alignment horizontal="center" vertical="center"/>
    </xf>
    <xf numFmtId="186" fontId="57" fillId="0" borderId="266" xfId="2" applyNumberFormat="1" applyFont="1" applyFill="1" applyBorder="1" applyAlignment="1" applyProtection="1">
      <alignment horizontal="center" vertical="center"/>
    </xf>
    <xf numFmtId="184" fontId="57" fillId="23" borderId="265" xfId="2" applyNumberFormat="1" applyFont="1" applyFill="1" applyBorder="1" applyAlignment="1" applyProtection="1">
      <alignment horizontal="center" vertical="center"/>
    </xf>
    <xf numFmtId="184" fontId="57" fillId="0" borderId="263" xfId="2" applyNumberFormat="1" applyFont="1" applyFill="1" applyBorder="1" applyAlignment="1" applyProtection="1">
      <alignment horizontal="center" vertical="center"/>
    </xf>
    <xf numFmtId="184" fontId="57" fillId="0" borderId="265" xfId="2" applyNumberFormat="1" applyFont="1" applyFill="1" applyBorder="1" applyAlignment="1" applyProtection="1">
      <alignment horizontal="center" vertical="center"/>
    </xf>
    <xf numFmtId="186" fontId="57" fillId="23" borderId="262" xfId="2" applyNumberFormat="1" applyFont="1" applyFill="1" applyBorder="1" applyAlignment="1" applyProtection="1">
      <alignment horizontal="center" vertical="center"/>
    </xf>
    <xf numFmtId="186" fontId="57" fillId="23" borderId="92" xfId="2" applyNumberFormat="1" applyFont="1" applyFill="1" applyBorder="1" applyAlignment="1" applyProtection="1">
      <alignment horizontal="center" vertical="center"/>
    </xf>
    <xf numFmtId="186" fontId="57" fillId="23" borderId="75" xfId="2" applyNumberFormat="1" applyFont="1" applyFill="1" applyBorder="1" applyAlignment="1" applyProtection="1">
      <alignment horizontal="center" vertical="center"/>
    </xf>
    <xf numFmtId="186" fontId="57" fillId="23" borderId="90" xfId="2" applyNumberFormat="1" applyFont="1" applyFill="1" applyBorder="1" applyAlignment="1" applyProtection="1">
      <alignment horizontal="center" vertical="center"/>
    </xf>
    <xf numFmtId="186" fontId="57" fillId="23" borderId="150" xfId="2" applyNumberFormat="1" applyFont="1" applyFill="1" applyBorder="1" applyAlignment="1" applyProtection="1">
      <alignment horizontal="center" vertical="center"/>
    </xf>
    <xf numFmtId="186" fontId="62" fillId="23" borderId="75" xfId="2" applyNumberFormat="1" applyFont="1" applyFill="1" applyBorder="1" applyAlignment="1" applyProtection="1">
      <alignment horizontal="center" vertical="center"/>
    </xf>
    <xf numFmtId="0" fontId="57" fillId="0" borderId="244" xfId="0" applyFont="1" applyBorder="1" applyAlignment="1">
      <alignment horizontal="center" vertical="center"/>
    </xf>
    <xf numFmtId="0" fontId="57" fillId="6" borderId="83" xfId="0" applyFont="1" applyFill="1" applyBorder="1" applyAlignment="1">
      <alignment horizontal="center" vertical="center"/>
    </xf>
    <xf numFmtId="0" fontId="57" fillId="6" borderId="151" xfId="0" applyFont="1" applyFill="1" applyBorder="1" applyAlignment="1">
      <alignment horizontal="center" vertical="center"/>
    </xf>
    <xf numFmtId="0" fontId="62" fillId="0" borderId="83" xfId="0" applyFont="1" applyBorder="1" applyAlignment="1">
      <alignment horizontal="center" vertical="center"/>
    </xf>
    <xf numFmtId="0" fontId="57" fillId="6" borderId="73" xfId="0" applyFont="1" applyFill="1" applyBorder="1" applyAlignment="1">
      <alignment horizontal="center" vertical="center"/>
    </xf>
    <xf numFmtId="184" fontId="57" fillId="6" borderId="103" xfId="2" applyNumberFormat="1" applyFont="1" applyFill="1" applyBorder="1" applyAlignment="1" applyProtection="1">
      <alignment horizontal="center" vertical="center"/>
    </xf>
    <xf numFmtId="184" fontId="57" fillId="7" borderId="268" xfId="2" applyNumberFormat="1" applyFont="1" applyFill="1" applyBorder="1" applyAlignment="1" applyProtection="1">
      <alignment horizontal="center" vertical="center"/>
    </xf>
    <xf numFmtId="184" fontId="57" fillId="23" borderId="269" xfId="2" applyNumberFormat="1" applyFont="1" applyFill="1" applyBorder="1" applyAlignment="1" applyProtection="1">
      <alignment horizontal="center" vertical="center"/>
    </xf>
    <xf numFmtId="184" fontId="57" fillId="6" borderId="183" xfId="2" applyNumberFormat="1" applyFont="1" applyFill="1" applyBorder="1" applyAlignment="1" applyProtection="1">
      <alignment horizontal="center" vertical="center"/>
    </xf>
    <xf numFmtId="184" fontId="57" fillId="7" borderId="267" xfId="2" applyNumberFormat="1" applyFont="1" applyFill="1" applyBorder="1" applyAlignment="1" applyProtection="1">
      <alignment horizontal="center" vertical="center"/>
    </xf>
    <xf numFmtId="184" fontId="57" fillId="23" borderId="270" xfId="2" applyNumberFormat="1" applyFont="1" applyFill="1" applyBorder="1" applyAlignment="1" applyProtection="1">
      <alignment horizontal="center" vertical="center"/>
    </xf>
    <xf numFmtId="189" fontId="15" fillId="8" borderId="0" xfId="0" applyNumberFormat="1" applyFont="1" applyFill="1">
      <alignment vertical="center"/>
    </xf>
    <xf numFmtId="190" fontId="15" fillId="8" borderId="0" xfId="0" applyNumberFormat="1" applyFont="1" applyFill="1">
      <alignment vertical="center"/>
    </xf>
    <xf numFmtId="191" fontId="15" fillId="8" borderId="0" xfId="0" applyNumberFormat="1" applyFont="1" applyFill="1">
      <alignment vertical="center"/>
    </xf>
    <xf numFmtId="181" fontId="82" fillId="0" borderId="0" xfId="0" applyNumberFormat="1" applyFont="1" applyAlignment="1">
      <alignment horizontal="right" vertical="center" wrapText="1"/>
    </xf>
    <xf numFmtId="178" fontId="22" fillId="0" borderId="108" xfId="9" applyNumberFormat="1" applyFont="1" applyBorder="1" applyAlignment="1">
      <alignment vertical="center" wrapText="1"/>
    </xf>
    <xf numFmtId="181" fontId="23" fillId="0" borderId="0" xfId="0" applyNumberFormat="1" applyFont="1" applyAlignment="1">
      <alignment horizontal="right" vertical="center" wrapText="1"/>
    </xf>
    <xf numFmtId="189" fontId="23" fillId="8" borderId="0" xfId="0" applyNumberFormat="1" applyFont="1" applyFill="1">
      <alignment vertical="center"/>
    </xf>
    <xf numFmtId="190" fontId="23" fillId="8" borderId="0" xfId="0" applyNumberFormat="1" applyFont="1" applyFill="1">
      <alignment vertical="center"/>
    </xf>
    <xf numFmtId="191" fontId="23" fillId="8" borderId="0" xfId="0" applyNumberFormat="1" applyFont="1" applyFill="1">
      <alignment vertical="center"/>
    </xf>
    <xf numFmtId="181" fontId="23" fillId="0" borderId="0" xfId="0" applyNumberFormat="1" applyFont="1">
      <alignment vertical="center"/>
    </xf>
    <xf numFmtId="181" fontId="13" fillId="0" borderId="39" xfId="0" applyNumberFormat="1" applyFont="1" applyBorder="1" applyAlignment="1">
      <alignment horizontal="center" vertical="center" wrapText="1"/>
    </xf>
    <xf numFmtId="184" fontId="77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5" fillId="0" borderId="273" xfId="2" applyNumberFormat="1" applyFont="1" applyBorder="1">
      <alignment vertical="center"/>
    </xf>
    <xf numFmtId="0" fontId="42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7" fillId="0" borderId="0" xfId="0" applyNumberFormat="1" applyFont="1" applyAlignment="1">
      <alignment horizontal="center" vertical="center"/>
    </xf>
    <xf numFmtId="192" fontId="15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6" fillId="0" borderId="38" xfId="0" quotePrefix="1" applyNumberFormat="1" applyFont="1" applyBorder="1" applyAlignment="1">
      <alignment horizontal="center" vertical="center" wrapText="1"/>
    </xf>
    <xf numFmtId="0" fontId="91" fillId="0" borderId="6" xfId="0" applyFont="1" applyBorder="1" applyAlignment="1">
      <alignment horizontal="center" vertical="center" wrapText="1"/>
    </xf>
    <xf numFmtId="0" fontId="60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5" fillId="0" borderId="140" xfId="2" applyNumberFormat="1" applyFont="1" applyFill="1" applyBorder="1">
      <alignment vertical="center"/>
    </xf>
    <xf numFmtId="176" fontId="15" fillId="0" borderId="101" xfId="10" applyNumberFormat="1" applyFont="1" applyBorder="1">
      <alignment vertical="center"/>
    </xf>
    <xf numFmtId="176" fontId="31" fillId="0" borderId="6" xfId="2" applyNumberFormat="1" applyFont="1" applyBorder="1" applyAlignment="1">
      <alignment horizontal="center" vertical="center" wrapText="1"/>
    </xf>
    <xf numFmtId="176" fontId="31" fillId="0" borderId="136" xfId="2" applyNumberFormat="1" applyFont="1" applyBorder="1" applyAlignment="1">
      <alignment horizontal="center" vertical="center" wrapText="1"/>
    </xf>
    <xf numFmtId="176" fontId="15" fillId="0" borderId="6" xfId="10" applyNumberFormat="1" applyFont="1" applyBorder="1">
      <alignment vertical="center"/>
    </xf>
    <xf numFmtId="176" fontId="15" fillId="0" borderId="103" xfId="10" applyNumberFormat="1" applyFont="1" applyBorder="1">
      <alignment vertical="center"/>
    </xf>
    <xf numFmtId="176" fontId="15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4" fillId="0" borderId="140" xfId="0" applyFont="1" applyBorder="1" applyAlignment="1">
      <alignment horizontal="center" vertical="center" wrapText="1"/>
    </xf>
    <xf numFmtId="179" fontId="92" fillId="0" borderId="135" xfId="9" applyNumberFormat="1" applyFont="1" applyBorder="1" applyAlignment="1">
      <alignment horizontal="center" vertical="center" wrapText="1"/>
    </xf>
    <xf numFmtId="0" fontId="92" fillId="0" borderId="135" xfId="9" applyFont="1" applyBorder="1" applyAlignment="1">
      <alignment horizontal="center" vertical="center"/>
    </xf>
    <xf numFmtId="0" fontId="87" fillId="0" borderId="135" xfId="9" applyFont="1" applyBorder="1" applyAlignment="1">
      <alignment horizontal="center" vertical="center" wrapText="1"/>
    </xf>
    <xf numFmtId="0" fontId="86" fillId="0" borderId="191" xfId="0" applyFont="1" applyBorder="1" applyAlignment="1">
      <alignment horizontal="center" vertical="center" wrapText="1"/>
    </xf>
    <xf numFmtId="179" fontId="92" fillId="0" borderId="101" xfId="9" applyNumberFormat="1" applyFont="1" applyBorder="1" applyAlignment="1">
      <alignment horizontal="center" vertical="center" wrapText="1"/>
    </xf>
    <xf numFmtId="0" fontId="92" fillId="0" borderId="101" xfId="9" applyFont="1" applyBorder="1" applyAlignment="1">
      <alignment horizontal="center" vertical="center"/>
    </xf>
    <xf numFmtId="0" fontId="86" fillId="0" borderId="214" xfId="0" applyFont="1" applyBorder="1" applyAlignment="1">
      <alignment horizontal="center" vertical="center" wrapText="1"/>
    </xf>
    <xf numFmtId="0" fontId="87" fillId="0" borderId="101" xfId="0" applyFont="1" applyBorder="1" applyAlignment="1">
      <alignment horizontal="center" vertical="center" wrapText="1"/>
    </xf>
    <xf numFmtId="179" fontId="92" fillId="0" borderId="6" xfId="9" applyNumberFormat="1" applyFont="1" applyBorder="1" applyAlignment="1">
      <alignment horizontal="center" vertical="center" wrapText="1"/>
    </xf>
    <xf numFmtId="0" fontId="92" fillId="0" borderId="6" xfId="9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7" fillId="0" borderId="182" xfId="0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179" fontId="92" fillId="0" borderId="136" xfId="9" applyNumberFormat="1" applyFont="1" applyBorder="1" applyAlignment="1">
      <alignment horizontal="center" vertical="center" wrapText="1"/>
    </xf>
    <xf numFmtId="0" fontId="86" fillId="0" borderId="196" xfId="0" applyFont="1" applyBorder="1" applyAlignment="1">
      <alignment horizontal="center" vertical="center" wrapText="1"/>
    </xf>
    <xf numFmtId="0" fontId="92" fillId="0" borderId="136" xfId="9" applyFont="1" applyBorder="1" applyAlignment="1">
      <alignment horizontal="center" vertical="center" wrapText="1"/>
    </xf>
    <xf numFmtId="0" fontId="11" fillId="0" borderId="6" xfId="9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/>
    </xf>
    <xf numFmtId="0" fontId="48" fillId="0" borderId="6" xfId="9" applyFont="1" applyBorder="1" applyAlignment="1">
      <alignment horizontal="center" vertical="center"/>
    </xf>
    <xf numFmtId="0" fontId="48" fillId="0" borderId="182" xfId="9" applyFont="1" applyBorder="1" applyAlignment="1">
      <alignment horizontal="center" vertical="center" wrapText="1"/>
    </xf>
    <xf numFmtId="0" fontId="48" fillId="0" borderId="182" xfId="9" applyFont="1" applyBorder="1" applyAlignment="1">
      <alignment horizontal="center" vertical="center"/>
    </xf>
    <xf numFmtId="0" fontId="11" fillId="0" borderId="182" xfId="9" applyBorder="1" applyAlignment="1">
      <alignment horizontal="center" vertical="center" wrapText="1"/>
    </xf>
    <xf numFmtId="0" fontId="74" fillId="0" borderId="182" xfId="9" applyFont="1" applyBorder="1" applyAlignment="1">
      <alignment horizontal="center" vertical="center" wrapText="1"/>
    </xf>
    <xf numFmtId="0" fontId="74" fillId="0" borderId="182" xfId="9" applyFont="1" applyBorder="1" applyAlignment="1">
      <alignment horizontal="center" vertical="center"/>
    </xf>
    <xf numFmtId="0" fontId="74" fillId="0" borderId="196" xfId="9" applyFont="1" applyBorder="1" applyAlignment="1">
      <alignment horizontal="center" vertical="center" wrapText="1"/>
    </xf>
    <xf numFmtId="0" fontId="74" fillId="0" borderId="196" xfId="9" applyFont="1" applyBorder="1" applyAlignment="1">
      <alignment horizontal="center" vertical="center"/>
    </xf>
    <xf numFmtId="176" fontId="15" fillId="0" borderId="103" xfId="2" applyNumberFormat="1" applyFont="1" applyFill="1" applyBorder="1">
      <alignment vertical="center"/>
    </xf>
    <xf numFmtId="176" fontId="31" fillId="0" borderId="6" xfId="2" applyNumberFormat="1" applyFont="1" applyFill="1" applyBorder="1">
      <alignment vertical="center"/>
    </xf>
    <xf numFmtId="176" fontId="15" fillId="0" borderId="198" xfId="2" applyNumberFormat="1" applyFont="1" applyFill="1" applyBorder="1">
      <alignment vertical="center"/>
    </xf>
    <xf numFmtId="0" fontId="28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1" fillId="12" borderId="30" xfId="9" applyFill="1" applyBorder="1" applyAlignment="1">
      <alignment horizontal="center" vertical="center"/>
    </xf>
    <xf numFmtId="0" fontId="12" fillId="12" borderId="30" xfId="9" quotePrefix="1" applyFont="1" applyFill="1" applyBorder="1" applyAlignment="1">
      <alignment horizontal="center" vertical="center"/>
    </xf>
    <xf numFmtId="0" fontId="11" fillId="12" borderId="167" xfId="9" applyFill="1" applyBorder="1" applyAlignment="1">
      <alignment horizontal="center" vertical="center"/>
    </xf>
    <xf numFmtId="0" fontId="12" fillId="12" borderId="166" xfId="9" applyFont="1" applyFill="1" applyBorder="1" applyAlignment="1">
      <alignment horizontal="center" vertical="center"/>
    </xf>
    <xf numFmtId="0" fontId="12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2" fillId="12" borderId="168" xfId="9" quotePrefix="1" applyFont="1" applyFill="1" applyBorder="1" applyAlignment="1">
      <alignment horizontal="center" vertical="center"/>
    </xf>
    <xf numFmtId="181" fontId="14" fillId="12" borderId="127" xfId="0" applyNumberFormat="1" applyFont="1" applyFill="1" applyBorder="1" applyAlignment="1">
      <alignment horizontal="center" vertical="center"/>
    </xf>
    <xf numFmtId="181" fontId="14" fillId="12" borderId="128" xfId="0" applyNumberFormat="1" applyFont="1" applyFill="1" applyBorder="1" applyAlignment="1">
      <alignment horizontal="center" vertical="center"/>
    </xf>
    <xf numFmtId="181" fontId="14" fillId="12" borderId="38" xfId="0" quotePrefix="1" applyNumberFormat="1" applyFont="1" applyFill="1" applyBorder="1" applyAlignment="1">
      <alignment horizontal="center" vertical="center"/>
    </xf>
    <xf numFmtId="181" fontId="14" fillId="12" borderId="49" xfId="0" quotePrefix="1" applyNumberFormat="1" applyFont="1" applyFill="1" applyBorder="1" applyAlignment="1">
      <alignment horizontal="center" vertical="center"/>
    </xf>
    <xf numFmtId="181" fontId="14" fillId="12" borderId="45" xfId="0" quotePrefix="1" applyNumberFormat="1" applyFont="1" applyFill="1" applyBorder="1" applyAlignment="1">
      <alignment horizontal="center" vertical="center"/>
    </xf>
    <xf numFmtId="181" fontId="14" fillId="12" borderId="38" xfId="0" applyNumberFormat="1" applyFont="1" applyFill="1" applyBorder="1" applyAlignment="1">
      <alignment horizontal="center" vertical="center"/>
    </xf>
    <xf numFmtId="181" fontId="14" fillId="12" borderId="131" xfId="0" quotePrefix="1" applyNumberFormat="1" applyFont="1" applyFill="1" applyBorder="1" applyAlignment="1">
      <alignment horizontal="center" vertical="center"/>
    </xf>
    <xf numFmtId="181" fontId="14" fillId="12" borderId="37" xfId="0" applyNumberFormat="1" applyFont="1" applyFill="1" applyBorder="1" applyAlignment="1">
      <alignment horizontal="center" vertical="center"/>
    </xf>
    <xf numFmtId="181" fontId="14" fillId="12" borderId="129" xfId="0" applyNumberFormat="1" applyFont="1" applyFill="1" applyBorder="1" applyAlignment="1">
      <alignment horizontal="center" vertical="center"/>
    </xf>
    <xf numFmtId="181" fontId="14" fillId="12" borderId="51" xfId="0" applyNumberFormat="1" applyFont="1" applyFill="1" applyBorder="1" applyAlignment="1">
      <alignment horizontal="center" vertical="center"/>
    </xf>
    <xf numFmtId="181" fontId="14" fillId="12" borderId="130" xfId="0" applyNumberFormat="1" applyFont="1" applyFill="1" applyBorder="1" applyAlignment="1">
      <alignment horizontal="center" vertical="center"/>
    </xf>
    <xf numFmtId="181" fontId="14" fillId="12" borderId="34" xfId="0" applyNumberFormat="1" applyFont="1" applyFill="1" applyBorder="1" applyAlignment="1">
      <alignment horizontal="center" vertical="center"/>
    </xf>
    <xf numFmtId="181" fontId="14" fillId="12" borderId="51" xfId="0" quotePrefix="1" applyNumberFormat="1" applyFont="1" applyFill="1" applyBorder="1" applyAlignment="1">
      <alignment horizontal="center" vertical="center"/>
    </xf>
    <xf numFmtId="181" fontId="14" fillId="12" borderId="37" xfId="0" quotePrefix="1" applyNumberFormat="1" applyFont="1" applyFill="1" applyBorder="1" applyAlignment="1">
      <alignment horizontal="center" vertical="center"/>
    </xf>
    <xf numFmtId="181" fontId="14" fillId="12" borderId="42" xfId="0" quotePrefix="1" applyNumberFormat="1" applyFont="1" applyFill="1" applyBorder="1" applyAlignment="1">
      <alignment horizontal="center" vertical="center"/>
    </xf>
    <xf numFmtId="181" fontId="14" fillId="12" borderId="43" xfId="0" applyNumberFormat="1" applyFont="1" applyFill="1" applyBorder="1" applyAlignment="1">
      <alignment horizontal="center" vertical="center"/>
    </xf>
    <xf numFmtId="181" fontId="14" fillId="12" borderId="45" xfId="0" applyNumberFormat="1" applyFont="1" applyFill="1" applyBorder="1" applyAlignment="1">
      <alignment horizontal="center" vertical="center"/>
    </xf>
    <xf numFmtId="181" fontId="14" fillId="12" borderId="48" xfId="0" applyNumberFormat="1" applyFont="1" applyFill="1" applyBorder="1" applyAlignment="1">
      <alignment horizontal="center" vertical="center"/>
    </xf>
    <xf numFmtId="181" fontId="14" fillId="12" borderId="35" xfId="0" applyNumberFormat="1" applyFont="1" applyFill="1" applyBorder="1" applyAlignment="1">
      <alignment horizontal="center" vertical="center"/>
    </xf>
    <xf numFmtId="181" fontId="14" fillId="12" borderId="49" xfId="0" applyNumberFormat="1" applyFont="1" applyFill="1" applyBorder="1" applyAlignment="1">
      <alignment horizontal="center" vertical="center"/>
    </xf>
    <xf numFmtId="181" fontId="14" fillId="12" borderId="54" xfId="0" quotePrefix="1" applyNumberFormat="1" applyFont="1" applyFill="1" applyBorder="1" applyAlignment="1">
      <alignment horizontal="center" vertical="center"/>
    </xf>
    <xf numFmtId="181" fontId="14" fillId="12" borderId="34" xfId="0" quotePrefix="1" applyNumberFormat="1" applyFont="1" applyFill="1" applyBorder="1" applyAlignment="1">
      <alignment horizontal="center" vertical="center"/>
    </xf>
    <xf numFmtId="181" fontId="14" fillId="12" borderId="42" xfId="0" applyNumberFormat="1" applyFont="1" applyFill="1" applyBorder="1" applyAlignment="1">
      <alignment horizontal="center" vertical="center"/>
    </xf>
    <xf numFmtId="181" fontId="14" fillId="12" borderId="35" xfId="0" quotePrefix="1" applyNumberFormat="1" applyFont="1" applyFill="1" applyBorder="1" applyAlignment="1">
      <alignment horizontal="center" vertical="center"/>
    </xf>
    <xf numFmtId="181" fontId="14" fillId="12" borderId="43" xfId="0" quotePrefix="1" applyNumberFormat="1" applyFont="1" applyFill="1" applyBorder="1" applyAlignment="1">
      <alignment horizontal="center" vertical="center"/>
    </xf>
    <xf numFmtId="181" fontId="14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3" fillId="16" borderId="275" xfId="0" applyFont="1" applyFill="1" applyBorder="1" applyAlignment="1">
      <alignment horizontal="center" vertical="center"/>
    </xf>
    <xf numFmtId="0" fontId="73" fillId="22" borderId="276" xfId="0" applyFont="1" applyFill="1" applyBorder="1" applyAlignment="1">
      <alignment horizontal="center" vertical="center"/>
    </xf>
    <xf numFmtId="193" fontId="47" fillId="0" borderId="278" xfId="0" applyNumberFormat="1" applyFont="1" applyBorder="1" applyAlignment="1">
      <alignment horizontal="center" vertical="center"/>
    </xf>
    <xf numFmtId="193" fontId="26" fillId="0" borderId="81" xfId="0" applyNumberFormat="1" applyFont="1" applyBorder="1" applyAlignment="1">
      <alignment horizontal="center" vertical="center"/>
    </xf>
    <xf numFmtId="193" fontId="47" fillId="0" borderId="81" xfId="0" applyNumberFormat="1" applyFont="1" applyBorder="1" applyAlignment="1">
      <alignment horizontal="center" vertical="center"/>
    </xf>
    <xf numFmtId="193" fontId="26" fillId="0" borderId="276" xfId="0" applyNumberFormat="1" applyFont="1" applyBorder="1" applyAlignment="1">
      <alignment horizontal="center" vertical="center"/>
    </xf>
    <xf numFmtId="193" fontId="47" fillId="0" borderId="276" xfId="0" applyNumberFormat="1" applyFont="1" applyBorder="1" applyAlignment="1">
      <alignment horizontal="center" vertical="center"/>
    </xf>
    <xf numFmtId="194" fontId="26" fillId="0" borderId="285" xfId="2" applyNumberFormat="1" applyFont="1" applyBorder="1" applyAlignment="1">
      <alignment horizontal="center" vertical="center" wrapText="1"/>
    </xf>
    <xf numFmtId="195" fontId="26" fillId="0" borderId="191" xfId="2" applyNumberFormat="1" applyFont="1" applyBorder="1" applyAlignment="1">
      <alignment horizontal="center" vertical="center" wrapText="1"/>
    </xf>
    <xf numFmtId="193" fontId="26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194" fontId="26" fillId="0" borderId="69" xfId="2" applyNumberFormat="1" applyFont="1" applyBorder="1" applyAlignment="1">
      <alignment horizontal="center" vertical="center" wrapText="1"/>
    </xf>
    <xf numFmtId="195" fontId="26" fillId="0" borderId="6" xfId="2" applyNumberFormat="1" applyFont="1" applyBorder="1" applyAlignment="1">
      <alignment horizontal="center" vertical="center" wrapText="1"/>
    </xf>
    <xf numFmtId="193" fontId="26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26" fillId="0" borderId="275" xfId="2" applyNumberFormat="1" applyFont="1" applyBorder="1" applyAlignment="1">
      <alignment horizontal="center" vertical="center" wrapText="1"/>
    </xf>
    <xf numFmtId="195" fontId="26" fillId="0" borderId="136" xfId="2" applyNumberFormat="1" applyFont="1" applyBorder="1" applyAlignment="1">
      <alignment horizontal="center" vertical="center" wrapText="1"/>
    </xf>
    <xf numFmtId="193" fontId="26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194" fontId="26" fillId="0" borderId="69" xfId="2" applyNumberFormat="1" applyFont="1" applyFill="1" applyBorder="1" applyAlignment="1">
      <alignment horizontal="center" vertical="center" wrapText="1"/>
    </xf>
    <xf numFmtId="195" fontId="26" fillId="0" borderId="6" xfId="2" applyNumberFormat="1" applyFont="1" applyFill="1" applyBorder="1" applyAlignment="1">
      <alignment horizontal="center" vertical="center" wrapText="1"/>
    </xf>
    <xf numFmtId="194" fontId="26" fillId="0" borderId="83" xfId="2" applyNumberFormat="1" applyFont="1" applyBorder="1" applyAlignment="1">
      <alignment horizontal="center" vertical="center" wrapText="1"/>
    </xf>
    <xf numFmtId="194" fontId="26" fillId="0" borderId="288" xfId="2" applyNumberFormat="1" applyFont="1" applyBorder="1" applyAlignment="1">
      <alignment horizontal="center" vertical="center" wrapText="1"/>
    </xf>
    <xf numFmtId="195" fontId="26" fillId="0" borderId="196" xfId="2" applyNumberFormat="1" applyFont="1" applyBorder="1" applyAlignment="1">
      <alignment horizontal="center" vertical="center" wrapText="1"/>
    </xf>
    <xf numFmtId="193" fontId="26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26" fillId="0" borderId="277" xfId="2" applyNumberFormat="1" applyFont="1" applyBorder="1" applyAlignment="1">
      <alignment horizontal="center" vertical="center" wrapText="1"/>
    </xf>
    <xf numFmtId="195" fontId="26" fillId="0" borderId="135" xfId="2" applyNumberFormat="1" applyFont="1" applyBorder="1" applyAlignment="1">
      <alignment horizontal="center" vertical="center" wrapText="1"/>
    </xf>
    <xf numFmtId="193" fontId="26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26" fillId="0" borderId="291" xfId="2" applyNumberFormat="1" applyFont="1" applyBorder="1" applyAlignment="1">
      <alignment horizontal="center" vertical="center" wrapText="1"/>
    </xf>
    <xf numFmtId="195" fontId="26" fillId="0" borderId="182" xfId="2" applyNumberFormat="1" applyFont="1" applyBorder="1" applyAlignment="1">
      <alignment horizontal="center" vertical="center" wrapText="1"/>
    </xf>
    <xf numFmtId="193" fontId="26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26" fillId="0" borderId="275" xfId="2" applyNumberFormat="1" applyFont="1" applyFill="1" applyBorder="1" applyAlignment="1">
      <alignment horizontal="center" vertical="center" wrapText="1"/>
    </xf>
    <xf numFmtId="195" fontId="26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194" fontId="26" fillId="0" borderId="285" xfId="2" applyNumberFormat="1" applyFont="1" applyFill="1" applyBorder="1" applyAlignment="1">
      <alignment horizontal="center" vertical="center" wrapText="1"/>
    </xf>
    <xf numFmtId="195" fontId="26" fillId="0" borderId="191" xfId="2" applyNumberFormat="1" applyFont="1" applyFill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4" fontId="26" fillId="0" borderId="277" xfId="2" applyNumberFormat="1" applyFont="1" applyFill="1" applyBorder="1" applyAlignment="1">
      <alignment horizontal="center" vertical="center" wrapText="1"/>
    </xf>
    <xf numFmtId="195" fontId="26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47" fillId="0" borderId="294" xfId="2" applyNumberFormat="1" applyFont="1" applyBorder="1" applyAlignment="1">
      <alignment horizontal="center" vertical="center" wrapText="1"/>
    </xf>
    <xf numFmtId="195" fontId="47" fillId="0" borderId="198" xfId="2" applyNumberFormat="1" applyFont="1" applyBorder="1" applyAlignment="1">
      <alignment horizontal="center" vertical="center" wrapText="1"/>
    </xf>
    <xf numFmtId="193" fontId="47" fillId="0" borderId="293" xfId="0" applyNumberFormat="1" applyFont="1" applyBorder="1" applyAlignment="1">
      <alignment horizontal="center" vertical="center" wrapText="1"/>
    </xf>
    <xf numFmtId="194" fontId="47" fillId="0" borderId="272" xfId="2" applyNumberFormat="1" applyFont="1" applyBorder="1" applyAlignment="1">
      <alignment horizontal="center" vertical="center" wrapText="1"/>
    </xf>
    <xf numFmtId="195" fontId="47" fillId="0" borderId="103" xfId="2" applyNumberFormat="1" applyFont="1" applyBorder="1" applyAlignment="1">
      <alignment horizontal="center" vertical="center" wrapText="1"/>
    </xf>
    <xf numFmtId="193" fontId="47" fillId="0" borderId="280" xfId="0" applyNumberFormat="1" applyFont="1" applyBorder="1" applyAlignment="1">
      <alignment horizontal="center" vertical="center" wrapText="1"/>
    </xf>
    <xf numFmtId="194" fontId="26" fillId="0" borderId="279" xfId="2" applyNumberFormat="1" applyFont="1" applyBorder="1" applyAlignment="1">
      <alignment horizontal="center" vertical="center" wrapText="1"/>
    </xf>
    <xf numFmtId="195" fontId="26" fillId="0" borderId="103" xfId="2" applyNumberFormat="1" applyFont="1" applyBorder="1" applyAlignment="1">
      <alignment horizontal="center" vertical="center" wrapText="1"/>
    </xf>
    <xf numFmtId="193" fontId="26" fillId="0" borderId="280" xfId="0" applyNumberFormat="1" applyFont="1" applyBorder="1" applyAlignment="1">
      <alignment horizontal="center" vertical="center" wrapText="1"/>
    </xf>
    <xf numFmtId="194" fontId="26" fillId="0" borderId="281" xfId="2" applyNumberFormat="1" applyFont="1" applyBorder="1" applyAlignment="1">
      <alignment horizontal="center" vertical="center" wrapText="1"/>
    </xf>
    <xf numFmtId="195" fontId="26" fillId="0" borderId="273" xfId="2" applyNumberFormat="1" applyFont="1" applyBorder="1" applyAlignment="1">
      <alignment horizontal="center" vertical="center" wrapText="1"/>
    </xf>
    <xf numFmtId="193" fontId="26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6" fillId="0" borderId="84" xfId="2" applyNumberFormat="1" applyFont="1" applyBorder="1" applyAlignment="1">
      <alignment horizontal="center" vertical="center" wrapText="1"/>
    </xf>
    <xf numFmtId="195" fontId="26" fillId="0" borderId="86" xfId="2" applyNumberFormat="1" applyFont="1" applyBorder="1" applyAlignment="1">
      <alignment horizontal="center" vertical="center" wrapText="1"/>
    </xf>
    <xf numFmtId="193" fontId="26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5" fillId="23" borderId="275" xfId="0" applyFont="1" applyFill="1" applyBorder="1" applyAlignment="1">
      <alignment horizontal="center" vertical="center"/>
    </xf>
    <xf numFmtId="0" fontId="42" fillId="23" borderId="276" xfId="0" applyFont="1" applyFill="1" applyBorder="1" applyAlignment="1">
      <alignment horizontal="center" vertical="center"/>
    </xf>
    <xf numFmtId="194" fontId="74" fillId="0" borderId="277" xfId="2" applyNumberFormat="1" applyFont="1" applyBorder="1" applyAlignment="1">
      <alignment horizontal="center" vertical="center" wrapText="1" readingOrder="1"/>
    </xf>
    <xf numFmtId="195" fontId="74" fillId="0" borderId="135" xfId="2" applyNumberFormat="1" applyFont="1" applyBorder="1" applyAlignment="1">
      <alignment horizontal="center" vertical="center" wrapText="1" readingOrder="1"/>
    </xf>
    <xf numFmtId="193" fontId="74" fillId="0" borderId="278" xfId="0" applyNumberFormat="1" applyFont="1" applyBorder="1" applyAlignment="1">
      <alignment horizontal="center" vertical="center" wrapText="1" readingOrder="1"/>
    </xf>
    <xf numFmtId="194" fontId="48" fillId="0" borderId="190" xfId="2" applyNumberFormat="1" applyFont="1" applyBorder="1" applyAlignment="1">
      <alignment horizontal="center" vertical="center" wrapText="1" readingOrder="1"/>
    </xf>
    <xf numFmtId="195" fontId="48" fillId="0" borderId="135" xfId="2" applyNumberFormat="1" applyFont="1" applyBorder="1" applyAlignment="1">
      <alignment horizontal="center" vertical="center" wrapText="1" readingOrder="1"/>
    </xf>
    <xf numFmtId="193" fontId="48" fillId="0" borderId="278" xfId="0" applyNumberFormat="1" applyFont="1" applyBorder="1" applyAlignment="1">
      <alignment horizontal="center" vertical="center" wrapText="1" readingOrder="1"/>
    </xf>
    <xf numFmtId="194" fontId="74" fillId="0" borderId="69" xfId="2" applyNumberFormat="1" applyFont="1" applyBorder="1" applyAlignment="1">
      <alignment horizontal="center" vertical="center" wrapText="1" readingOrder="1"/>
    </xf>
    <xf numFmtId="195" fontId="74" fillId="0" borderId="6" xfId="2" applyNumberFormat="1" applyFont="1" applyBorder="1" applyAlignment="1">
      <alignment horizontal="center" vertical="center" wrapText="1" readingOrder="1"/>
    </xf>
    <xf numFmtId="193" fontId="74" fillId="0" borderId="81" xfId="0" applyNumberFormat="1" applyFont="1" applyBorder="1" applyAlignment="1">
      <alignment horizontal="center" vertical="center" wrapText="1" readingOrder="1"/>
    </xf>
    <xf numFmtId="194" fontId="48" fillId="0" borderId="83" xfId="2" applyNumberFormat="1" applyFont="1" applyBorder="1" applyAlignment="1">
      <alignment horizontal="center" vertical="center" wrapText="1" readingOrder="1"/>
    </xf>
    <xf numFmtId="195" fontId="48" fillId="0" borderId="6" xfId="2" applyNumberFormat="1" applyFont="1" applyBorder="1" applyAlignment="1">
      <alignment horizontal="center" vertical="center" wrapText="1" readingOrder="1"/>
    </xf>
    <xf numFmtId="193" fontId="48" fillId="0" borderId="81" xfId="0" applyNumberFormat="1" applyFont="1" applyBorder="1" applyAlignment="1">
      <alignment horizontal="center" vertical="center" wrapText="1" readingOrder="1"/>
    </xf>
    <xf numFmtId="194" fontId="74" fillId="0" borderId="69" xfId="2" applyNumberFormat="1" applyFont="1" applyFill="1" applyBorder="1" applyAlignment="1">
      <alignment horizontal="center" vertical="center" wrapText="1" readingOrder="1"/>
    </xf>
    <xf numFmtId="195" fontId="74" fillId="0" borderId="6" xfId="2" applyNumberFormat="1" applyFont="1" applyFill="1" applyBorder="1" applyAlignment="1">
      <alignment horizontal="center" vertical="center" wrapText="1" readingOrder="1"/>
    </xf>
    <xf numFmtId="194" fontId="74" fillId="0" borderId="275" xfId="2" applyNumberFormat="1" applyFont="1" applyBorder="1" applyAlignment="1">
      <alignment horizontal="center" vertical="center" wrapText="1" readingOrder="1"/>
    </xf>
    <xf numFmtId="195" fontId="74" fillId="0" borderId="136" xfId="2" applyNumberFormat="1" applyFont="1" applyBorder="1" applyAlignment="1">
      <alignment horizontal="center" vertical="center" wrapText="1" readingOrder="1"/>
    </xf>
    <xf numFmtId="193" fontId="74" fillId="0" borderId="276" xfId="0" applyNumberFormat="1" applyFont="1" applyBorder="1" applyAlignment="1">
      <alignment horizontal="center" vertical="center" wrapText="1" readingOrder="1"/>
    </xf>
    <xf numFmtId="194" fontId="48" fillId="0" borderId="195" xfId="2" applyNumberFormat="1" applyFont="1" applyBorder="1" applyAlignment="1">
      <alignment horizontal="center" vertical="center" wrapText="1" readingOrder="1"/>
    </xf>
    <xf numFmtId="195" fontId="48" fillId="0" borderId="136" xfId="2" applyNumberFormat="1" applyFont="1" applyBorder="1" applyAlignment="1">
      <alignment horizontal="center" vertical="center" wrapText="1" readingOrder="1"/>
    </xf>
    <xf numFmtId="193" fontId="48" fillId="0" borderId="276" xfId="0" applyNumberFormat="1" applyFont="1" applyBorder="1" applyAlignment="1">
      <alignment horizontal="center" vertical="center" wrapText="1" readingOrder="1"/>
    </xf>
    <xf numFmtId="194" fontId="74" fillId="0" borderId="277" xfId="2" applyNumberFormat="1" applyFont="1" applyBorder="1" applyAlignment="1">
      <alignment horizontal="center" vertical="center" wrapText="1"/>
    </xf>
    <xf numFmtId="195" fontId="74" fillId="0" borderId="135" xfId="2" applyNumberFormat="1" applyFont="1" applyBorder="1" applyAlignment="1">
      <alignment horizontal="center" vertical="center" wrapText="1"/>
    </xf>
    <xf numFmtId="193" fontId="74" fillId="0" borderId="278" xfId="0" applyNumberFormat="1" applyFont="1" applyBorder="1" applyAlignment="1">
      <alignment horizontal="center" vertical="center" wrapText="1"/>
    </xf>
    <xf numFmtId="194" fontId="48" fillId="0" borderId="190" xfId="2" applyNumberFormat="1" applyFont="1" applyBorder="1" applyAlignment="1">
      <alignment horizontal="center" vertical="center" wrapText="1"/>
    </xf>
    <xf numFmtId="195" fontId="48" fillId="0" borderId="135" xfId="2" applyNumberFormat="1" applyFont="1" applyBorder="1" applyAlignment="1">
      <alignment horizontal="center" vertical="center" wrapText="1"/>
    </xf>
    <xf numFmtId="193" fontId="48" fillId="0" borderId="278" xfId="0" applyNumberFormat="1" applyFont="1" applyBorder="1" applyAlignment="1">
      <alignment horizontal="center" vertical="center" wrapText="1"/>
    </xf>
    <xf numFmtId="194" fontId="74" fillId="0" borderId="69" xfId="2" applyNumberFormat="1" applyFont="1" applyBorder="1" applyAlignment="1">
      <alignment horizontal="center" vertical="center" wrapText="1"/>
    </xf>
    <xf numFmtId="195" fontId="74" fillId="0" borderId="6" xfId="2" applyNumberFormat="1" applyFont="1" applyBorder="1" applyAlignment="1">
      <alignment horizontal="center" vertical="center" wrapText="1"/>
    </xf>
    <xf numFmtId="193" fontId="74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Border="1" applyAlignment="1">
      <alignment horizontal="center" vertical="center" wrapText="1"/>
    </xf>
    <xf numFmtId="195" fontId="48" fillId="0" borderId="6" xfId="2" applyNumberFormat="1" applyFont="1" applyBorder="1" applyAlignment="1">
      <alignment horizontal="center" vertical="center" wrapText="1"/>
    </xf>
    <xf numFmtId="193" fontId="48" fillId="0" borderId="81" xfId="0" applyNumberFormat="1" applyFont="1" applyBorder="1" applyAlignment="1">
      <alignment horizontal="center" vertical="center" wrapText="1"/>
    </xf>
    <xf numFmtId="194" fontId="74" fillId="0" borderId="69" xfId="2" applyNumberFormat="1" applyFont="1" applyFill="1" applyBorder="1" applyAlignment="1">
      <alignment horizontal="center" vertical="center" wrapText="1"/>
    </xf>
    <xf numFmtId="195" fontId="74" fillId="0" borderId="6" xfId="2" applyNumberFormat="1" applyFont="1" applyFill="1" applyBorder="1" applyAlignment="1">
      <alignment horizontal="center" vertical="center" wrapText="1"/>
    </xf>
    <xf numFmtId="194" fontId="48" fillId="0" borderId="83" xfId="2" applyNumberFormat="1" applyFont="1" applyFill="1" applyBorder="1" applyAlignment="1">
      <alignment horizontal="center" vertical="center" wrapText="1"/>
    </xf>
    <xf numFmtId="195" fontId="48" fillId="0" borderId="6" xfId="2" applyNumberFormat="1" applyFont="1" applyFill="1" applyBorder="1" applyAlignment="1">
      <alignment horizontal="center" vertical="center" wrapText="1"/>
    </xf>
    <xf numFmtId="194" fontId="74" fillId="0" borderId="275" xfId="2" applyNumberFormat="1" applyFont="1" applyBorder="1" applyAlignment="1">
      <alignment horizontal="center" vertical="center" wrapText="1"/>
    </xf>
    <xf numFmtId="195" fontId="74" fillId="0" borderId="136" xfId="2" applyNumberFormat="1" applyFont="1" applyBorder="1" applyAlignment="1">
      <alignment horizontal="center" vertical="center" wrapText="1"/>
    </xf>
    <xf numFmtId="193" fontId="74" fillId="0" borderId="276" xfId="0" applyNumberFormat="1" applyFont="1" applyBorder="1" applyAlignment="1">
      <alignment horizontal="center" vertical="center" wrapText="1"/>
    </xf>
    <xf numFmtId="194" fontId="48" fillId="0" borderId="195" xfId="2" applyNumberFormat="1" applyFont="1" applyBorder="1" applyAlignment="1">
      <alignment horizontal="center" vertical="center" wrapText="1"/>
    </xf>
    <xf numFmtId="195" fontId="48" fillId="0" borderId="136" xfId="2" applyNumberFormat="1" applyFont="1" applyBorder="1" applyAlignment="1">
      <alignment horizontal="center" vertical="center" wrapText="1"/>
    </xf>
    <xf numFmtId="193" fontId="48" fillId="0" borderId="276" xfId="0" applyNumberFormat="1" applyFont="1" applyBorder="1" applyAlignment="1">
      <alignment horizontal="center" vertical="center" wrapText="1"/>
    </xf>
    <xf numFmtId="0" fontId="74" fillId="23" borderId="285" xfId="0" applyFont="1" applyFill="1" applyBorder="1" applyAlignment="1">
      <alignment horizontal="center" vertical="center" wrapText="1"/>
    </xf>
    <xf numFmtId="0" fontId="48" fillId="23" borderId="286" xfId="0" applyFont="1" applyFill="1" applyBorder="1" applyAlignment="1">
      <alignment horizontal="center" vertical="center" wrapText="1"/>
    </xf>
    <xf numFmtId="194" fontId="74" fillId="0" borderId="285" xfId="2" applyNumberFormat="1" applyFont="1" applyFill="1" applyBorder="1" applyAlignment="1">
      <alignment horizontal="center" vertical="center" wrapText="1"/>
    </xf>
    <xf numFmtId="195" fontId="74" fillId="0" borderId="191" xfId="2" applyNumberFormat="1" applyFont="1" applyFill="1" applyBorder="1" applyAlignment="1">
      <alignment horizontal="center" vertical="center" wrapText="1"/>
    </xf>
    <xf numFmtId="193" fontId="74" fillId="0" borderId="286" xfId="0" applyNumberFormat="1" applyFont="1" applyBorder="1" applyAlignment="1">
      <alignment horizontal="center" vertical="center" wrapText="1"/>
    </xf>
    <xf numFmtId="194" fontId="48" fillId="0" borderId="287" xfId="2" applyNumberFormat="1" applyFont="1" applyFill="1" applyBorder="1" applyAlignment="1">
      <alignment horizontal="center" vertical="center" wrapText="1"/>
    </xf>
    <xf numFmtId="195" fontId="48" fillId="0" borderId="191" xfId="2" applyNumberFormat="1" applyFont="1" applyFill="1" applyBorder="1" applyAlignment="1">
      <alignment horizontal="center" vertical="center" wrapText="1"/>
    </xf>
    <xf numFmtId="193" fontId="48" fillId="0" borderId="286" xfId="0" applyNumberFormat="1" applyFont="1" applyBorder="1" applyAlignment="1">
      <alignment horizontal="center" vertical="center" wrapText="1"/>
    </xf>
    <xf numFmtId="0" fontId="48" fillId="23" borderId="292" xfId="0" applyFont="1" applyFill="1" applyBorder="1" applyAlignment="1">
      <alignment horizontal="center" vertical="center" wrapText="1"/>
    </xf>
    <xf numFmtId="0" fontId="48" fillId="0" borderId="244" xfId="0" applyFont="1" applyBorder="1" applyAlignment="1">
      <alignment horizontal="center" vertical="center" wrapText="1"/>
    </xf>
    <xf numFmtId="195" fontId="48" fillId="0" borderId="182" xfId="2" applyNumberFormat="1" applyFont="1" applyBorder="1" applyAlignment="1">
      <alignment horizontal="center" vertical="center" wrapText="1"/>
    </xf>
    <xf numFmtId="193" fontId="48" fillId="0" borderId="292" xfId="0" applyNumberFormat="1" applyFont="1" applyBorder="1" applyAlignment="1">
      <alignment horizontal="center" vertical="center" wrapText="1"/>
    </xf>
    <xf numFmtId="194" fontId="74" fillId="0" borderId="285" xfId="2" applyNumberFormat="1" applyFont="1" applyBorder="1" applyAlignment="1">
      <alignment horizontal="center" vertical="center" wrapText="1"/>
    </xf>
    <xf numFmtId="195" fontId="74" fillId="0" borderId="191" xfId="2" applyNumberFormat="1" applyFont="1" applyBorder="1" applyAlignment="1">
      <alignment horizontal="center" vertical="center" wrapText="1"/>
    </xf>
    <xf numFmtId="194" fontId="48" fillId="0" borderId="287" xfId="2" applyNumberFormat="1" applyFont="1" applyBorder="1" applyAlignment="1">
      <alignment horizontal="center" vertical="center" wrapText="1"/>
    </xf>
    <xf numFmtId="195" fontId="48" fillId="0" borderId="191" xfId="2" applyNumberFormat="1" applyFont="1" applyBorder="1" applyAlignment="1">
      <alignment horizontal="center" vertical="center" wrapText="1"/>
    </xf>
    <xf numFmtId="0" fontId="74" fillId="23" borderId="291" xfId="0" applyFont="1" applyFill="1" applyBorder="1" applyAlignment="1">
      <alignment horizontal="center" vertical="center" wrapText="1"/>
    </xf>
    <xf numFmtId="194" fontId="74" fillId="0" borderId="291" xfId="2" applyNumberFormat="1" applyFont="1" applyBorder="1" applyAlignment="1">
      <alignment horizontal="center" vertical="center" wrapText="1"/>
    </xf>
    <xf numFmtId="195" fontId="74" fillId="0" borderId="182" xfId="2" applyNumberFormat="1" applyFont="1" applyBorder="1" applyAlignment="1">
      <alignment horizontal="center" vertical="center" wrapText="1"/>
    </xf>
    <xf numFmtId="193" fontId="74" fillId="0" borderId="292" xfId="0" applyNumberFormat="1" applyFont="1" applyBorder="1" applyAlignment="1">
      <alignment horizontal="center" vertical="center" wrapText="1"/>
    </xf>
    <xf numFmtId="194" fontId="48" fillId="0" borderId="244" xfId="2" applyNumberFormat="1" applyFont="1" applyBorder="1" applyAlignment="1">
      <alignment horizontal="center" vertical="center" wrapText="1"/>
    </xf>
    <xf numFmtId="0" fontId="74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0" fontId="74" fillId="23" borderId="275" xfId="0" applyFont="1" applyFill="1" applyBorder="1" applyAlignment="1">
      <alignment horizontal="center" vertical="center" wrapText="1"/>
    </xf>
    <xf numFmtId="0" fontId="48" fillId="23" borderId="276" xfId="0" applyFont="1" applyFill="1" applyBorder="1" applyAlignment="1">
      <alignment horizontal="center" vertical="center" wrapText="1"/>
    </xf>
    <xf numFmtId="0" fontId="74" fillId="23" borderId="298" xfId="0" applyFont="1" applyFill="1" applyBorder="1" applyAlignment="1">
      <alignment horizontal="center" vertical="center" wrapText="1"/>
    </xf>
    <xf numFmtId="0" fontId="48" fillId="23" borderId="299" xfId="0" applyFont="1" applyFill="1" applyBorder="1" applyAlignment="1">
      <alignment horizontal="center" vertical="center" wrapText="1"/>
    </xf>
    <xf numFmtId="194" fontId="74" fillId="0" borderId="298" xfId="2" applyNumberFormat="1" applyFont="1" applyBorder="1" applyAlignment="1">
      <alignment horizontal="center" vertical="center" wrapText="1"/>
    </xf>
    <xf numFmtId="195" fontId="74" fillId="0" borderId="140" xfId="2" applyNumberFormat="1" applyFont="1" applyBorder="1" applyAlignment="1">
      <alignment horizontal="center" vertical="center" wrapText="1"/>
    </xf>
    <xf numFmtId="193" fontId="74" fillId="0" borderId="299" xfId="0" applyNumberFormat="1" applyFont="1" applyBorder="1" applyAlignment="1">
      <alignment horizontal="center" vertical="center" wrapText="1"/>
    </xf>
    <xf numFmtId="194" fontId="48" fillId="0" borderId="203" xfId="2" applyNumberFormat="1" applyFont="1" applyBorder="1" applyAlignment="1">
      <alignment horizontal="center" vertical="center" wrapText="1"/>
    </xf>
    <xf numFmtId="195" fontId="48" fillId="0" borderId="140" xfId="2" applyNumberFormat="1" applyFont="1" applyBorder="1" applyAlignment="1">
      <alignment horizontal="center" vertical="center" wrapText="1"/>
    </xf>
    <xf numFmtId="193" fontId="48" fillId="0" borderId="299" xfId="0" applyNumberFormat="1" applyFont="1" applyBorder="1" applyAlignment="1">
      <alignment horizontal="center" vertical="center" wrapText="1"/>
    </xf>
    <xf numFmtId="0" fontId="74" fillId="23" borderId="277" xfId="0" applyFont="1" applyFill="1" applyBorder="1" applyAlignment="1">
      <alignment horizontal="center" vertical="center" wrapText="1"/>
    </xf>
    <xf numFmtId="0" fontId="48" fillId="23" borderId="278" xfId="0" applyFont="1" applyFill="1" applyBorder="1" applyAlignment="1">
      <alignment horizontal="center" vertical="center" wrapText="1"/>
    </xf>
    <xf numFmtId="0" fontId="74" fillId="23" borderId="288" xfId="0" applyFont="1" applyFill="1" applyBorder="1" applyAlignment="1">
      <alignment horizontal="center" vertical="center" wrapText="1"/>
    </xf>
    <xf numFmtId="0" fontId="48" fillId="23" borderId="289" xfId="0" applyFont="1" applyFill="1" applyBorder="1" applyAlignment="1">
      <alignment horizontal="center" vertical="center" wrapText="1"/>
    </xf>
    <xf numFmtId="194" fontId="74" fillId="5" borderId="288" xfId="2" applyNumberFormat="1" applyFont="1" applyFill="1" applyBorder="1" applyAlignment="1">
      <alignment horizontal="center" vertical="center" wrapText="1"/>
    </xf>
    <xf numFmtId="195" fontId="74" fillId="5" borderId="196" xfId="2" applyNumberFormat="1" applyFont="1" applyFill="1" applyBorder="1" applyAlignment="1">
      <alignment horizontal="center" vertical="center" wrapText="1"/>
    </xf>
    <xf numFmtId="193" fontId="74" fillId="5" borderId="289" xfId="0" applyNumberFormat="1" applyFont="1" applyFill="1" applyBorder="1" applyAlignment="1">
      <alignment horizontal="center" vertical="center" wrapText="1"/>
    </xf>
    <xf numFmtId="194" fontId="48" fillId="5" borderId="290" xfId="2" applyNumberFormat="1" applyFont="1" applyFill="1" applyBorder="1" applyAlignment="1">
      <alignment horizontal="center" vertical="center" wrapText="1"/>
    </xf>
    <xf numFmtId="195" fontId="48" fillId="5" borderId="196" xfId="2" applyNumberFormat="1" applyFont="1" applyFill="1" applyBorder="1" applyAlignment="1">
      <alignment horizontal="center" vertical="center" wrapText="1"/>
    </xf>
    <xf numFmtId="193" fontId="48" fillId="5" borderId="289" xfId="0" applyNumberFormat="1" applyFont="1" applyFill="1" applyBorder="1" applyAlignment="1">
      <alignment horizontal="center" vertical="center" wrapText="1"/>
    </xf>
    <xf numFmtId="194" fontId="74" fillId="5" borderId="291" xfId="2" applyNumberFormat="1" applyFont="1" applyFill="1" applyBorder="1" applyAlignment="1">
      <alignment horizontal="center" vertical="center" wrapText="1"/>
    </xf>
    <xf numFmtId="195" fontId="74" fillId="5" borderId="182" xfId="2" applyNumberFormat="1" applyFont="1" applyFill="1" applyBorder="1" applyAlignment="1">
      <alignment horizontal="center" vertical="center" wrapText="1"/>
    </xf>
    <xf numFmtId="193" fontId="74" fillId="5" borderId="292" xfId="0" applyNumberFormat="1" applyFont="1" applyFill="1" applyBorder="1" applyAlignment="1">
      <alignment horizontal="center" vertical="center" wrapText="1"/>
    </xf>
    <xf numFmtId="194" fontId="48" fillId="5" borderId="244" xfId="2" applyNumberFormat="1" applyFont="1" applyFill="1" applyBorder="1" applyAlignment="1">
      <alignment horizontal="center" vertical="center" wrapText="1"/>
    </xf>
    <xf numFmtId="195" fontId="48" fillId="5" borderId="182" xfId="2" applyNumberFormat="1" applyFont="1" applyFill="1" applyBorder="1" applyAlignment="1">
      <alignment horizontal="center" vertical="center" wrapText="1"/>
    </xf>
    <xf numFmtId="193" fontId="48" fillId="5" borderId="292" xfId="0" applyNumberFormat="1" applyFont="1" applyFill="1" applyBorder="1" applyAlignment="1">
      <alignment horizontal="center" vertical="center" wrapText="1"/>
    </xf>
    <xf numFmtId="194" fontId="74" fillId="0" borderId="288" xfId="2" applyNumberFormat="1" applyFont="1" applyBorder="1" applyAlignment="1">
      <alignment horizontal="center" vertical="center" wrapText="1"/>
    </xf>
    <xf numFmtId="195" fontId="74" fillId="0" borderId="196" xfId="2" applyNumberFormat="1" applyFont="1" applyBorder="1" applyAlignment="1">
      <alignment horizontal="center" vertical="center" wrapText="1"/>
    </xf>
    <xf numFmtId="193" fontId="74" fillId="0" borderId="289" xfId="0" applyNumberFormat="1" applyFont="1" applyBorder="1" applyAlignment="1">
      <alignment horizontal="center" vertical="center" wrapText="1"/>
    </xf>
    <xf numFmtId="194" fontId="48" fillId="0" borderId="290" xfId="2" applyNumberFormat="1" applyFont="1" applyBorder="1" applyAlignment="1">
      <alignment horizontal="center" vertical="center" wrapText="1"/>
    </xf>
    <xf numFmtId="195" fontId="48" fillId="0" borderId="196" xfId="2" applyNumberFormat="1" applyFont="1" applyBorder="1" applyAlignment="1">
      <alignment horizontal="center" vertical="center" wrapText="1"/>
    </xf>
    <xf numFmtId="193" fontId="48" fillId="0" borderId="289" xfId="0" applyNumberFormat="1" applyFont="1" applyBorder="1" applyAlignment="1">
      <alignment horizontal="center" vertical="center" wrapText="1"/>
    </xf>
    <xf numFmtId="194" fontId="74" fillId="5" borderId="277" xfId="2" applyNumberFormat="1" applyFont="1" applyFill="1" applyBorder="1" applyAlignment="1">
      <alignment horizontal="center" vertical="center" wrapText="1"/>
    </xf>
    <xf numFmtId="195" fontId="74" fillId="5" borderId="135" xfId="2" applyNumberFormat="1" applyFont="1" applyFill="1" applyBorder="1" applyAlignment="1">
      <alignment horizontal="center" vertical="center" wrapText="1"/>
    </xf>
    <xf numFmtId="193" fontId="74" fillId="5" borderId="278" xfId="0" applyNumberFormat="1" applyFont="1" applyFill="1" applyBorder="1" applyAlignment="1">
      <alignment horizontal="center" vertical="center" wrapText="1"/>
    </xf>
    <xf numFmtId="194" fontId="48" fillId="5" borderId="190" xfId="2" applyNumberFormat="1" applyFont="1" applyFill="1" applyBorder="1" applyAlignment="1">
      <alignment horizontal="center" vertical="center" wrapText="1"/>
    </xf>
    <xf numFmtId="195" fontId="48" fillId="5" borderId="135" xfId="2" applyNumberFormat="1" applyFont="1" applyFill="1" applyBorder="1" applyAlignment="1">
      <alignment horizontal="center" vertical="center" wrapText="1"/>
    </xf>
    <xf numFmtId="193" fontId="48" fillId="5" borderId="278" xfId="0" applyNumberFormat="1" applyFont="1" applyFill="1" applyBorder="1" applyAlignment="1">
      <alignment horizontal="center" vertical="center" wrapText="1"/>
    </xf>
    <xf numFmtId="194" fontId="74" fillId="5" borderId="69" xfId="2" applyNumberFormat="1" applyFont="1" applyFill="1" applyBorder="1" applyAlignment="1">
      <alignment horizontal="center" vertical="center" wrapText="1"/>
    </xf>
    <xf numFmtId="195" fontId="74" fillId="5" borderId="6" xfId="2" applyNumberFormat="1" applyFont="1" applyFill="1" applyBorder="1" applyAlignment="1">
      <alignment horizontal="center" vertical="center" wrapText="1"/>
    </xf>
    <xf numFmtId="193" fontId="74" fillId="5" borderId="81" xfId="0" applyNumberFormat="1" applyFont="1" applyFill="1" applyBorder="1" applyAlignment="1">
      <alignment horizontal="center" vertical="center" wrapText="1"/>
    </xf>
    <xf numFmtId="194" fontId="48" fillId="5" borderId="83" xfId="2" applyNumberFormat="1" applyFont="1" applyFill="1" applyBorder="1" applyAlignment="1">
      <alignment horizontal="center" vertical="center" wrapText="1"/>
    </xf>
    <xf numFmtId="195" fontId="48" fillId="5" borderId="6" xfId="2" applyNumberFormat="1" applyFont="1" applyFill="1" applyBorder="1" applyAlignment="1">
      <alignment horizontal="center" vertical="center" wrapText="1"/>
    </xf>
    <xf numFmtId="193" fontId="48" fillId="5" borderId="81" xfId="0" applyNumberFormat="1" applyFont="1" applyFill="1" applyBorder="1" applyAlignment="1">
      <alignment horizontal="center" vertical="center" wrapText="1"/>
    </xf>
    <xf numFmtId="194" fontId="74" fillId="5" borderId="275" xfId="2" applyNumberFormat="1" applyFont="1" applyFill="1" applyBorder="1" applyAlignment="1">
      <alignment horizontal="center" vertical="center" wrapText="1"/>
    </xf>
    <xf numFmtId="195" fontId="74" fillId="5" borderId="136" xfId="2" applyNumberFormat="1" applyFont="1" applyFill="1" applyBorder="1" applyAlignment="1">
      <alignment horizontal="center" vertical="center" wrapText="1"/>
    </xf>
    <xf numFmtId="193" fontId="74" fillId="5" borderId="276" xfId="0" applyNumberFormat="1" applyFont="1" applyFill="1" applyBorder="1" applyAlignment="1">
      <alignment horizontal="center" vertical="center" wrapText="1"/>
    </xf>
    <xf numFmtId="194" fontId="48" fillId="5" borderId="195" xfId="2" applyNumberFormat="1" applyFont="1" applyFill="1" applyBorder="1" applyAlignment="1">
      <alignment horizontal="center" vertical="center" wrapText="1"/>
    </xf>
    <xf numFmtId="195" fontId="48" fillId="5" borderId="136" xfId="2" applyNumberFormat="1" applyFont="1" applyFill="1" applyBorder="1" applyAlignment="1">
      <alignment horizontal="center" vertical="center" wrapText="1"/>
    </xf>
    <xf numFmtId="193" fontId="48" fillId="5" borderId="276" xfId="0" applyNumberFormat="1" applyFont="1" applyFill="1" applyBorder="1" applyAlignment="1">
      <alignment horizontal="center" vertical="center" wrapText="1"/>
    </xf>
    <xf numFmtId="194" fontId="74" fillId="0" borderId="277" xfId="2" applyNumberFormat="1" applyFont="1" applyFill="1" applyBorder="1" applyAlignment="1">
      <alignment horizontal="center" vertical="center" wrapText="1"/>
    </xf>
    <xf numFmtId="195" fontId="74" fillId="0" borderId="135" xfId="2" applyNumberFormat="1" applyFont="1" applyFill="1" applyBorder="1" applyAlignment="1">
      <alignment horizontal="center" vertical="center" wrapText="1"/>
    </xf>
    <xf numFmtId="194" fontId="48" fillId="0" borderId="190" xfId="2" applyNumberFormat="1" applyFont="1" applyFill="1" applyBorder="1" applyAlignment="1">
      <alignment horizontal="center" vertical="center" wrapText="1"/>
    </xf>
    <xf numFmtId="195" fontId="48" fillId="0" borderId="135" xfId="2" applyNumberFormat="1" applyFont="1" applyFill="1" applyBorder="1" applyAlignment="1">
      <alignment horizontal="center" vertical="center" wrapText="1"/>
    </xf>
    <xf numFmtId="194" fontId="74" fillId="0" borderId="275" xfId="2" applyNumberFormat="1" applyFont="1" applyFill="1" applyBorder="1" applyAlignment="1">
      <alignment horizontal="center" vertical="center" wrapText="1"/>
    </xf>
    <xf numFmtId="195" fontId="74" fillId="0" borderId="136" xfId="2" applyNumberFormat="1" applyFont="1" applyFill="1" applyBorder="1" applyAlignment="1">
      <alignment horizontal="center" vertical="center" wrapText="1"/>
    </xf>
    <xf numFmtId="194" fontId="48" fillId="0" borderId="195" xfId="2" applyNumberFormat="1" applyFont="1" applyFill="1" applyBorder="1" applyAlignment="1">
      <alignment horizontal="center" vertical="center" wrapText="1"/>
    </xf>
    <xf numFmtId="195" fontId="48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6" fillId="0" borderId="277" xfId="2" applyNumberFormat="1" applyFont="1" applyFill="1" applyBorder="1" applyAlignment="1">
      <alignment horizontal="center" vertical="center"/>
    </xf>
    <xf numFmtId="195" fontId="26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6" fillId="0" borderId="69" xfId="2" applyNumberFormat="1" applyFont="1" applyFill="1" applyBorder="1" applyAlignment="1">
      <alignment horizontal="center" vertical="center"/>
    </xf>
    <xf numFmtId="195" fontId="26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4" fillId="23" borderId="288" xfId="0" applyFont="1" applyFill="1" applyBorder="1" applyAlignment="1">
      <alignment horizontal="center" vertical="center"/>
    </xf>
    <xf numFmtId="0" fontId="74" fillId="0" borderId="288" xfId="0" applyFont="1" applyBorder="1" applyAlignment="1">
      <alignment horizontal="center" vertical="center"/>
    </xf>
    <xf numFmtId="195" fontId="74" fillId="0" borderId="196" xfId="2" applyNumberFormat="1" applyFont="1" applyFill="1" applyBorder="1" applyAlignment="1">
      <alignment horizontal="center" vertical="center"/>
    </xf>
    <xf numFmtId="193" fontId="74" fillId="0" borderId="289" xfId="0" applyNumberFormat="1" applyFont="1" applyBorder="1" applyAlignment="1">
      <alignment horizontal="center" vertical="center"/>
    </xf>
    <xf numFmtId="194" fontId="48" fillId="0" borderId="195" xfId="2" applyNumberFormat="1" applyFont="1" applyFill="1" applyBorder="1" applyAlignment="1">
      <alignment horizontal="center" vertical="center"/>
    </xf>
    <xf numFmtId="195" fontId="48" fillId="0" borderId="136" xfId="2" applyNumberFormat="1" applyFont="1" applyFill="1" applyBorder="1" applyAlignment="1">
      <alignment horizontal="center" vertical="center"/>
    </xf>
    <xf numFmtId="194" fontId="74" fillId="4" borderId="69" xfId="2" applyNumberFormat="1" applyFont="1" applyFill="1" applyBorder="1" applyAlignment="1">
      <alignment horizontal="center" vertical="center" wrapText="1"/>
    </xf>
    <xf numFmtId="194" fontId="48" fillId="4" borderId="83" xfId="2" applyNumberFormat="1" applyFont="1" applyFill="1" applyBorder="1" applyAlignment="1">
      <alignment horizontal="center" vertical="center" wrapText="1"/>
    </xf>
    <xf numFmtId="194" fontId="48" fillId="5" borderId="69" xfId="2" applyNumberFormat="1" applyFont="1" applyFill="1" applyBorder="1" applyAlignment="1">
      <alignment horizontal="center" vertical="center" wrapText="1"/>
    </xf>
    <xf numFmtId="0" fontId="74" fillId="23" borderId="300" xfId="0" applyFont="1" applyFill="1" applyBorder="1" applyAlignment="1">
      <alignment horizontal="center" vertical="center" wrapText="1"/>
    </xf>
    <xf numFmtId="0" fontId="48" fillId="23" borderId="301" xfId="0" applyFont="1" applyFill="1" applyBorder="1" applyAlignment="1">
      <alignment horizontal="center" vertical="center" wrapText="1"/>
    </xf>
    <xf numFmtId="194" fontId="74" fillId="0" borderId="302" xfId="2" applyNumberFormat="1" applyFont="1" applyBorder="1" applyAlignment="1">
      <alignment horizontal="center" vertical="center" wrapText="1"/>
    </xf>
    <xf numFmtId="195" fontId="74" fillId="0" borderId="303" xfId="2" applyNumberFormat="1" applyFont="1" applyBorder="1" applyAlignment="1">
      <alignment horizontal="center" vertical="center" wrapText="1"/>
    </xf>
    <xf numFmtId="193" fontId="74" fillId="0" borderId="304" xfId="0" applyNumberFormat="1" applyFont="1" applyBorder="1" applyAlignment="1">
      <alignment horizontal="center" vertical="center" wrapText="1"/>
    </xf>
    <xf numFmtId="194" fontId="48" fillId="0" borderId="305" xfId="2" applyNumberFormat="1" applyFont="1" applyBorder="1" applyAlignment="1">
      <alignment horizontal="center" vertical="center" wrapText="1"/>
    </xf>
    <xf numFmtId="195" fontId="48" fillId="0" borderId="238" xfId="2" applyNumberFormat="1" applyFont="1" applyBorder="1" applyAlignment="1">
      <alignment horizontal="center" vertical="center" wrapText="1"/>
    </xf>
    <xf numFmtId="193" fontId="48" fillId="0" borderId="301" xfId="0" applyNumberFormat="1" applyFont="1" applyBorder="1" applyAlignment="1">
      <alignment horizontal="center" vertical="center" wrapText="1"/>
    </xf>
    <xf numFmtId="0" fontId="86" fillId="23" borderId="277" xfId="9" applyFont="1" applyFill="1" applyBorder="1" applyAlignment="1">
      <alignment horizontal="center" vertical="center" wrapText="1"/>
    </xf>
    <xf numFmtId="0" fontId="87" fillId="23" borderId="278" xfId="9" applyFont="1" applyFill="1" applyBorder="1" applyAlignment="1">
      <alignment horizontal="center" vertical="center" wrapText="1"/>
    </xf>
    <xf numFmtId="194" fontId="86" fillId="0" borderId="277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194" fontId="87" fillId="0" borderId="190" xfId="2" applyNumberFormat="1" applyFont="1" applyBorder="1" applyAlignment="1">
      <alignment horizontal="center" vertical="center" wrapText="1"/>
    </xf>
    <xf numFmtId="195" fontId="87" fillId="0" borderId="135" xfId="2" applyNumberFormat="1" applyFont="1" applyBorder="1" applyAlignment="1">
      <alignment horizontal="center" vertical="center" wrapText="1"/>
    </xf>
    <xf numFmtId="193" fontId="87" fillId="0" borderId="278" xfId="9" applyNumberFormat="1" applyFont="1" applyBorder="1" applyAlignment="1">
      <alignment horizontal="center" vertical="center" wrapText="1"/>
    </xf>
    <xf numFmtId="0" fontId="86" fillId="23" borderId="283" xfId="9" applyFont="1" applyFill="1" applyBorder="1" applyAlignment="1">
      <alignment horizontal="center" vertical="center" wrapText="1"/>
    </xf>
    <xf numFmtId="0" fontId="87" fillId="23" borderId="284" xfId="9" applyFont="1" applyFill="1" applyBorder="1" applyAlignment="1">
      <alignment horizontal="center" vertical="center" wrapText="1"/>
    </xf>
    <xf numFmtId="194" fontId="86" fillId="0" borderId="283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194" fontId="87" fillId="0" borderId="178" xfId="2" applyNumberFormat="1" applyFont="1" applyBorder="1" applyAlignment="1">
      <alignment horizontal="center" vertical="center" wrapText="1"/>
    </xf>
    <xf numFmtId="195" fontId="87" fillId="0" borderId="101" xfId="2" applyNumberFormat="1" applyFont="1" applyBorder="1" applyAlignment="1">
      <alignment horizontal="center" vertical="center" wrapText="1"/>
    </xf>
    <xf numFmtId="193" fontId="87" fillId="0" borderId="284" xfId="9" applyNumberFormat="1" applyFont="1" applyBorder="1" applyAlignment="1">
      <alignment horizontal="center" vertical="center" wrapText="1"/>
    </xf>
    <xf numFmtId="0" fontId="86" fillId="23" borderId="69" xfId="9" applyFont="1" applyFill="1" applyBorder="1" applyAlignment="1">
      <alignment horizontal="center" vertical="center" wrapText="1"/>
    </xf>
    <xf numFmtId="0" fontId="87" fillId="23" borderId="81" xfId="9" applyFont="1" applyFill="1" applyBorder="1" applyAlignment="1">
      <alignment horizontal="center" vertical="center" wrapText="1"/>
    </xf>
    <xf numFmtId="194" fontId="86" fillId="0" borderId="69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194" fontId="87" fillId="0" borderId="83" xfId="2" applyNumberFormat="1" applyFont="1" applyBorder="1" applyAlignment="1">
      <alignment horizontal="center" vertical="center" wrapText="1"/>
    </xf>
    <xf numFmtId="195" fontId="87" fillId="0" borderId="6" xfId="2" applyNumberFormat="1" applyFont="1" applyBorder="1" applyAlignment="1">
      <alignment horizontal="center" vertical="center" wrapText="1"/>
    </xf>
    <xf numFmtId="193" fontId="87" fillId="0" borderId="81" xfId="9" applyNumberFormat="1" applyFont="1" applyBorder="1" applyAlignment="1">
      <alignment horizontal="center" vertical="center" wrapText="1"/>
    </xf>
    <xf numFmtId="0" fontId="87" fillId="23" borderId="292" xfId="0" applyFont="1" applyFill="1" applyBorder="1" applyAlignment="1">
      <alignment horizontal="center" vertical="center" wrapText="1"/>
    </xf>
    <xf numFmtId="0" fontId="87" fillId="0" borderId="244" xfId="0" applyFont="1" applyBorder="1" applyAlignment="1">
      <alignment horizontal="center" vertical="center" wrapText="1"/>
    </xf>
    <xf numFmtId="195" fontId="87" fillId="0" borderId="182" xfId="2" applyNumberFormat="1" applyFont="1" applyBorder="1" applyAlignment="1">
      <alignment horizontal="center" vertical="center" wrapText="1"/>
    </xf>
    <xf numFmtId="193" fontId="87" fillId="0" borderId="292" xfId="0" applyNumberFormat="1" applyFont="1" applyBorder="1" applyAlignment="1">
      <alignment horizontal="center" vertical="center" wrapText="1"/>
    </xf>
    <xf numFmtId="0" fontId="86" fillId="23" borderId="291" xfId="0" applyFont="1" applyFill="1" applyBorder="1" applyAlignment="1">
      <alignment horizontal="center" vertical="center" wrapText="1"/>
    </xf>
    <xf numFmtId="0" fontId="86" fillId="0" borderId="291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6" fillId="23" borderId="288" xfId="0" applyFont="1" applyFill="1" applyBorder="1" applyAlignment="1">
      <alignment horizontal="center" vertical="center" wrapText="1"/>
    </xf>
    <xf numFmtId="0" fontId="87" fillId="23" borderId="276" xfId="9" applyFont="1" applyFill="1" applyBorder="1" applyAlignment="1">
      <alignment horizontal="center" vertical="center" wrapText="1"/>
    </xf>
    <xf numFmtId="0" fontId="86" fillId="0" borderId="288" xfId="0" applyFont="1" applyBorder="1" applyAlignment="1">
      <alignment horizontal="center" vertical="center" wrapText="1"/>
    </xf>
    <xf numFmtId="195" fontId="86" fillId="0" borderId="196" xfId="2" applyNumberFormat="1" applyFont="1" applyBorder="1" applyAlignment="1">
      <alignment horizontal="center" vertical="center" wrapText="1"/>
    </xf>
    <xf numFmtId="193" fontId="86" fillId="0" borderId="289" xfId="0" applyNumberFormat="1" applyFont="1" applyBorder="1" applyAlignment="1">
      <alignment horizontal="center" vertical="center" wrapText="1"/>
    </xf>
    <xf numFmtId="194" fontId="87" fillId="0" borderId="195" xfId="2" applyNumberFormat="1" applyFont="1" applyBorder="1" applyAlignment="1">
      <alignment horizontal="center" vertical="center" wrapText="1"/>
    </xf>
    <xf numFmtId="195" fontId="87" fillId="0" borderId="136" xfId="2" applyNumberFormat="1" applyFont="1" applyBorder="1" applyAlignment="1">
      <alignment horizontal="center" vertical="center" wrapText="1"/>
    </xf>
    <xf numFmtId="193" fontId="87" fillId="0" borderId="276" xfId="9" applyNumberFormat="1" applyFont="1" applyBorder="1" applyAlignment="1">
      <alignment horizontal="center" vertical="center" wrapText="1"/>
    </xf>
    <xf numFmtId="0" fontId="74" fillId="23" borderId="277" xfId="9" applyFont="1" applyFill="1" applyBorder="1" applyAlignment="1">
      <alignment horizontal="center" vertical="center" wrapText="1"/>
    </xf>
    <xf numFmtId="0" fontId="48" fillId="23" borderId="278" xfId="9" applyFont="1" applyFill="1" applyBorder="1" applyAlignment="1">
      <alignment horizontal="center" vertical="center" wrapText="1"/>
    </xf>
    <xf numFmtId="193" fontId="74" fillId="0" borderId="278" xfId="9" applyNumberFormat="1" applyFont="1" applyBorder="1" applyAlignment="1">
      <alignment horizontal="center" vertical="center" wrapText="1"/>
    </xf>
    <xf numFmtId="194" fontId="48" fillId="4" borderId="190" xfId="2" applyNumberFormat="1" applyFont="1" applyFill="1" applyBorder="1" applyAlignment="1">
      <alignment horizontal="center" vertical="center" wrapText="1"/>
    </xf>
    <xf numFmtId="193" fontId="48" fillId="0" borderId="278" xfId="9" applyNumberFormat="1" applyFont="1" applyBorder="1" applyAlignment="1">
      <alignment horizontal="center" vertical="center" wrapText="1"/>
    </xf>
    <xf numFmtId="0" fontId="74" fillId="23" borderId="69" xfId="9" applyFont="1" applyFill="1" applyBorder="1" applyAlignment="1">
      <alignment horizontal="center" vertical="center" wrapText="1"/>
    </xf>
    <xf numFmtId="0" fontId="48" fillId="23" borderId="81" xfId="9" applyFont="1" applyFill="1" applyBorder="1" applyAlignment="1">
      <alignment horizontal="center" vertical="center" wrapText="1"/>
    </xf>
    <xf numFmtId="193" fontId="74" fillId="0" borderId="81" xfId="9" applyNumberFormat="1" applyFont="1" applyBorder="1" applyAlignment="1">
      <alignment horizontal="center" vertical="center" wrapText="1"/>
    </xf>
    <xf numFmtId="193" fontId="48" fillId="0" borderId="81" xfId="9" applyNumberFormat="1" applyFont="1" applyBorder="1" applyAlignment="1">
      <alignment horizontal="center" vertical="center" wrapText="1"/>
    </xf>
    <xf numFmtId="0" fontId="48" fillId="23" borderId="292" xfId="9" applyFont="1" applyFill="1" applyBorder="1" applyAlignment="1">
      <alignment horizontal="center" vertical="center" wrapText="1"/>
    </xf>
    <xf numFmtId="0" fontId="48" fillId="0" borderId="244" xfId="9" applyFont="1" applyBorder="1" applyAlignment="1">
      <alignment horizontal="center" vertical="center" wrapText="1"/>
    </xf>
    <xf numFmtId="193" fontId="48" fillId="0" borderId="292" xfId="9" applyNumberFormat="1" applyFont="1" applyBorder="1" applyAlignment="1">
      <alignment horizontal="center" vertical="center" wrapText="1"/>
    </xf>
    <xf numFmtId="0" fontId="74" fillId="23" borderId="291" xfId="9" applyFont="1" applyFill="1" applyBorder="1" applyAlignment="1">
      <alignment horizontal="center" vertical="center" wrapText="1"/>
    </xf>
    <xf numFmtId="0" fontId="74" fillId="0" borderId="291" xfId="9" applyFont="1" applyBorder="1" applyAlignment="1">
      <alignment horizontal="center" vertical="center" wrapText="1"/>
    </xf>
    <xf numFmtId="193" fontId="74" fillId="0" borderId="292" xfId="9" applyNumberFormat="1" applyFont="1" applyBorder="1" applyAlignment="1">
      <alignment horizontal="center" vertical="center" wrapText="1"/>
    </xf>
    <xf numFmtId="0" fontId="74" fillId="23" borderId="288" xfId="9" applyFont="1" applyFill="1" applyBorder="1" applyAlignment="1">
      <alignment horizontal="center" vertical="center" wrapText="1"/>
    </xf>
    <xf numFmtId="0" fontId="48" fillId="23" borderId="276" xfId="9" applyFont="1" applyFill="1" applyBorder="1" applyAlignment="1">
      <alignment horizontal="center" vertical="center" wrapText="1"/>
    </xf>
    <xf numFmtId="0" fontId="74" fillId="0" borderId="288" xfId="9" applyFont="1" applyBorder="1" applyAlignment="1">
      <alignment horizontal="center" vertical="center" wrapText="1"/>
    </xf>
    <xf numFmtId="193" fontId="74" fillId="0" borderId="289" xfId="9" applyNumberFormat="1" applyFont="1" applyBorder="1" applyAlignment="1">
      <alignment horizontal="center" vertical="center" wrapText="1"/>
    </xf>
    <xf numFmtId="194" fontId="48" fillId="4" borderId="195" xfId="2" applyNumberFormat="1" applyFont="1" applyFill="1" applyBorder="1" applyAlignment="1">
      <alignment horizontal="center" vertical="center" wrapText="1"/>
    </xf>
    <xf numFmtId="193" fontId="48" fillId="0" borderId="276" xfId="9" applyNumberFormat="1" applyFont="1" applyBorder="1" applyAlignment="1">
      <alignment horizontal="center" vertical="center" wrapText="1"/>
    </xf>
    <xf numFmtId="0" fontId="74" fillId="23" borderId="306" xfId="9" applyFont="1" applyFill="1" applyBorder="1" applyAlignment="1">
      <alignment horizontal="center" vertical="center" wrapText="1"/>
    </xf>
    <xf numFmtId="0" fontId="48" fillId="23" borderId="307" xfId="9" applyFont="1" applyFill="1" applyBorder="1" applyAlignment="1">
      <alignment horizontal="center" vertical="center" wrapText="1"/>
    </xf>
    <xf numFmtId="194" fontId="74" fillId="0" borderId="306" xfId="2" applyNumberFormat="1" applyFont="1" applyBorder="1" applyAlignment="1">
      <alignment horizontal="center" vertical="center" wrapText="1"/>
    </xf>
    <xf numFmtId="195" fontId="74" fillId="0" borderId="245" xfId="2" applyNumberFormat="1" applyFont="1" applyBorder="1" applyAlignment="1">
      <alignment horizontal="center" vertical="center" wrapText="1"/>
    </xf>
    <xf numFmtId="193" fontId="74" fillId="0" borderId="307" xfId="9" applyNumberFormat="1" applyFont="1" applyBorder="1" applyAlignment="1">
      <alignment horizontal="center" vertical="center" wrapText="1"/>
    </xf>
    <xf numFmtId="194" fontId="48" fillId="0" borderId="308" xfId="2" applyNumberFormat="1" applyFont="1" applyBorder="1" applyAlignment="1">
      <alignment horizontal="center" vertical="center" wrapText="1"/>
    </xf>
    <xf numFmtId="195" fontId="48" fillId="0" borderId="245" xfId="2" applyNumberFormat="1" applyFont="1" applyBorder="1" applyAlignment="1">
      <alignment horizontal="center" vertical="center" wrapText="1"/>
    </xf>
    <xf numFmtId="193" fontId="48" fillId="0" borderId="307" xfId="9" applyNumberFormat="1" applyFont="1" applyBorder="1" applyAlignment="1">
      <alignment horizontal="center" vertical="center" wrapText="1"/>
    </xf>
    <xf numFmtId="0" fontId="74" fillId="23" borderId="309" xfId="9" applyFont="1" applyFill="1" applyBorder="1" applyAlignment="1">
      <alignment horizontal="center" vertical="center" wrapText="1"/>
    </xf>
    <xf numFmtId="0" fontId="48" fillId="23" borderId="310" xfId="9" applyFont="1" applyFill="1" applyBorder="1" applyAlignment="1">
      <alignment horizontal="center" vertical="center" wrapText="1"/>
    </xf>
    <xf numFmtId="194" fontId="74" fillId="0" borderId="311" xfId="2" applyNumberFormat="1" applyFont="1" applyBorder="1" applyAlignment="1">
      <alignment horizontal="center" vertical="center" wrapText="1"/>
    </xf>
    <xf numFmtId="195" fontId="74" fillId="0" borderId="250" xfId="2" applyNumberFormat="1" applyFont="1" applyBorder="1" applyAlignment="1">
      <alignment horizontal="center" vertical="center" wrapText="1"/>
    </xf>
    <xf numFmtId="193" fontId="74" fillId="0" borderId="312" xfId="9" applyNumberFormat="1" applyFont="1" applyBorder="1" applyAlignment="1">
      <alignment horizontal="center" vertical="center" wrapText="1"/>
    </xf>
    <xf numFmtId="194" fontId="48" fillId="0" borderId="313" xfId="2" applyNumberFormat="1" applyFont="1" applyBorder="1" applyAlignment="1">
      <alignment horizontal="center" vertical="center" wrapText="1"/>
    </xf>
    <xf numFmtId="195" fontId="48" fillId="0" borderId="250" xfId="2" applyNumberFormat="1" applyFont="1" applyBorder="1" applyAlignment="1">
      <alignment horizontal="center" vertical="center" wrapText="1"/>
    </xf>
    <xf numFmtId="193" fontId="48" fillId="0" borderId="310" xfId="9" applyNumberFormat="1" applyFont="1" applyBorder="1" applyAlignment="1">
      <alignment horizontal="center" vertical="center" wrapText="1"/>
    </xf>
    <xf numFmtId="0" fontId="74" fillId="23" borderId="314" xfId="9" applyFont="1" applyFill="1" applyBorder="1" applyAlignment="1">
      <alignment horizontal="center" vertical="center" wrapText="1"/>
    </xf>
    <xf numFmtId="0" fontId="48" fillId="23" borderId="315" xfId="9" applyFont="1" applyFill="1" applyBorder="1" applyAlignment="1">
      <alignment horizontal="center" vertical="center" wrapText="1"/>
    </xf>
    <xf numFmtId="194" fontId="74" fillId="0" borderId="314" xfId="2" applyNumberFormat="1" applyFont="1" applyBorder="1" applyAlignment="1">
      <alignment horizontal="center" vertical="center" wrapText="1"/>
    </xf>
    <xf numFmtId="195" fontId="74" fillId="0" borderId="247" xfId="2" applyNumberFormat="1" applyFont="1" applyBorder="1" applyAlignment="1">
      <alignment horizontal="center" vertical="center" wrapText="1"/>
    </xf>
    <xf numFmtId="193" fontId="74" fillId="0" borderId="315" xfId="9" applyNumberFormat="1" applyFont="1" applyBorder="1" applyAlignment="1">
      <alignment horizontal="center" vertical="center" wrapText="1"/>
    </xf>
    <xf numFmtId="194" fontId="48" fillId="0" borderId="316" xfId="2" applyNumberFormat="1" applyFont="1" applyBorder="1" applyAlignment="1">
      <alignment horizontal="center" vertical="center" wrapText="1"/>
    </xf>
    <xf numFmtId="195" fontId="48" fillId="0" borderId="247" xfId="2" applyNumberFormat="1" applyFont="1" applyBorder="1" applyAlignment="1">
      <alignment horizontal="center" vertical="center" wrapText="1"/>
    </xf>
    <xf numFmtId="193" fontId="48" fillId="0" borderId="315" xfId="9" applyNumberFormat="1" applyFont="1" applyBorder="1" applyAlignment="1">
      <alignment horizontal="center" vertical="center" wrapText="1"/>
    </xf>
    <xf numFmtId="0" fontId="48" fillId="23" borderId="312" xfId="9" applyFont="1" applyFill="1" applyBorder="1" applyAlignment="1">
      <alignment horizontal="center" vertical="center" wrapText="1"/>
    </xf>
    <xf numFmtId="194" fontId="74" fillId="0" borderId="309" xfId="2" applyNumberFormat="1" applyFont="1" applyBorder="1" applyAlignment="1">
      <alignment horizontal="center" vertical="center" wrapText="1"/>
    </xf>
    <xf numFmtId="195" fontId="74" fillId="0" borderId="246" xfId="2" applyNumberFormat="1" applyFont="1" applyBorder="1" applyAlignment="1">
      <alignment horizontal="center" vertical="center" wrapText="1"/>
    </xf>
    <xf numFmtId="194" fontId="48" fillId="0" borderId="317" xfId="2" applyNumberFormat="1" applyFont="1" applyBorder="1" applyAlignment="1">
      <alignment horizontal="center" vertical="center" wrapText="1"/>
    </xf>
    <xf numFmtId="195" fontId="48" fillId="0" borderId="246" xfId="2" applyNumberFormat="1" applyFont="1" applyBorder="1" applyAlignment="1">
      <alignment horizontal="center" vertical="center" wrapText="1"/>
    </xf>
    <xf numFmtId="193" fontId="48" fillId="0" borderId="312" xfId="9" applyNumberFormat="1" applyFont="1" applyBorder="1" applyAlignment="1">
      <alignment horizontal="center" vertical="center" wrapText="1"/>
    </xf>
    <xf numFmtId="0" fontId="74" fillId="23" borderId="318" xfId="9" applyFont="1" applyFill="1" applyBorder="1" applyAlignment="1">
      <alignment horizontal="center" vertical="center" wrapText="1"/>
    </xf>
    <xf numFmtId="0" fontId="48" fillId="23" borderId="319" xfId="9" applyFont="1" applyFill="1" applyBorder="1" applyAlignment="1">
      <alignment horizontal="center" vertical="center" wrapText="1"/>
    </xf>
    <xf numFmtId="194" fontId="74" fillId="0" borderId="318" xfId="2" applyNumberFormat="1" applyFont="1" applyBorder="1" applyAlignment="1">
      <alignment horizontal="center" vertical="center" wrapText="1"/>
    </xf>
    <xf numFmtId="195" fontId="74" fillId="0" borderId="249" xfId="2" applyNumberFormat="1" applyFont="1" applyBorder="1" applyAlignment="1">
      <alignment horizontal="center" vertical="center" wrapText="1"/>
    </xf>
    <xf numFmtId="193" fontId="74" fillId="0" borderId="319" xfId="9" applyNumberFormat="1" applyFont="1" applyBorder="1" applyAlignment="1">
      <alignment horizontal="center" vertical="center" wrapText="1"/>
    </xf>
    <xf numFmtId="194" fontId="48" fillId="0" borderId="320" xfId="2" applyNumberFormat="1" applyFont="1" applyBorder="1" applyAlignment="1">
      <alignment horizontal="center" vertical="center" wrapText="1"/>
    </xf>
    <xf numFmtId="195" fontId="48" fillId="0" borderId="249" xfId="2" applyNumberFormat="1" applyFont="1" applyBorder="1" applyAlignment="1">
      <alignment horizontal="center" vertical="center" wrapText="1"/>
    </xf>
    <xf numFmtId="193" fontId="48" fillId="0" borderId="319" xfId="9" applyNumberFormat="1" applyFont="1" applyBorder="1" applyAlignment="1">
      <alignment horizontal="center" vertical="center" wrapText="1"/>
    </xf>
    <xf numFmtId="0" fontId="74" fillId="23" borderId="311" xfId="9" applyFont="1" applyFill="1" applyBorder="1" applyAlignment="1">
      <alignment horizontal="center" vertical="center" wrapText="1"/>
    </xf>
    <xf numFmtId="193" fontId="74" fillId="0" borderId="310" xfId="9" applyNumberFormat="1" applyFont="1" applyBorder="1" applyAlignment="1">
      <alignment horizontal="center" vertical="center" wrapText="1"/>
    </xf>
    <xf numFmtId="0" fontId="25" fillId="6" borderId="136" xfId="0" applyFont="1" applyFill="1" applyBorder="1" applyAlignment="1">
      <alignment horizontal="center" vertical="center" wrapText="1"/>
    </xf>
    <xf numFmtId="0" fontId="42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6" fillId="0" borderId="182" xfId="2" applyNumberFormat="1" applyFont="1" applyBorder="1" applyAlignment="1">
      <alignment horizontal="center" vertical="center"/>
    </xf>
    <xf numFmtId="193" fontId="26" fillId="0" borderId="292" xfId="0" applyNumberFormat="1" applyFont="1" applyBorder="1" applyAlignment="1">
      <alignment horizontal="center" vertical="center"/>
    </xf>
    <xf numFmtId="195" fontId="47" fillId="0" borderId="6" xfId="2" applyNumberFormat="1" applyFont="1" applyBorder="1" applyAlignment="1">
      <alignment horizontal="center" vertical="center"/>
    </xf>
    <xf numFmtId="195" fontId="26" fillId="0" borderId="6" xfId="2" applyNumberFormat="1" applyFont="1" applyBorder="1" applyAlignment="1">
      <alignment horizontal="center" vertical="center"/>
    </xf>
    <xf numFmtId="195" fontId="47" fillId="0" borderId="182" xfId="2" applyNumberFormat="1" applyFont="1" applyBorder="1" applyAlignment="1">
      <alignment horizontal="center" vertical="center"/>
    </xf>
    <xf numFmtId="193" fontId="47" fillId="0" borderId="292" xfId="0" applyNumberFormat="1" applyFont="1" applyBorder="1" applyAlignment="1">
      <alignment horizontal="center" vertical="center"/>
    </xf>
    <xf numFmtId="195" fontId="26" fillId="0" borderId="136" xfId="2" applyNumberFormat="1" applyFont="1" applyBorder="1" applyAlignment="1">
      <alignment horizontal="center" vertical="center"/>
    </xf>
    <xf numFmtId="195" fontId="47" fillId="0" borderId="136" xfId="2" applyNumberFormat="1" applyFont="1" applyBorder="1" applyAlignment="1">
      <alignment horizontal="center" vertical="center"/>
    </xf>
    <xf numFmtId="193" fontId="56" fillId="0" borderId="0" xfId="0" applyNumberFormat="1" applyFont="1">
      <alignment vertical="center"/>
    </xf>
    <xf numFmtId="193" fontId="57" fillId="0" borderId="0" xfId="0" applyNumberFormat="1" applyFont="1" applyAlignment="1">
      <alignment horizontal="center" vertical="center"/>
    </xf>
    <xf numFmtId="0" fontId="73" fillId="16" borderId="70" xfId="0" applyFont="1" applyFill="1" applyBorder="1" applyAlignment="1">
      <alignment horizontal="center" vertical="center"/>
    </xf>
    <xf numFmtId="0" fontId="73" fillId="22" borderId="74" xfId="0" applyFont="1" applyFill="1" applyBorder="1" applyAlignment="1">
      <alignment horizontal="center" vertical="center"/>
    </xf>
    <xf numFmtId="0" fontId="59" fillId="6" borderId="76" xfId="0" applyFont="1" applyFill="1" applyBorder="1" applyAlignment="1">
      <alignment horizontal="center" vertical="center" wrapText="1"/>
    </xf>
    <xf numFmtId="0" fontId="58" fillId="11" borderId="78" xfId="0" applyFont="1" applyFill="1" applyBorder="1" applyAlignment="1">
      <alignment horizontal="center" vertical="center" wrapText="1"/>
    </xf>
    <xf numFmtId="194" fontId="59" fillId="6" borderId="76" xfId="2" applyNumberFormat="1" applyFont="1" applyFill="1" applyBorder="1" applyAlignment="1">
      <alignment horizontal="center" vertical="center" wrapText="1"/>
    </xf>
    <xf numFmtId="196" fontId="59" fillId="6" borderId="77" xfId="2" applyNumberFormat="1" applyFont="1" applyFill="1" applyBorder="1" applyAlignment="1">
      <alignment horizontal="center" vertical="center" wrapText="1"/>
    </xf>
    <xf numFmtId="193" fontId="59" fillId="6" borderId="78" xfId="0" applyNumberFormat="1" applyFont="1" applyFill="1" applyBorder="1" applyAlignment="1">
      <alignment horizontal="center" vertical="center" wrapText="1"/>
    </xf>
    <xf numFmtId="194" fontId="58" fillId="11" borderId="80" xfId="2" applyNumberFormat="1" applyFont="1" applyFill="1" applyBorder="1" applyAlignment="1">
      <alignment horizontal="center" vertical="center" wrapText="1"/>
    </xf>
    <xf numFmtId="196" fontId="58" fillId="11" borderId="77" xfId="2" applyNumberFormat="1" applyFont="1" applyFill="1" applyBorder="1" applyAlignment="1">
      <alignment horizontal="center" vertical="center" wrapText="1"/>
    </xf>
    <xf numFmtId="193" fontId="58" fillId="11" borderId="78" xfId="0" applyNumberFormat="1" applyFont="1" applyFill="1" applyBorder="1" applyAlignment="1">
      <alignment horizontal="center" vertical="center" wrapText="1"/>
    </xf>
    <xf numFmtId="0" fontId="59" fillId="6" borderId="69" xfId="0" applyFont="1" applyFill="1" applyBorder="1" applyAlignment="1">
      <alignment horizontal="center" vertical="center" wrapText="1"/>
    </xf>
    <xf numFmtId="0" fontId="58" fillId="11" borderId="81" xfId="0" applyFont="1" applyFill="1" applyBorder="1" applyAlignment="1">
      <alignment horizontal="center" vertical="center" wrapText="1"/>
    </xf>
    <xf numFmtId="194" fontId="59" fillId="6" borderId="69" xfId="2" applyNumberFormat="1" applyFont="1" applyFill="1" applyBorder="1" applyAlignment="1">
      <alignment horizontal="center" vertical="center" wrapText="1"/>
    </xf>
    <xf numFmtId="196" fontId="59" fillId="6" borderId="6" xfId="2" applyNumberFormat="1" applyFont="1" applyFill="1" applyBorder="1" applyAlignment="1">
      <alignment horizontal="center" vertical="center" wrapText="1"/>
    </xf>
    <xf numFmtId="193" fontId="59" fillId="6" borderId="81" xfId="0" applyNumberFormat="1" applyFont="1" applyFill="1" applyBorder="1" applyAlignment="1">
      <alignment horizontal="center" vertical="center" wrapText="1"/>
    </xf>
    <xf numFmtId="194" fontId="58" fillId="11" borderId="83" xfId="2" applyNumberFormat="1" applyFont="1" applyFill="1" applyBorder="1" applyAlignment="1">
      <alignment horizontal="center" vertical="center" wrapText="1"/>
    </xf>
    <xf numFmtId="196" fontId="58" fillId="11" borderId="6" xfId="2" applyNumberFormat="1" applyFont="1" applyFill="1" applyBorder="1" applyAlignment="1">
      <alignment horizontal="center" vertical="center" wrapText="1"/>
    </xf>
    <xf numFmtId="193" fontId="58" fillId="11" borderId="81" xfId="0" applyNumberFormat="1" applyFont="1" applyFill="1" applyBorder="1" applyAlignment="1">
      <alignment horizontal="center" vertical="center" wrapText="1"/>
    </xf>
    <xf numFmtId="0" fontId="59" fillId="6" borderId="70" xfId="0" applyFont="1" applyFill="1" applyBorder="1" applyAlignment="1">
      <alignment horizontal="center" vertical="center" wrapText="1"/>
    </xf>
    <xf numFmtId="0" fontId="58" fillId="11" borderId="74" xfId="0" applyFont="1" applyFill="1" applyBorder="1" applyAlignment="1">
      <alignment horizontal="center" vertical="center" wrapText="1"/>
    </xf>
    <xf numFmtId="194" fontId="59" fillId="6" borderId="70" xfId="2" applyNumberFormat="1" applyFont="1" applyFill="1" applyBorder="1" applyAlignment="1">
      <alignment horizontal="center" vertical="center" wrapText="1"/>
    </xf>
    <xf numFmtId="196" fontId="59" fillId="6" borderId="71" xfId="2" applyNumberFormat="1" applyFont="1" applyFill="1" applyBorder="1" applyAlignment="1">
      <alignment horizontal="center" vertical="center" wrapText="1"/>
    </xf>
    <xf numFmtId="193" fontId="59" fillId="6" borderId="74" xfId="0" applyNumberFormat="1" applyFont="1" applyFill="1" applyBorder="1" applyAlignment="1">
      <alignment horizontal="center" vertical="center" wrapText="1"/>
    </xf>
    <xf numFmtId="194" fontId="58" fillId="11" borderId="73" xfId="2" applyNumberFormat="1" applyFont="1" applyFill="1" applyBorder="1" applyAlignment="1">
      <alignment horizontal="center" vertical="center" wrapText="1"/>
    </xf>
    <xf numFmtId="196" fontId="58" fillId="11" borderId="71" xfId="2" applyNumberFormat="1" applyFont="1" applyFill="1" applyBorder="1" applyAlignment="1">
      <alignment horizontal="center" vertical="center" wrapText="1"/>
    </xf>
    <xf numFmtId="193" fontId="58" fillId="11" borderId="74" xfId="0" applyNumberFormat="1" applyFont="1" applyFill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4" fontId="59" fillId="0" borderId="333" xfId="2" applyNumberFormat="1" applyFont="1" applyFill="1" applyBorder="1" applyAlignment="1">
      <alignment horizontal="center" vertical="center" wrapText="1"/>
    </xf>
    <xf numFmtId="195" fontId="59" fillId="0" borderId="181" xfId="2" applyNumberFormat="1" applyFont="1" applyFill="1" applyBorder="1" applyAlignment="1">
      <alignment horizontal="center" vertical="center" wrapText="1"/>
    </xf>
    <xf numFmtId="193" fontId="59" fillId="0" borderId="334" xfId="0" applyNumberFormat="1" applyFont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0" fontId="91" fillId="0" borderId="81" xfId="0" applyFont="1" applyBorder="1" applyAlignment="1">
      <alignment horizontal="center" vertical="center" wrapText="1"/>
    </xf>
    <xf numFmtId="194" fontId="59" fillId="0" borderId="69" xfId="2" applyNumberFormat="1" applyFont="1" applyFill="1" applyBorder="1" applyAlignment="1">
      <alignment horizontal="center" vertical="center" wrapText="1"/>
    </xf>
    <xf numFmtId="195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194" fontId="91" fillId="0" borderId="83" xfId="2" applyNumberFormat="1" applyFont="1" applyFill="1" applyBorder="1" applyAlignment="1">
      <alignment horizontal="center" vertical="center" wrapText="1"/>
    </xf>
    <xf numFmtId="195" fontId="91" fillId="0" borderId="6" xfId="2" applyNumberFormat="1" applyFont="1" applyFill="1" applyBorder="1" applyAlignment="1">
      <alignment horizontal="center" vertical="center" wrapText="1"/>
    </xf>
    <xf numFmtId="193" fontId="91" fillId="0" borderId="81" xfId="0" applyNumberFormat="1" applyFont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0" fontId="58" fillId="7" borderId="81" xfId="0" applyFont="1" applyFill="1" applyBorder="1" applyAlignment="1">
      <alignment horizontal="center" vertical="center" wrapText="1"/>
    </xf>
    <xf numFmtId="193" fontId="58" fillId="7" borderId="81" xfId="0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9" fillId="0" borderId="291" xfId="2" applyNumberFormat="1" applyFont="1" applyFill="1" applyBorder="1" applyAlignment="1">
      <alignment horizontal="center" vertical="center" wrapText="1"/>
    </xf>
    <xf numFmtId="195" fontId="59" fillId="0" borderId="182" xfId="2" applyNumberFormat="1" applyFont="1" applyFill="1" applyBorder="1" applyAlignment="1">
      <alignment horizontal="center" vertical="center" wrapText="1"/>
    </xf>
    <xf numFmtId="193" fontId="59" fillId="0" borderId="292" xfId="0" applyNumberFormat="1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8" fillId="7" borderId="83" xfId="2" applyNumberFormat="1" applyFont="1" applyFill="1" applyBorder="1" applyAlignment="1">
      <alignment horizontal="center" vertical="center" wrapText="1"/>
    </xf>
    <xf numFmtId="196" fontId="58" fillId="7" borderId="6" xfId="2" applyNumberFormat="1" applyFont="1" applyFill="1" applyBorder="1" applyAlignment="1">
      <alignment horizontal="center" vertical="center" wrapText="1"/>
    </xf>
    <xf numFmtId="0" fontId="58" fillId="7" borderId="74" xfId="0" applyFont="1" applyFill="1" applyBorder="1" applyAlignment="1">
      <alignment horizontal="center" vertical="center" wrapText="1"/>
    </xf>
    <xf numFmtId="193" fontId="58" fillId="7" borderId="74" xfId="0" applyNumberFormat="1" applyFont="1" applyFill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4" fontId="59" fillId="0" borderId="244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/>
    </xf>
    <xf numFmtId="194" fontId="59" fillId="0" borderId="291" xfId="2" applyNumberFormat="1" applyFont="1" applyFill="1" applyBorder="1" applyAlignment="1">
      <alignment horizontal="center" vertical="center"/>
    </xf>
    <xf numFmtId="195" fontId="59" fillId="0" borderId="182" xfId="2" applyNumberFormat="1" applyFont="1" applyFill="1" applyBorder="1" applyAlignment="1">
      <alignment horizontal="center" vertical="center"/>
    </xf>
    <xf numFmtId="193" fontId="59" fillId="0" borderId="292" xfId="0" applyNumberFormat="1" applyFont="1" applyBorder="1" applyAlignment="1">
      <alignment horizontal="center" vertical="center"/>
    </xf>
    <xf numFmtId="0" fontId="59" fillId="12" borderId="69" xfId="0" applyFont="1" applyFill="1" applyBorder="1" applyAlignment="1">
      <alignment horizontal="center" vertical="center" wrapText="1"/>
    </xf>
    <xf numFmtId="194" fontId="59" fillId="12" borderId="69" xfId="2" applyNumberFormat="1" applyFont="1" applyFill="1" applyBorder="1" applyAlignment="1">
      <alignment horizontal="center" vertical="center" wrapText="1"/>
    </xf>
    <xf numFmtId="193" fontId="59" fillId="12" borderId="81" xfId="0" applyNumberFormat="1" applyFont="1" applyFill="1" applyBorder="1" applyAlignment="1">
      <alignment horizontal="center" vertical="center" wrapText="1"/>
    </xf>
    <xf numFmtId="0" fontId="58" fillId="7" borderId="69" xfId="0" applyFont="1" applyFill="1" applyBorder="1" applyAlignment="1">
      <alignment horizontal="center" vertical="center" wrapText="1"/>
    </xf>
    <xf numFmtId="0" fontId="59" fillId="6" borderId="81" xfId="0" applyFont="1" applyFill="1" applyBorder="1" applyAlignment="1">
      <alignment horizontal="center" vertical="center" wrapText="1"/>
    </xf>
    <xf numFmtId="194" fontId="58" fillId="7" borderId="69" xfId="2" applyNumberFormat="1" applyFont="1" applyFill="1" applyBorder="1" applyAlignment="1">
      <alignment horizontal="center" vertical="center" wrapText="1"/>
    </xf>
    <xf numFmtId="194" fontId="59" fillId="6" borderId="83" xfId="2" applyNumberFormat="1" applyFont="1" applyFill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0" fontId="59" fillId="12" borderId="70" xfId="0" applyFont="1" applyFill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4" fontId="59" fillId="12" borderId="70" xfId="2" applyNumberFormat="1" applyFont="1" applyFill="1" applyBorder="1" applyAlignment="1">
      <alignment horizontal="center" vertical="center" wrapText="1"/>
    </xf>
    <xf numFmtId="193" fontId="59" fillId="12" borderId="74" xfId="0" applyNumberFormat="1" applyFont="1" applyFill="1" applyBorder="1" applyAlignment="1">
      <alignment horizontal="center" vertical="center" wrapText="1"/>
    </xf>
    <xf numFmtId="194" fontId="59" fillId="0" borderId="337" xfId="2" applyNumberFormat="1" applyFont="1" applyFill="1" applyBorder="1" applyAlignment="1">
      <alignment horizontal="center" vertical="center" wrapText="1"/>
    </xf>
    <xf numFmtId="195" fontId="59" fillId="0" borderId="212" xfId="2" applyNumberFormat="1" applyFont="1" applyFill="1" applyBorder="1" applyAlignment="1">
      <alignment horizontal="center" vertical="center" wrapText="1"/>
    </xf>
    <xf numFmtId="193" fontId="59" fillId="0" borderId="336" xfId="0" applyNumberFormat="1" applyFont="1" applyBorder="1" applyAlignment="1">
      <alignment horizontal="center" vertical="center" wrapText="1"/>
    </xf>
    <xf numFmtId="0" fontId="59" fillId="12" borderId="78" xfId="0" applyFont="1" applyFill="1" applyBorder="1" applyAlignment="1">
      <alignment horizontal="center" vertical="center" wrapText="1"/>
    </xf>
    <xf numFmtId="194" fontId="59" fillId="12" borderId="80" xfId="2" applyNumberFormat="1" applyFont="1" applyFill="1" applyBorder="1" applyAlignment="1">
      <alignment horizontal="center" vertical="center" wrapText="1"/>
    </xf>
    <xf numFmtId="195" fontId="59" fillId="12" borderId="77" xfId="2" applyNumberFormat="1" applyFont="1" applyFill="1" applyBorder="1" applyAlignment="1">
      <alignment horizontal="center" vertical="center" wrapText="1"/>
    </xf>
    <xf numFmtId="193" fontId="59" fillId="12" borderId="78" xfId="0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194" fontId="59" fillId="0" borderId="338" xfId="2" applyNumberFormat="1" applyFont="1" applyFill="1" applyBorder="1" applyAlignment="1">
      <alignment horizontal="center" vertical="center" wrapText="1"/>
    </xf>
    <xf numFmtId="193" fontId="59" fillId="0" borderId="339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4" fontId="59" fillId="12" borderId="83" xfId="2" applyNumberFormat="1" applyFont="1" applyFill="1" applyBorder="1" applyAlignment="1">
      <alignment horizontal="center" vertical="center" wrapText="1"/>
    </xf>
    <xf numFmtId="195" fontId="59" fillId="12" borderId="6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4" fontId="59" fillId="12" borderId="17" xfId="2" applyNumberFormat="1" applyFont="1" applyFill="1" applyBorder="1" applyAlignment="1">
      <alignment vertical="center" wrapText="1"/>
    </xf>
    <xf numFmtId="0" fontId="59" fillId="12" borderId="30" xfId="0" applyFont="1" applyFill="1" applyBorder="1" applyAlignment="1">
      <alignment vertical="center" wrapText="1"/>
    </xf>
    <xf numFmtId="193" fontId="59" fillId="12" borderId="16" xfId="0" applyNumberFormat="1" applyFont="1" applyFill="1" applyBorder="1" applyAlignment="1">
      <alignment vertical="center" wrapText="1"/>
    </xf>
    <xf numFmtId="194" fontId="59" fillId="12" borderId="30" xfId="2" applyNumberFormat="1" applyFont="1" applyFill="1" applyBorder="1" applyAlignment="1">
      <alignment vertical="center" wrapText="1"/>
    </xf>
    <xf numFmtId="195" fontId="59" fillId="12" borderId="30" xfId="2" applyNumberFormat="1" applyFont="1" applyFill="1" applyBorder="1" applyAlignment="1">
      <alignment vertical="center" wrapText="1"/>
    </xf>
    <xf numFmtId="0" fontId="59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9" fillId="0" borderId="340" xfId="2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9" fillId="6" borderId="341" xfId="0" applyFont="1" applyFill="1" applyBorder="1" applyAlignment="1">
      <alignment horizontal="center" vertical="center" wrapText="1"/>
    </xf>
    <xf numFmtId="0" fontId="58" fillId="7" borderId="342" xfId="0" applyFont="1" applyFill="1" applyBorder="1" applyAlignment="1">
      <alignment horizontal="center" vertical="center" wrapText="1"/>
    </xf>
    <xf numFmtId="194" fontId="59" fillId="6" borderId="341" xfId="2" applyNumberFormat="1" applyFont="1" applyFill="1" applyBorder="1" applyAlignment="1">
      <alignment horizontal="center" vertical="center" wrapText="1"/>
    </xf>
    <xf numFmtId="193" fontId="59" fillId="6" borderId="342" xfId="0" applyNumberFormat="1" applyFont="1" applyFill="1" applyBorder="1" applyAlignment="1">
      <alignment horizontal="center" vertical="center" wrapText="1"/>
    </xf>
    <xf numFmtId="194" fontId="58" fillId="7" borderId="151" xfId="2" applyNumberFormat="1" applyFont="1" applyFill="1" applyBorder="1" applyAlignment="1">
      <alignment horizontal="center" vertical="center" wrapText="1"/>
    </xf>
    <xf numFmtId="193" fontId="58" fillId="7" borderId="342" xfId="0" applyNumberFormat="1" applyFont="1" applyFill="1" applyBorder="1" applyAlignment="1">
      <alignment horizontal="center" vertical="center" wrapText="1"/>
    </xf>
    <xf numFmtId="0" fontId="61" fillId="0" borderId="291" xfId="0" applyFont="1" applyBorder="1" applyAlignment="1">
      <alignment horizontal="center" vertical="center"/>
    </xf>
    <xf numFmtId="0" fontId="61" fillId="0" borderId="292" xfId="0" applyFont="1" applyBorder="1" applyAlignment="1">
      <alignment horizontal="center" vertical="center" wrapText="1"/>
    </xf>
    <xf numFmtId="194" fontId="61" fillId="0" borderId="291" xfId="2" applyNumberFormat="1" applyFont="1" applyFill="1" applyBorder="1" applyAlignment="1">
      <alignment horizontal="center" vertical="center"/>
    </xf>
    <xf numFmtId="193" fontId="61" fillId="0" borderId="292" xfId="0" applyNumberFormat="1" applyFont="1" applyBorder="1" applyAlignment="1">
      <alignment horizontal="center" vertical="center"/>
    </xf>
    <xf numFmtId="194" fontId="61" fillId="0" borderId="244" xfId="2" applyNumberFormat="1" applyFont="1" applyFill="1" applyBorder="1" applyAlignment="1">
      <alignment horizontal="center" vertical="center" wrapText="1"/>
    </xf>
    <xf numFmtId="195" fontId="61" fillId="0" borderId="182" xfId="2" applyNumberFormat="1" applyFont="1" applyFill="1" applyBorder="1" applyAlignment="1">
      <alignment horizontal="center" vertical="center" wrapText="1"/>
    </xf>
    <xf numFmtId="193" fontId="61" fillId="0" borderId="292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194" fontId="58" fillId="7" borderId="73" xfId="2" applyNumberFormat="1" applyFont="1" applyFill="1" applyBorder="1" applyAlignment="1">
      <alignment horizontal="center" vertical="center" wrapText="1"/>
    </xf>
    <xf numFmtId="196" fontId="59" fillId="6" borderId="97" xfId="2" applyNumberFormat="1" applyFont="1" applyFill="1" applyBorder="1" applyAlignment="1">
      <alignment horizontal="center" vertical="center" wrapText="1"/>
    </xf>
    <xf numFmtId="0" fontId="59" fillId="0" borderId="283" xfId="0" applyFont="1" applyBorder="1" applyAlignment="1">
      <alignment horizontal="center" vertical="center" wrapText="1"/>
    </xf>
    <xf numFmtId="0" fontId="58" fillId="0" borderId="284" xfId="0" applyFont="1" applyBorder="1" applyAlignment="1">
      <alignment horizontal="center" vertical="center" wrapText="1"/>
    </xf>
    <xf numFmtId="194" fontId="59" fillId="0" borderId="84" xfId="2" applyNumberFormat="1" applyFont="1" applyFill="1" applyBorder="1" applyAlignment="1">
      <alignment horizontal="center" vertical="center" wrapText="1"/>
    </xf>
    <xf numFmtId="195" fontId="59" fillId="0" borderId="86" xfId="2" applyNumberFormat="1" applyFont="1" applyFill="1" applyBorder="1" applyAlignment="1">
      <alignment horizontal="center" vertical="center" wrapText="1"/>
    </xf>
    <xf numFmtId="193" fontId="59" fillId="0" borderId="87" xfId="0" applyNumberFormat="1" applyFont="1" applyBorder="1" applyAlignment="1">
      <alignment horizontal="center" vertical="center" wrapText="1"/>
    </xf>
    <xf numFmtId="194" fontId="58" fillId="0" borderId="89" xfId="2" applyNumberFormat="1" applyFont="1" applyFill="1" applyBorder="1" applyAlignment="1">
      <alignment horizontal="center" vertical="center" wrapText="1"/>
    </xf>
    <xf numFmtId="195" fontId="58" fillId="0" borderId="101" xfId="2" applyNumberFormat="1" applyFont="1" applyFill="1" applyBorder="1" applyAlignment="1">
      <alignment horizontal="center" vertical="center" wrapText="1"/>
    </xf>
    <xf numFmtId="193" fontId="58" fillId="0" borderId="284" xfId="0" applyNumberFormat="1" applyFont="1" applyBorder="1" applyAlignment="1">
      <alignment horizontal="center" vertical="center" wrapText="1"/>
    </xf>
    <xf numFmtId="0" fontId="59" fillId="0" borderId="341" xfId="0" applyFont="1" applyBorder="1" applyAlignment="1">
      <alignment horizontal="center" vertical="center" wrapText="1"/>
    </xf>
    <xf numFmtId="0" fontId="58" fillId="0" borderId="342" xfId="0" applyFont="1" applyBorder="1" applyAlignment="1">
      <alignment horizontal="center" vertical="center" wrapText="1"/>
    </xf>
    <xf numFmtId="194" fontId="59" fillId="0" borderId="76" xfId="2" applyNumberFormat="1" applyFont="1" applyFill="1" applyBorder="1" applyAlignment="1">
      <alignment horizontal="center" vertical="center" wrapText="1"/>
    </xf>
    <xf numFmtId="195" fontId="59" fillId="0" borderId="77" xfId="2" applyNumberFormat="1" applyFont="1" applyFill="1" applyBorder="1" applyAlignment="1">
      <alignment horizontal="center" vertical="center" wrapText="1"/>
    </xf>
    <xf numFmtId="193" fontId="59" fillId="0" borderId="78" xfId="0" applyNumberFormat="1" applyFont="1" applyBorder="1" applyAlignment="1">
      <alignment horizontal="center" vertical="center" wrapText="1"/>
    </xf>
    <xf numFmtId="194" fontId="58" fillId="0" borderId="80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59" fillId="6" borderId="291" xfId="0" applyFont="1" applyFill="1" applyBorder="1" applyAlignment="1">
      <alignment horizontal="center" vertical="center" wrapText="1"/>
    </xf>
    <xf numFmtId="0" fontId="58" fillId="7" borderId="292" xfId="0" applyFont="1" applyFill="1" applyBorder="1" applyAlignment="1">
      <alignment horizontal="center" vertical="center" wrapText="1"/>
    </xf>
    <xf numFmtId="194" fontId="59" fillId="6" borderId="291" xfId="2" applyNumberFormat="1" applyFont="1" applyFill="1" applyBorder="1" applyAlignment="1">
      <alignment horizontal="center" vertical="center" wrapText="1"/>
    </xf>
    <xf numFmtId="193" fontId="59" fillId="6" borderId="292" xfId="0" applyNumberFormat="1" applyFont="1" applyFill="1" applyBorder="1" applyAlignment="1">
      <alignment horizontal="center" vertical="center" wrapText="1"/>
    </xf>
    <xf numFmtId="194" fontId="58" fillId="7" borderId="244" xfId="2" applyNumberFormat="1" applyFont="1" applyFill="1" applyBorder="1" applyAlignment="1">
      <alignment horizontal="center" vertical="center" wrapText="1"/>
    </xf>
    <xf numFmtId="193" fontId="58" fillId="7" borderId="292" xfId="0" applyNumberFormat="1" applyFont="1" applyFill="1" applyBorder="1" applyAlignment="1">
      <alignment horizontal="center" vertical="center" wrapText="1"/>
    </xf>
    <xf numFmtId="196" fontId="59" fillId="6" borderId="182" xfId="2" applyNumberFormat="1" applyFont="1" applyFill="1" applyBorder="1" applyAlignment="1">
      <alignment horizontal="center" vertical="center" wrapText="1"/>
    </xf>
    <xf numFmtId="196" fontId="58" fillId="7" borderId="182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5" fontId="59" fillId="0" borderId="197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196" fontId="58" fillId="7" borderId="71" xfId="2" applyNumberFormat="1" applyFont="1" applyFill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4" fontId="58" fillId="0" borderId="335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9" fillId="0" borderId="280" xfId="0" applyFont="1" applyBorder="1" applyAlignment="1">
      <alignment horizontal="center" vertical="center" wrapText="1"/>
    </xf>
    <xf numFmtId="194" fontId="59" fillId="0" borderId="272" xfId="2" applyNumberFormat="1" applyFont="1" applyFill="1" applyBorder="1" applyAlignment="1">
      <alignment horizontal="center" vertical="center" wrapText="1"/>
    </xf>
    <xf numFmtId="195" fontId="59" fillId="0" borderId="103" xfId="2" applyNumberFormat="1" applyFont="1" applyFill="1" applyBorder="1" applyAlignment="1">
      <alignment horizontal="center" vertical="center" wrapText="1"/>
    </xf>
    <xf numFmtId="193" fontId="59" fillId="0" borderId="280" xfId="0" applyNumberFormat="1" applyFont="1" applyBorder="1" applyAlignment="1">
      <alignment horizontal="center" vertical="center" wrapText="1"/>
    </xf>
    <xf numFmtId="0" fontId="57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7" fillId="0" borderId="340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4" fontId="59" fillId="0" borderId="343" xfId="2" applyNumberFormat="1" applyFont="1" applyFill="1" applyBorder="1" applyAlignment="1">
      <alignment horizontal="center" vertical="center" wrapText="1"/>
    </xf>
    <xf numFmtId="0" fontId="57" fillId="0" borderId="279" xfId="0" applyFont="1" applyBorder="1" applyAlignment="1">
      <alignment horizontal="center" vertical="center" wrapText="1"/>
    </xf>
    <xf numFmtId="194" fontId="57" fillId="0" borderId="279" xfId="2" applyNumberFormat="1" applyFont="1" applyFill="1" applyBorder="1" applyAlignment="1">
      <alignment horizontal="center" vertical="center" wrapText="1"/>
    </xf>
    <xf numFmtId="195" fontId="57" fillId="0" borderId="103" xfId="2" applyNumberFormat="1" applyFont="1" applyFill="1" applyBorder="1" applyAlignment="1">
      <alignment horizontal="center" vertical="center" wrapText="1"/>
    </xf>
    <xf numFmtId="193" fontId="57" fillId="0" borderId="280" xfId="0" applyNumberFormat="1" applyFont="1" applyBorder="1" applyAlignment="1">
      <alignment horizontal="center" vertical="center" wrapText="1"/>
    </xf>
    <xf numFmtId="194" fontId="59" fillId="12" borderId="344" xfId="2" applyNumberFormat="1" applyFont="1" applyFill="1" applyBorder="1" applyAlignment="1">
      <alignment vertical="center" wrapText="1"/>
    </xf>
    <xf numFmtId="195" fontId="59" fillId="12" borderId="346" xfId="2" applyNumberFormat="1" applyFont="1" applyFill="1" applyBorder="1" applyAlignment="1">
      <alignment vertical="center" wrapText="1"/>
    </xf>
    <xf numFmtId="0" fontId="59" fillId="12" borderId="346" xfId="0" applyFont="1" applyFill="1" applyBorder="1" applyAlignment="1">
      <alignment vertical="center" wrapText="1"/>
    </xf>
    <xf numFmtId="193" fontId="59" fillId="12" borderId="345" xfId="0" applyNumberFormat="1" applyFont="1" applyFill="1" applyBorder="1" applyAlignment="1">
      <alignment vertical="center" wrapText="1"/>
    </xf>
    <xf numFmtId="194" fontId="59" fillId="12" borderId="346" xfId="2" applyNumberFormat="1" applyFont="1" applyFill="1" applyBorder="1" applyAlignment="1">
      <alignment vertical="center" wrapText="1"/>
    </xf>
    <xf numFmtId="0" fontId="57" fillId="0" borderId="280" xfId="0" applyFont="1" applyBorder="1" applyAlignment="1">
      <alignment horizontal="center" vertical="center" wrapText="1"/>
    </xf>
    <xf numFmtId="194" fontId="57" fillId="0" borderId="272" xfId="2" applyNumberFormat="1" applyFont="1" applyFill="1" applyBorder="1" applyAlignment="1">
      <alignment horizontal="center" vertical="center" wrapText="1"/>
    </xf>
    <xf numFmtId="0" fontId="57" fillId="0" borderId="347" xfId="0" applyFont="1" applyBorder="1" applyAlignment="1">
      <alignment horizontal="center" vertical="center" wrapText="1"/>
    </xf>
    <xf numFmtId="0" fontId="57" fillId="0" borderId="348" xfId="0" applyFont="1" applyBorder="1" applyAlignment="1">
      <alignment horizontal="center" vertical="center" wrapText="1"/>
    </xf>
    <xf numFmtId="194" fontId="57" fillId="0" borderId="347" xfId="2" applyNumberFormat="1" applyFont="1" applyFill="1" applyBorder="1" applyAlignment="1">
      <alignment horizontal="center" vertical="center" wrapText="1"/>
    </xf>
    <xf numFmtId="195" fontId="57" fillId="0" borderId="183" xfId="2" applyNumberFormat="1" applyFont="1" applyFill="1" applyBorder="1" applyAlignment="1">
      <alignment horizontal="center" vertical="center" wrapText="1"/>
    </xf>
    <xf numFmtId="193" fontId="57" fillId="0" borderId="348" xfId="0" applyNumberFormat="1" applyFont="1" applyBorder="1" applyAlignment="1">
      <alignment horizontal="center" vertical="center" wrapText="1"/>
    </xf>
    <xf numFmtId="194" fontId="57" fillId="0" borderId="349" xfId="2" applyNumberFormat="1" applyFont="1" applyFill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0" fontId="59" fillId="0" borderId="70" xfId="0" applyFont="1" applyBorder="1" applyAlignment="1">
      <alignment horizontal="center" vertical="center" wrapText="1"/>
    </xf>
    <xf numFmtId="0" fontId="58" fillId="0" borderId="74" xfId="0" applyFont="1" applyBorder="1" applyAlignment="1">
      <alignment horizontal="center" vertical="center" wrapText="1"/>
    </xf>
    <xf numFmtId="194" fontId="59" fillId="0" borderId="70" xfId="2" applyNumberFormat="1" applyFont="1" applyFill="1" applyBorder="1" applyAlignment="1">
      <alignment horizontal="center" vertical="center" wrapText="1"/>
    </xf>
    <xf numFmtId="195" fontId="59" fillId="0" borderId="71" xfId="2" applyNumberFormat="1" applyFont="1" applyFill="1" applyBorder="1" applyAlignment="1">
      <alignment horizontal="center" vertical="center" wrapText="1"/>
    </xf>
    <xf numFmtId="193" fontId="59" fillId="0" borderId="74" xfId="0" applyNumberFormat="1" applyFont="1" applyBorder="1" applyAlignment="1">
      <alignment horizontal="center" vertical="center" wrapText="1"/>
    </xf>
    <xf numFmtId="194" fontId="58" fillId="0" borderId="73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0" fontId="59" fillId="0" borderId="76" xfId="0" applyFont="1" applyBorder="1" applyAlignment="1">
      <alignment horizontal="center" vertical="center" wrapText="1"/>
    </xf>
    <xf numFmtId="194" fontId="58" fillId="0" borderId="151" xfId="2" applyNumberFormat="1" applyFont="1" applyFill="1" applyBorder="1" applyAlignment="1">
      <alignment horizontal="center" vertical="center" wrapText="1"/>
    </xf>
    <xf numFmtId="194" fontId="59" fillId="0" borderId="341" xfId="2" applyNumberFormat="1" applyFont="1" applyFill="1" applyBorder="1" applyAlignment="1">
      <alignment horizontal="center" vertical="center" wrapText="1"/>
    </xf>
    <xf numFmtId="195" fontId="59" fillId="0" borderId="97" xfId="2" applyNumberFormat="1" applyFont="1" applyFill="1" applyBorder="1" applyAlignment="1">
      <alignment horizontal="center" vertical="center" wrapText="1"/>
    </xf>
    <xf numFmtId="193" fontId="59" fillId="0" borderId="342" xfId="0" applyNumberFormat="1" applyFont="1" applyBorder="1" applyAlignment="1">
      <alignment horizontal="center" vertical="center" wrapText="1"/>
    </xf>
    <xf numFmtId="0" fontId="63" fillId="0" borderId="291" xfId="0" applyFont="1" applyBorder="1" applyAlignment="1">
      <alignment horizontal="center" vertical="center" wrapText="1"/>
    </xf>
    <xf numFmtId="0" fontId="61" fillId="0" borderId="81" xfId="0" applyFont="1" applyBorder="1" applyAlignment="1">
      <alignment horizontal="center" vertical="center" wrapText="1"/>
    </xf>
    <xf numFmtId="194" fontId="63" fillId="0" borderId="291" xfId="2" applyNumberFormat="1" applyFont="1" applyFill="1" applyBorder="1" applyAlignment="1">
      <alignment horizontal="center" vertical="center" wrapText="1"/>
    </xf>
    <xf numFmtId="195" fontId="63" fillId="0" borderId="182" xfId="2" applyNumberFormat="1" applyFont="1" applyFill="1" applyBorder="1" applyAlignment="1">
      <alignment horizontal="center" vertical="center" wrapText="1"/>
    </xf>
    <xf numFmtId="193" fontId="63" fillId="0" borderId="292" xfId="0" applyNumberFormat="1" applyFont="1" applyBorder="1" applyAlignment="1">
      <alignment horizontal="center" vertical="center" wrapText="1"/>
    </xf>
    <xf numFmtId="194" fontId="61" fillId="0" borderId="83" xfId="2" applyNumberFormat="1" applyFont="1" applyFill="1" applyBorder="1" applyAlignment="1">
      <alignment horizontal="center" vertical="center" wrapText="1"/>
    </xf>
    <xf numFmtId="195" fontId="61" fillId="0" borderId="6" xfId="2" applyNumberFormat="1" applyFont="1" applyFill="1" applyBorder="1" applyAlignment="1">
      <alignment horizontal="center" vertical="center" wrapText="1"/>
    </xf>
    <xf numFmtId="193" fontId="61" fillId="0" borderId="81" xfId="0" applyNumberFormat="1" applyFont="1" applyBorder="1" applyAlignment="1">
      <alignment horizontal="center" vertical="center" wrapText="1"/>
    </xf>
    <xf numFmtId="0" fontId="59" fillId="0" borderId="350" xfId="0" applyFont="1" applyBorder="1" applyAlignment="1">
      <alignment horizontal="center" vertical="center" wrapText="1"/>
    </xf>
    <xf numFmtId="0" fontId="58" fillId="0" borderId="87" xfId="0" applyFont="1" applyBorder="1" applyAlignment="1">
      <alignment horizontal="center" vertical="center" wrapText="1"/>
    </xf>
    <xf numFmtId="194" fontId="59" fillId="0" borderId="350" xfId="2" applyNumberFormat="1" applyFont="1" applyFill="1" applyBorder="1" applyAlignment="1">
      <alignment horizontal="center" vertical="center" wrapText="1"/>
    </xf>
    <xf numFmtId="195" fontId="59" fillId="0" borderId="297" xfId="2" applyNumberFormat="1" applyFont="1" applyFill="1" applyBorder="1" applyAlignment="1">
      <alignment horizontal="center" vertical="center" wrapText="1"/>
    </xf>
    <xf numFmtId="0" fontId="59" fillId="0" borderId="297" xfId="0" applyFont="1" applyBorder="1" applyAlignment="1">
      <alignment horizontal="center" vertical="center" wrapText="1"/>
    </xf>
    <xf numFmtId="193" fontId="59" fillId="0" borderId="295" xfId="0" applyNumberFormat="1" applyFont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5" fillId="23" borderId="40" xfId="0" applyFont="1" applyFill="1" applyBorder="1" applyAlignment="1">
      <alignment horizontal="center" vertical="center"/>
    </xf>
    <xf numFmtId="0" fontId="15" fillId="23" borderId="17" xfId="0" applyFont="1" applyFill="1" applyBorder="1" applyAlignment="1">
      <alignment horizontal="center" vertical="center"/>
    </xf>
    <xf numFmtId="0" fontId="80" fillId="23" borderId="15" xfId="0" applyFont="1" applyFill="1" applyBorder="1" applyAlignment="1">
      <alignment horizontal="center" vertical="center"/>
    </xf>
    <xf numFmtId="0" fontId="47" fillId="0" borderId="81" xfId="0" applyFont="1" applyBorder="1" applyAlignment="1">
      <alignment horizontal="center" vertical="center" wrapText="1"/>
    </xf>
    <xf numFmtId="181" fontId="26" fillId="0" borderId="16" xfId="0" applyNumberFormat="1" applyFont="1" applyBorder="1" applyAlignment="1">
      <alignment horizontal="center" vertical="center" wrapText="1"/>
    </xf>
    <xf numFmtId="0" fontId="15" fillId="0" borderId="182" xfId="0" applyFont="1" applyBorder="1" applyAlignment="1">
      <alignment horizontal="center" vertical="center"/>
    </xf>
    <xf numFmtId="195" fontId="47" fillId="0" borderId="135" xfId="2" applyNumberFormat="1" applyFont="1" applyBorder="1" applyAlignment="1">
      <alignment horizontal="center" vertical="center"/>
    </xf>
    <xf numFmtId="0" fontId="14" fillId="0" borderId="0" xfId="0" applyFont="1">
      <alignment vertical="center"/>
    </xf>
    <xf numFmtId="0" fontId="25" fillId="0" borderId="191" xfId="0" applyFont="1" applyBorder="1" applyAlignment="1">
      <alignment horizontal="center" vertical="center"/>
    </xf>
    <xf numFmtId="0" fontId="25" fillId="0" borderId="182" xfId="0" applyFont="1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26" fillId="23" borderId="286" xfId="0" applyFont="1" applyFill="1" applyBorder="1" applyAlignment="1">
      <alignment horizontal="center" vertical="center"/>
    </xf>
    <xf numFmtId="194" fontId="26" fillId="0" borderId="287" xfId="2" applyNumberFormat="1" applyFont="1" applyBorder="1" applyAlignment="1">
      <alignment horizontal="center" vertical="center"/>
    </xf>
    <xf numFmtId="195" fontId="26" fillId="0" borderId="191" xfId="2" applyNumberFormat="1" applyFont="1" applyBorder="1" applyAlignment="1">
      <alignment horizontal="center" vertical="center"/>
    </xf>
    <xf numFmtId="193" fontId="26" fillId="0" borderId="286" xfId="0" applyNumberFormat="1" applyFont="1" applyBorder="1" applyAlignment="1">
      <alignment horizontal="center" vertical="center"/>
    </xf>
    <xf numFmtId="0" fontId="26" fillId="23" borderId="81" xfId="0" applyFont="1" applyFill="1" applyBorder="1" applyAlignment="1">
      <alignment horizontal="center" vertical="center"/>
    </xf>
    <xf numFmtId="194" fontId="26" fillId="4" borderId="83" xfId="2" applyNumberFormat="1" applyFont="1" applyFill="1" applyBorder="1" applyAlignment="1">
      <alignment horizontal="center" vertical="center"/>
    </xf>
    <xf numFmtId="0" fontId="26" fillId="23" borderId="292" xfId="0" applyFont="1" applyFill="1" applyBorder="1" applyAlignment="1">
      <alignment horizontal="center" vertical="center"/>
    </xf>
    <xf numFmtId="194" fontId="26" fillId="0" borderId="244" xfId="2" applyNumberFormat="1" applyFont="1" applyBorder="1" applyAlignment="1">
      <alignment horizontal="center" vertical="center"/>
    </xf>
    <xf numFmtId="194" fontId="26" fillId="0" borderId="83" xfId="2" applyNumberFormat="1" applyFont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94" fontId="26" fillId="0" borderId="195" xfId="2" applyNumberFormat="1" applyFont="1" applyBorder="1" applyAlignment="1">
      <alignment horizontal="center" vertical="center"/>
    </xf>
    <xf numFmtId="194" fontId="47" fillId="4" borderId="277" xfId="2" applyNumberFormat="1" applyFont="1" applyFill="1" applyBorder="1" applyAlignment="1">
      <alignment horizontal="center" vertical="center"/>
    </xf>
    <xf numFmtId="194" fontId="47" fillId="0" borderId="291" xfId="2" applyNumberFormat="1" applyFont="1" applyBorder="1" applyAlignment="1">
      <alignment horizontal="center" vertical="center"/>
    </xf>
    <xf numFmtId="194" fontId="47" fillId="4" borderId="69" xfId="2" applyNumberFormat="1" applyFont="1" applyFill="1" applyBorder="1" applyAlignment="1">
      <alignment horizontal="center" vertical="center"/>
    </xf>
    <xf numFmtId="194" fontId="47" fillId="0" borderId="69" xfId="2" applyNumberFormat="1" applyFont="1" applyBorder="1" applyAlignment="1">
      <alignment horizontal="center" vertical="center"/>
    </xf>
    <xf numFmtId="194" fontId="47" fillId="0" borderId="275" xfId="2" applyNumberFormat="1" applyFont="1" applyBorder="1" applyAlignment="1">
      <alignment horizontal="center" vertical="center"/>
    </xf>
    <xf numFmtId="0" fontId="47" fillId="23" borderId="277" xfId="0" applyFont="1" applyFill="1" applyBorder="1" applyAlignment="1">
      <alignment horizontal="center" vertical="center"/>
    </xf>
    <xf numFmtId="0" fontId="47" fillId="23" borderId="291" xfId="0" applyFont="1" applyFill="1" applyBorder="1" applyAlignment="1">
      <alignment horizontal="center" vertical="center"/>
    </xf>
    <xf numFmtId="0" fontId="47" fillId="23" borderId="69" xfId="0" applyFont="1" applyFill="1" applyBorder="1" applyAlignment="1">
      <alignment horizontal="center" vertical="center"/>
    </xf>
    <xf numFmtId="0" fontId="47" fillId="23" borderId="275" xfId="0" applyFont="1" applyFill="1" applyBorder="1" applyAlignment="1">
      <alignment horizontal="center" vertical="center"/>
    </xf>
    <xf numFmtId="0" fontId="42" fillId="23" borderId="275" xfId="0" applyFont="1" applyFill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76" fontId="25" fillId="6" borderId="136" xfId="2" applyNumberFormat="1" applyFont="1" applyFill="1" applyBorder="1" applyAlignment="1">
      <alignment horizontal="center" vertical="center"/>
    </xf>
    <xf numFmtId="0" fontId="47" fillId="0" borderId="0" xfId="0" applyFont="1">
      <alignment vertical="center"/>
    </xf>
    <xf numFmtId="176" fontId="47" fillId="0" borderId="0" xfId="2" applyNumberFormat="1" applyFont="1">
      <alignment vertical="center"/>
    </xf>
    <xf numFmtId="176" fontId="44" fillId="0" borderId="135" xfId="2" applyNumberFormat="1" applyFont="1" applyBorder="1">
      <alignment vertical="center"/>
    </xf>
    <xf numFmtId="0" fontId="26" fillId="0" borderId="0" xfId="0" applyFont="1">
      <alignment vertical="center"/>
    </xf>
    <xf numFmtId="176" fontId="26" fillId="0" borderId="0" xfId="2" applyNumberFormat="1" applyFont="1">
      <alignment vertical="center"/>
    </xf>
    <xf numFmtId="176" fontId="31" fillId="0" borderId="191" xfId="2" applyNumberFormat="1" applyFont="1" applyBorder="1">
      <alignment vertical="center"/>
    </xf>
    <xf numFmtId="176" fontId="31" fillId="0" borderId="182" xfId="2" applyNumberFormat="1" applyFont="1" applyBorder="1">
      <alignment vertical="center"/>
    </xf>
    <xf numFmtId="176" fontId="31" fillId="0" borderId="136" xfId="2" applyNumberFormat="1" applyFont="1" applyFill="1" applyBorder="1">
      <alignment vertical="center"/>
    </xf>
    <xf numFmtId="0" fontId="59" fillId="0" borderId="178" xfId="0" applyFont="1" applyBorder="1" applyAlignment="1">
      <alignment horizontal="left" vertical="center"/>
    </xf>
    <xf numFmtId="0" fontId="57" fillId="0" borderId="6" xfId="0" applyFont="1" applyBorder="1" applyAlignment="1">
      <alignment horizontal="center" vertical="center" wrapText="1"/>
    </xf>
    <xf numFmtId="0" fontId="15" fillId="0" borderId="57" xfId="0" applyFont="1" applyBorder="1" applyAlignment="1">
      <alignment horizontal="center" vertical="center"/>
    </xf>
    <xf numFmtId="0" fontId="14" fillId="0" borderId="59" xfId="0" applyFont="1" applyBorder="1" applyAlignment="1">
      <alignment horizontal="center" vertical="center"/>
    </xf>
    <xf numFmtId="0" fontId="14" fillId="0" borderId="60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181" fontId="42" fillId="0" borderId="6" xfId="0" applyNumberFormat="1" applyFont="1" applyBorder="1" applyAlignment="1">
      <alignment horizontal="center" vertical="center"/>
    </xf>
    <xf numFmtId="181" fontId="17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7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2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4" fillId="6" borderId="86" xfId="0" applyFont="1" applyFill="1" applyBorder="1" applyAlignment="1">
      <alignment horizontal="center" vertical="center"/>
    </xf>
    <xf numFmtId="0" fontId="14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4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5" fillId="6" borderId="86" xfId="0" applyNumberFormat="1" applyFont="1" applyFill="1" applyBorder="1">
      <alignment vertical="center"/>
    </xf>
    <xf numFmtId="0" fontId="58" fillId="0" borderId="16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/>
    </xf>
    <xf numFmtId="0" fontId="59" fillId="0" borderId="80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59" fillId="0" borderId="16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58" fillId="0" borderId="80" xfId="0" applyFont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0" borderId="75" xfId="2" applyNumberFormat="1" applyFont="1" applyFill="1" applyBorder="1" applyAlignment="1" applyProtection="1">
      <alignment horizontal="center" vertical="center"/>
    </xf>
    <xf numFmtId="0" fontId="47" fillId="4" borderId="6" xfId="0" applyFont="1" applyFill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47" fillId="0" borderId="278" xfId="0" applyFont="1" applyBorder="1" applyAlignment="1">
      <alignment horizontal="center" vertical="center" wrapText="1"/>
    </xf>
    <xf numFmtId="193" fontId="47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5" fillId="23" borderId="285" xfId="0" applyFont="1" applyFill="1" applyBorder="1" applyAlignment="1">
      <alignment horizontal="center" vertical="center" wrapText="1"/>
    </xf>
    <xf numFmtId="0" fontId="42" fillId="23" borderId="286" xfId="0" applyFont="1" applyFill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2" fillId="23" borderId="81" xfId="0" applyFont="1" applyFill="1" applyBorder="1" applyAlignment="1">
      <alignment horizontal="center" vertical="center" wrapText="1"/>
    </xf>
    <xf numFmtId="0" fontId="25" fillId="23" borderId="275" xfId="0" applyFont="1" applyFill="1" applyBorder="1" applyAlignment="1">
      <alignment horizontal="center" vertical="center" wrapText="1"/>
    </xf>
    <xf numFmtId="0" fontId="42" fillId="23" borderId="276" xfId="0" applyFont="1" applyFill="1" applyBorder="1" applyAlignment="1">
      <alignment horizontal="center" vertical="center" wrapText="1"/>
    </xf>
    <xf numFmtId="0" fontId="25" fillId="23" borderId="81" xfId="0" applyFont="1" applyFill="1" applyBorder="1" applyAlignment="1">
      <alignment horizontal="center" vertical="center" wrapText="1"/>
    </xf>
    <xf numFmtId="0" fontId="25" fillId="23" borderId="288" xfId="0" applyFont="1" applyFill="1" applyBorder="1" applyAlignment="1">
      <alignment horizontal="center" vertical="center" wrapText="1"/>
    </xf>
    <xf numFmtId="0" fontId="42" fillId="23" borderId="289" xfId="0" applyFont="1" applyFill="1" applyBorder="1" applyAlignment="1">
      <alignment horizontal="center" vertical="center" wrapText="1"/>
    </xf>
    <xf numFmtId="0" fontId="25" fillId="23" borderId="277" xfId="0" applyFont="1" applyFill="1" applyBorder="1" applyAlignment="1">
      <alignment horizontal="center" vertical="center" wrapText="1"/>
    </xf>
    <xf numFmtId="0" fontId="42" fillId="23" borderId="278" xfId="0" applyFont="1" applyFill="1" applyBorder="1" applyAlignment="1">
      <alignment horizontal="center" vertical="center" wrapText="1"/>
    </xf>
    <xf numFmtId="0" fontId="25" fillId="23" borderId="291" xfId="0" applyFont="1" applyFill="1" applyBorder="1" applyAlignment="1">
      <alignment horizontal="center" vertical="center" wrapText="1"/>
    </xf>
    <xf numFmtId="0" fontId="42" fillId="23" borderId="292" xfId="0" applyFont="1" applyFill="1" applyBorder="1" applyAlignment="1">
      <alignment horizontal="center" vertical="center" wrapText="1"/>
    </xf>
    <xf numFmtId="0" fontId="42" fillId="23" borderId="293" xfId="0" applyFont="1" applyFill="1" applyBorder="1" applyAlignment="1">
      <alignment horizontal="center" vertical="center" wrapText="1"/>
    </xf>
    <xf numFmtId="0" fontId="42" fillId="23" borderId="280" xfId="0" applyFont="1" applyFill="1" applyBorder="1" applyAlignment="1">
      <alignment horizontal="center" vertical="center" wrapText="1"/>
    </xf>
    <xf numFmtId="0" fontId="25" fillId="23" borderId="279" xfId="0" applyFont="1" applyFill="1" applyBorder="1" applyAlignment="1">
      <alignment horizontal="center" vertical="center" wrapText="1"/>
    </xf>
    <xf numFmtId="0" fontId="25" fillId="23" borderId="281" xfId="0" applyFont="1" applyFill="1" applyBorder="1" applyAlignment="1">
      <alignment horizontal="center" vertical="center" wrapText="1"/>
    </xf>
    <xf numFmtId="0" fontId="14" fillId="23" borderId="285" xfId="0" applyFont="1" applyFill="1" applyBorder="1" applyAlignment="1">
      <alignment horizontal="center" vertical="center" wrapText="1"/>
    </xf>
    <xf numFmtId="0" fontId="14" fillId="23" borderId="292" xfId="0" applyFont="1" applyFill="1" applyBorder="1" applyAlignment="1">
      <alignment horizontal="center" vertical="center" wrapText="1"/>
    </xf>
    <xf numFmtId="0" fontId="25" fillId="23" borderId="84" xfId="0" applyFont="1" applyFill="1" applyBorder="1" applyAlignment="1">
      <alignment horizontal="center" vertical="center" wrapText="1"/>
    </xf>
    <xf numFmtId="0" fontId="14" fillId="23" borderId="295" xfId="0" applyFont="1" applyFill="1" applyBorder="1" applyAlignment="1">
      <alignment horizontal="center" vertical="center" wrapText="1"/>
    </xf>
    <xf numFmtId="0" fontId="57" fillId="7" borderId="6" xfId="0" applyFont="1" applyFill="1" applyBorder="1" applyAlignment="1">
      <alignment horizontal="center" vertical="center"/>
    </xf>
    <xf numFmtId="0" fontId="57" fillId="7" borderId="71" xfId="0" applyFont="1" applyFill="1" applyBorder="1" applyAlignment="1">
      <alignment horizontal="center" vertical="center"/>
    </xf>
    <xf numFmtId="0" fontId="57" fillId="4" borderId="6" xfId="0" applyFont="1" applyFill="1" applyBorder="1" applyAlignment="1">
      <alignment horizontal="center" vertical="center"/>
    </xf>
    <xf numFmtId="0" fontId="57" fillId="4" borderId="97" xfId="0" applyFont="1" applyFill="1" applyBorder="1" applyAlignment="1">
      <alignment horizontal="center" vertical="center"/>
    </xf>
    <xf numFmtId="0" fontId="57" fillId="4" borderId="80" xfId="0" applyFont="1" applyFill="1" applyBorder="1" applyAlignment="1">
      <alignment horizontal="center" vertical="center"/>
    </xf>
    <xf numFmtId="0" fontId="59" fillId="6" borderId="101" xfId="0" applyFont="1" applyFill="1" applyBorder="1" applyAlignment="1">
      <alignment vertical="center" wrapText="1"/>
    </xf>
    <xf numFmtId="0" fontId="59" fillId="0" borderId="101" xfId="0" applyFont="1" applyBorder="1" applyAlignment="1">
      <alignment horizontal="center" vertical="center"/>
    </xf>
    <xf numFmtId="0" fontId="57" fillId="7" borderId="97" xfId="0" applyFont="1" applyFill="1" applyBorder="1" applyAlignment="1">
      <alignment horizontal="center" vertical="center"/>
    </xf>
    <xf numFmtId="0" fontId="83" fillId="0" borderId="37" xfId="0" applyFont="1" applyBorder="1" applyAlignment="1">
      <alignment horizontal="center" vertical="center"/>
    </xf>
    <xf numFmtId="0" fontId="83" fillId="0" borderId="42" xfId="0" quotePrefix="1" applyFont="1" applyBorder="1" applyAlignment="1">
      <alignment horizontal="center" vertical="center"/>
    </xf>
    <xf numFmtId="0" fontId="83" fillId="5" borderId="38" xfId="0" quotePrefix="1" applyFont="1" applyFill="1" applyBorder="1" applyAlignment="1">
      <alignment horizontal="center" vertical="center"/>
    </xf>
    <xf numFmtId="0" fontId="83" fillId="5" borderId="49" xfId="0" quotePrefix="1" applyFont="1" applyFill="1" applyBorder="1" applyAlignment="1">
      <alignment horizontal="center" vertical="center"/>
    </xf>
    <xf numFmtId="0" fontId="44" fillId="0" borderId="26" xfId="0" applyFont="1" applyBorder="1" applyAlignment="1">
      <alignment horizontal="center" vertical="center" wrapText="1"/>
    </xf>
    <xf numFmtId="0" fontId="42" fillId="7" borderId="192" xfId="0" applyFont="1" applyFill="1" applyBorder="1" applyAlignment="1">
      <alignment horizontal="center" vertical="center" wrapText="1"/>
    </xf>
    <xf numFmtId="0" fontId="42" fillId="7" borderId="193" xfId="0" applyFont="1" applyFill="1" applyBorder="1" applyAlignment="1">
      <alignment horizontal="center" vertical="center" wrapText="1"/>
    </xf>
    <xf numFmtId="0" fontId="42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4" fillId="0" borderId="247" xfId="0" applyFont="1" applyBorder="1" applyAlignment="1">
      <alignment horizontal="center" vertical="center" wrapText="1"/>
    </xf>
    <xf numFmtId="0" fontId="48" fillId="0" borderId="247" xfId="0" applyFont="1" applyBorder="1" applyAlignment="1">
      <alignment horizontal="center" vertical="center" wrapText="1"/>
    </xf>
    <xf numFmtId="0" fontId="74" fillId="23" borderId="314" xfId="0" applyFont="1" applyFill="1" applyBorder="1" applyAlignment="1">
      <alignment horizontal="center" vertical="center" wrapText="1"/>
    </xf>
    <xf numFmtId="0" fontId="48" fillId="23" borderId="315" xfId="0" applyFont="1" applyFill="1" applyBorder="1" applyAlignment="1">
      <alignment horizontal="center" vertical="center" wrapText="1"/>
    </xf>
    <xf numFmtId="193" fontId="74" fillId="0" borderId="315" xfId="0" applyNumberFormat="1" applyFont="1" applyBorder="1" applyAlignment="1">
      <alignment horizontal="center" vertical="center" wrapText="1"/>
    </xf>
    <xf numFmtId="193" fontId="48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4" fillId="0" borderId="353" xfId="0" applyFont="1" applyBorder="1" applyAlignment="1">
      <alignment horizontal="center" vertical="center" wrapText="1"/>
    </xf>
    <xf numFmtId="0" fontId="48" fillId="0" borderId="353" xfId="0" applyFont="1" applyBorder="1" applyAlignment="1">
      <alignment horizontal="center" vertical="center" wrapText="1"/>
    </xf>
    <xf numFmtId="0" fontId="74" fillId="23" borderId="354" xfId="0" applyFont="1" applyFill="1" applyBorder="1" applyAlignment="1">
      <alignment horizontal="center" vertical="center" wrapText="1"/>
    </xf>
    <xf numFmtId="0" fontId="48" fillId="23" borderId="355" xfId="0" applyFont="1" applyFill="1" applyBorder="1" applyAlignment="1">
      <alignment horizontal="center" vertical="center" wrapText="1"/>
    </xf>
    <xf numFmtId="194" fontId="74" fillId="0" borderId="354" xfId="2" applyNumberFormat="1" applyFont="1" applyBorder="1" applyAlignment="1">
      <alignment horizontal="center" vertical="center" wrapText="1"/>
    </xf>
    <xf numFmtId="195" fontId="74" fillId="0" borderId="353" xfId="2" applyNumberFormat="1" applyFont="1" applyBorder="1" applyAlignment="1">
      <alignment horizontal="center" vertical="center" wrapText="1"/>
    </xf>
    <xf numFmtId="193" fontId="74" fillId="0" borderId="355" xfId="0" applyNumberFormat="1" applyFont="1" applyBorder="1" applyAlignment="1">
      <alignment horizontal="center" vertical="center" wrapText="1"/>
    </xf>
    <xf numFmtId="194" fontId="48" fillId="0" borderId="356" xfId="2" applyNumberFormat="1" applyFont="1" applyBorder="1" applyAlignment="1">
      <alignment horizontal="center" vertical="center" wrapText="1"/>
    </xf>
    <xf numFmtId="195" fontId="48" fillId="0" borderId="353" xfId="2" applyNumberFormat="1" applyFont="1" applyBorder="1" applyAlignment="1">
      <alignment horizontal="center" vertical="center" wrapText="1"/>
    </xf>
    <xf numFmtId="193" fontId="48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4" fillId="0" borderId="246" xfId="0" applyFont="1" applyBorder="1" applyAlignment="1">
      <alignment horizontal="center" vertical="center" wrapText="1"/>
    </xf>
    <xf numFmtId="0" fontId="48" fillId="0" borderId="246" xfId="0" applyFont="1" applyBorder="1" applyAlignment="1">
      <alignment horizontal="center" vertical="center" wrapText="1"/>
    </xf>
    <xf numFmtId="0" fontId="74" fillId="23" borderId="309" xfId="0" applyFont="1" applyFill="1" applyBorder="1" applyAlignment="1">
      <alignment horizontal="center" vertical="center" wrapText="1"/>
    </xf>
    <xf numFmtId="0" fontId="48" fillId="23" borderId="312" xfId="0" applyFont="1" applyFill="1" applyBorder="1" applyAlignment="1">
      <alignment horizontal="center" vertical="center" wrapText="1"/>
    </xf>
    <xf numFmtId="193" fontId="74" fillId="0" borderId="312" xfId="0" applyNumberFormat="1" applyFont="1" applyBorder="1" applyAlignment="1">
      <alignment horizontal="center" vertical="center" wrapText="1"/>
    </xf>
    <xf numFmtId="193" fontId="48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4" fillId="0" borderId="248" xfId="0" applyFont="1" applyBorder="1" applyAlignment="1">
      <alignment horizontal="center" vertical="center" wrapText="1"/>
    </xf>
    <xf numFmtId="0" fontId="48" fillId="0" borderId="248" xfId="0" applyFont="1" applyBorder="1" applyAlignment="1">
      <alignment horizontal="center" vertical="center" wrapText="1"/>
    </xf>
    <xf numFmtId="0" fontId="74" fillId="23" borderId="357" xfId="0" applyFont="1" applyFill="1" applyBorder="1" applyAlignment="1">
      <alignment horizontal="center" vertical="center" wrapText="1"/>
    </xf>
    <xf numFmtId="0" fontId="48" fillId="23" borderId="358" xfId="0" applyFont="1" applyFill="1" applyBorder="1" applyAlignment="1">
      <alignment horizontal="center" vertical="center" wrapText="1"/>
    </xf>
    <xf numFmtId="194" fontId="74" fillId="0" borderId="357" xfId="2" applyNumberFormat="1" applyFont="1" applyBorder="1" applyAlignment="1">
      <alignment horizontal="center" vertical="center" wrapText="1"/>
    </xf>
    <xf numFmtId="195" fontId="74" fillId="0" borderId="248" xfId="2" applyNumberFormat="1" applyFont="1" applyBorder="1" applyAlignment="1">
      <alignment horizontal="center" vertical="center" wrapText="1"/>
    </xf>
    <xf numFmtId="193" fontId="74" fillId="0" borderId="358" xfId="0" applyNumberFormat="1" applyFont="1" applyBorder="1" applyAlignment="1">
      <alignment horizontal="center" vertical="center" wrapText="1"/>
    </xf>
    <xf numFmtId="194" fontId="48" fillId="0" borderId="359" xfId="2" applyNumberFormat="1" applyFont="1" applyBorder="1" applyAlignment="1">
      <alignment horizontal="center" vertical="center" wrapText="1"/>
    </xf>
    <xf numFmtId="195" fontId="48" fillId="0" borderId="248" xfId="2" applyNumberFormat="1" applyFont="1" applyBorder="1" applyAlignment="1">
      <alignment horizontal="center" vertical="center" wrapText="1"/>
    </xf>
    <xf numFmtId="193" fontId="48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4" fillId="0" borderId="245" xfId="0" applyFont="1" applyBorder="1" applyAlignment="1">
      <alignment horizontal="center" vertical="center" wrapText="1"/>
    </xf>
    <xf numFmtId="0" fontId="48" fillId="0" borderId="245" xfId="0" applyFont="1" applyBorder="1" applyAlignment="1">
      <alignment horizontal="center" vertical="center" wrapText="1"/>
    </xf>
    <xf numFmtId="0" fontId="74" fillId="23" borderId="306" xfId="0" applyFont="1" applyFill="1" applyBorder="1" applyAlignment="1">
      <alignment horizontal="center" vertical="center" wrapText="1"/>
    </xf>
    <xf numFmtId="0" fontId="48" fillId="23" borderId="307" xfId="0" applyFont="1" applyFill="1" applyBorder="1" applyAlignment="1">
      <alignment horizontal="center" vertical="center" wrapText="1"/>
    </xf>
    <xf numFmtId="193" fontId="74" fillId="0" borderId="307" xfId="0" applyNumberFormat="1" applyFont="1" applyBorder="1" applyAlignment="1">
      <alignment horizontal="center" vertical="center" wrapText="1"/>
    </xf>
    <xf numFmtId="193" fontId="48" fillId="0" borderId="307" xfId="0" applyNumberFormat="1" applyFont="1" applyBorder="1" applyAlignment="1">
      <alignment horizontal="center" vertical="center" wrapText="1"/>
    </xf>
    <xf numFmtId="0" fontId="74" fillId="23" borderId="76" xfId="0" applyFont="1" applyFill="1" applyBorder="1" applyAlignment="1">
      <alignment horizontal="center" vertical="center" wrapText="1"/>
    </xf>
    <xf numFmtId="0" fontId="48" fillId="23" borderId="78" xfId="0" applyFont="1" applyFill="1" applyBorder="1" applyAlignment="1">
      <alignment horizontal="center" vertical="center" wrapText="1"/>
    </xf>
    <xf numFmtId="194" fontId="74" fillId="0" borderId="76" xfId="2" applyNumberFormat="1" applyFont="1" applyBorder="1" applyAlignment="1">
      <alignment horizontal="center" vertical="center" wrapText="1"/>
    </xf>
    <xf numFmtId="195" fontId="74" fillId="0" borderId="77" xfId="2" applyNumberFormat="1" applyFont="1" applyBorder="1" applyAlignment="1">
      <alignment horizontal="center" vertical="center" wrapText="1"/>
    </xf>
    <xf numFmtId="193" fontId="74" fillId="0" borderId="78" xfId="0" applyNumberFormat="1" applyFont="1" applyBorder="1" applyAlignment="1">
      <alignment horizontal="center" vertical="center" wrapText="1"/>
    </xf>
    <xf numFmtId="194" fontId="48" fillId="0" borderId="80" xfId="2" applyNumberFormat="1" applyFont="1" applyBorder="1" applyAlignment="1">
      <alignment horizontal="center" vertical="center" wrapText="1"/>
    </xf>
    <xf numFmtId="195" fontId="48" fillId="0" borderId="77" xfId="2" applyNumberFormat="1" applyFont="1" applyBorder="1" applyAlignment="1">
      <alignment horizontal="center" vertical="center" wrapText="1"/>
    </xf>
    <xf numFmtId="193" fontId="48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4" fillId="0" borderId="71" xfId="0" applyNumberFormat="1" applyFont="1" applyBorder="1">
      <alignment vertical="center"/>
    </xf>
    <xf numFmtId="10" fontId="14" fillId="0" borderId="72" xfId="1" applyNumberFormat="1" applyFont="1" applyBorder="1">
      <alignment vertical="center"/>
    </xf>
    <xf numFmtId="179" fontId="14" fillId="0" borderId="115" xfId="0" applyNumberFormat="1" applyFont="1" applyBorder="1">
      <alignment vertical="center"/>
    </xf>
    <xf numFmtId="10" fontId="14" fillId="0" borderId="175" xfId="1" applyNumberFormat="1" applyFont="1" applyBorder="1">
      <alignment vertical="center"/>
    </xf>
    <xf numFmtId="0" fontId="26" fillId="0" borderId="277" xfId="0" applyFont="1" applyBorder="1" applyAlignment="1">
      <alignment horizontal="center" vertical="center"/>
    </xf>
    <xf numFmtId="0" fontId="26" fillId="12" borderId="6" xfId="0" applyFont="1" applyFill="1" applyBorder="1" applyAlignment="1">
      <alignment horizontal="center" vertical="center" wrapText="1"/>
    </xf>
    <xf numFmtId="0" fontId="47" fillId="12" borderId="6" xfId="0" applyFont="1" applyFill="1" applyBorder="1" applyAlignment="1">
      <alignment horizontal="center" vertical="center" wrapText="1"/>
    </xf>
    <xf numFmtId="0" fontId="26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7" fillId="23" borderId="177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>
      <alignment vertical="center"/>
    </xf>
    <xf numFmtId="0" fontId="43" fillId="0" borderId="20" xfId="0" applyFont="1" applyBorder="1" applyAlignment="1">
      <alignment horizontal="center" vertical="center" wrapText="1"/>
    </xf>
    <xf numFmtId="176" fontId="15" fillId="0" borderId="77" xfId="2" applyNumberFormat="1" applyFont="1" applyFill="1" applyBorder="1">
      <alignment vertical="center"/>
    </xf>
    <xf numFmtId="176" fontId="15" fillId="0" borderId="247" xfId="2" applyNumberFormat="1" applyFont="1" applyFill="1" applyBorder="1">
      <alignment vertical="center"/>
    </xf>
    <xf numFmtId="176" fontId="15" fillId="0" borderId="246" xfId="2" applyNumberFormat="1" applyFont="1" applyFill="1" applyBorder="1">
      <alignment vertical="center"/>
    </xf>
    <xf numFmtId="176" fontId="15" fillId="0" borderId="353" xfId="2" applyNumberFormat="1" applyFont="1" applyFill="1" applyBorder="1">
      <alignment vertical="center"/>
    </xf>
    <xf numFmtId="176" fontId="15" fillId="0" borderId="248" xfId="2" applyNumberFormat="1" applyFont="1" applyFill="1" applyBorder="1">
      <alignment vertical="center"/>
    </xf>
    <xf numFmtId="176" fontId="15" fillId="0" borderId="245" xfId="2" applyNumberFormat="1" applyFont="1" applyFill="1" applyBorder="1">
      <alignment vertical="center"/>
    </xf>
    <xf numFmtId="181" fontId="25" fillId="28" borderId="17" xfId="0" applyNumberFormat="1" applyFont="1" applyFill="1" applyBorder="1" applyAlignment="1">
      <alignment horizontal="center" vertical="center"/>
    </xf>
    <xf numFmtId="0" fontId="15" fillId="29" borderId="17" xfId="9" applyFont="1" applyFill="1" applyBorder="1" applyAlignment="1">
      <alignment horizontal="center" vertical="center" wrapText="1"/>
    </xf>
    <xf numFmtId="0" fontId="16" fillId="30" borderId="38" xfId="9" quotePrefix="1" applyFont="1" applyFill="1" applyBorder="1" applyAlignment="1">
      <alignment horizontal="center" vertical="center"/>
    </xf>
    <xf numFmtId="0" fontId="79" fillId="0" borderId="16" xfId="9" applyFont="1" applyBorder="1" applyAlignment="1">
      <alignment horizontal="center" vertical="center" wrapText="1"/>
    </xf>
    <xf numFmtId="181" fontId="42" fillId="0" borderId="39" xfId="0" applyNumberFormat="1" applyFont="1" applyBorder="1" applyAlignment="1">
      <alignment horizontal="center" vertical="center" wrapText="1"/>
    </xf>
    <xf numFmtId="181" fontId="14" fillId="30" borderId="38" xfId="0" applyNumberFormat="1" applyFont="1" applyFill="1" applyBorder="1" applyAlignment="1">
      <alignment horizontal="center" vertical="center"/>
    </xf>
    <xf numFmtId="181" fontId="79" fillId="0" borderId="17" xfId="0" applyNumberFormat="1" applyFont="1" applyBorder="1" applyAlignment="1">
      <alignment horizontal="center" vertical="center" wrapText="1"/>
    </xf>
    <xf numFmtId="181" fontId="42" fillId="30" borderId="37" xfId="0" quotePrefix="1" applyNumberFormat="1" applyFont="1" applyFill="1" applyBorder="1" applyAlignment="1">
      <alignment horizontal="center" vertical="center"/>
    </xf>
    <xf numFmtId="0" fontId="96" fillId="0" borderId="6" xfId="0" applyFont="1" applyBorder="1" applyAlignment="1">
      <alignment horizontal="center" vertical="center" wrapText="1"/>
    </xf>
    <xf numFmtId="0" fontId="96" fillId="0" borderId="77" xfId="0" applyFont="1" applyBorder="1" applyAlignment="1">
      <alignment horizontal="center" vertical="center" wrapText="1"/>
    </xf>
    <xf numFmtId="181" fontId="34" fillId="0" borderId="361" xfId="0" applyNumberFormat="1" applyFont="1" applyBorder="1" applyAlignment="1">
      <alignment horizontal="center" vertical="center"/>
    </xf>
    <xf numFmtId="181" fontId="97" fillId="0" borderId="11" xfId="0" applyNumberFormat="1" applyFont="1" applyBorder="1" applyAlignment="1">
      <alignment horizontal="center" vertical="center"/>
    </xf>
    <xf numFmtId="0" fontId="57" fillId="0" borderId="97" xfId="0" applyFont="1" applyBorder="1" applyAlignment="1">
      <alignment horizontal="center" vertical="center" wrapText="1"/>
    </xf>
    <xf numFmtId="0" fontId="66" fillId="0" borderId="97" xfId="0" applyFont="1" applyBorder="1" applyAlignment="1">
      <alignment horizontal="center" vertical="center"/>
    </xf>
    <xf numFmtId="0" fontId="91" fillId="0" borderId="342" xfId="0" applyFont="1" applyBorder="1" applyAlignment="1">
      <alignment horizontal="center" vertical="center" wrapText="1"/>
    </xf>
    <xf numFmtId="194" fontId="59" fillId="0" borderId="341" xfId="2" applyNumberFormat="1" applyFont="1" applyBorder="1" applyAlignment="1" applyProtection="1">
      <alignment horizontal="center" vertical="center" wrapText="1"/>
    </xf>
    <xf numFmtId="195" fontId="59" fillId="0" borderId="97" xfId="2" applyNumberFormat="1" applyFont="1" applyBorder="1" applyAlignment="1" applyProtection="1">
      <alignment horizontal="center" vertical="center" wrapText="1"/>
    </xf>
    <xf numFmtId="194" fontId="91" fillId="0" borderId="151" xfId="2" applyNumberFormat="1" applyFont="1" applyBorder="1" applyAlignment="1" applyProtection="1">
      <alignment horizontal="center" vertical="center" wrapText="1"/>
    </xf>
    <xf numFmtId="195" fontId="91" fillId="0" borderId="97" xfId="2" applyNumberFormat="1" applyFont="1" applyBorder="1" applyAlignment="1" applyProtection="1">
      <alignment horizontal="center" vertical="center" wrapText="1"/>
    </xf>
    <xf numFmtId="0" fontId="91" fillId="0" borderId="97" xfId="0" applyFont="1" applyBorder="1" applyAlignment="1">
      <alignment horizontal="center" vertical="center" wrapText="1"/>
    </xf>
    <xf numFmtId="193" fontId="91" fillId="0" borderId="342" xfId="0" applyNumberFormat="1" applyFont="1" applyBorder="1" applyAlignment="1">
      <alignment horizontal="center" vertical="center" wrapText="1"/>
    </xf>
    <xf numFmtId="0" fontId="99" fillId="0" borderId="97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 wrapText="1"/>
    </xf>
    <xf numFmtId="0" fontId="91" fillId="0" borderId="74" xfId="0" applyFont="1" applyBorder="1" applyAlignment="1">
      <alignment horizontal="center" vertical="center" wrapText="1"/>
    </xf>
    <xf numFmtId="194" fontId="59" fillId="0" borderId="70" xfId="2" applyNumberFormat="1" applyFont="1" applyBorder="1" applyAlignment="1" applyProtection="1">
      <alignment horizontal="center" vertical="center" wrapText="1"/>
    </xf>
    <xf numFmtId="195" fontId="59" fillId="0" borderId="71" xfId="2" applyNumberFormat="1" applyFont="1" applyBorder="1" applyAlignment="1" applyProtection="1">
      <alignment horizontal="center" vertical="center" wrapText="1"/>
    </xf>
    <xf numFmtId="194" fontId="91" fillId="0" borderId="73" xfId="2" applyNumberFormat="1" applyFont="1" applyBorder="1" applyAlignment="1" applyProtection="1">
      <alignment horizontal="center" vertical="center" wrapText="1"/>
    </xf>
    <xf numFmtId="195" fontId="91" fillId="0" borderId="71" xfId="2" applyNumberFormat="1" applyFont="1" applyBorder="1" applyAlignment="1" applyProtection="1">
      <alignment horizontal="center" vertical="center" wrapText="1"/>
    </xf>
    <xf numFmtId="0" fontId="91" fillId="0" borderId="71" xfId="0" applyFont="1" applyBorder="1" applyAlignment="1">
      <alignment horizontal="center" vertical="center" wrapText="1"/>
    </xf>
    <xf numFmtId="193" fontId="91" fillId="0" borderId="74" xfId="0" applyNumberFormat="1" applyFont="1" applyBorder="1" applyAlignment="1">
      <alignment horizontal="center" vertical="center" wrapText="1"/>
    </xf>
    <xf numFmtId="0" fontId="91" fillId="11" borderId="71" xfId="0" applyFont="1" applyFill="1" applyBorder="1" applyAlignment="1">
      <alignment horizontal="center" vertical="center" wrapText="1"/>
    </xf>
    <xf numFmtId="184" fontId="59" fillId="7" borderId="71" xfId="2" applyNumberFormat="1" applyFont="1" applyFill="1" applyBorder="1" applyAlignment="1" applyProtection="1">
      <alignment horizontal="center" vertical="center"/>
    </xf>
    <xf numFmtId="0" fontId="65" fillId="0" borderId="98" xfId="0" quotePrefix="1" applyFont="1" applyBorder="1" applyAlignment="1">
      <alignment horizontal="left" vertical="center"/>
    </xf>
    <xf numFmtId="0" fontId="57" fillId="30" borderId="97" xfId="0" applyFont="1" applyFill="1" applyBorder="1" applyAlignment="1">
      <alignment horizontal="center" vertical="center"/>
    </xf>
    <xf numFmtId="0" fontId="57" fillId="0" borderId="362" xfId="0" applyFont="1" applyBorder="1" applyAlignment="1">
      <alignment horizontal="center" vertical="center" wrapText="1"/>
    </xf>
    <xf numFmtId="0" fontId="57" fillId="30" borderId="100" xfId="0" applyFont="1" applyFill="1" applyBorder="1" applyAlignment="1">
      <alignment horizontal="center" vertical="center"/>
    </xf>
    <xf numFmtId="0" fontId="57" fillId="30" borderId="178" xfId="0" applyFont="1" applyFill="1" applyBorder="1" applyAlignment="1">
      <alignment horizontal="center" vertical="center"/>
    </xf>
    <xf numFmtId="0" fontId="59" fillId="30" borderId="101" xfId="0" applyFont="1" applyFill="1" applyBorder="1" applyAlignment="1">
      <alignment horizontal="center" vertical="center"/>
    </xf>
    <xf numFmtId="0" fontId="59" fillId="0" borderId="279" xfId="0" applyFont="1" applyBorder="1" applyAlignment="1">
      <alignment horizontal="center" vertical="center" wrapText="1"/>
    </xf>
    <xf numFmtId="194" fontId="59" fillId="0" borderId="279" xfId="2" applyNumberFormat="1" applyFont="1" applyFill="1" applyBorder="1" applyAlignment="1">
      <alignment horizontal="center" vertical="center" wrapText="1"/>
    </xf>
    <xf numFmtId="0" fontId="59" fillId="0" borderId="215" xfId="0" applyFont="1" applyBorder="1" applyAlignment="1">
      <alignment horizontal="center" vertical="center" wrapText="1"/>
    </xf>
    <xf numFmtId="193" fontId="59" fillId="0" borderId="363" xfId="0" applyNumberFormat="1" applyFont="1" applyBorder="1" applyAlignment="1">
      <alignment horizontal="center" vertical="center" wrapText="1"/>
    </xf>
    <xf numFmtId="194" fontId="58" fillId="0" borderId="178" xfId="2" applyNumberFormat="1" applyFont="1" applyFill="1" applyBorder="1" applyAlignment="1">
      <alignment horizontal="center" vertical="center" wrapText="1"/>
    </xf>
    <xf numFmtId="184" fontId="59" fillId="6" borderId="215" xfId="2" applyNumberFormat="1" applyFont="1" applyFill="1" applyBorder="1" applyAlignment="1" applyProtection="1">
      <alignment horizontal="center" vertical="center"/>
    </xf>
    <xf numFmtId="0" fontId="57" fillId="30" borderId="91" xfId="0" applyFont="1" applyFill="1" applyBorder="1" applyAlignment="1">
      <alignment horizontal="center" vertical="center"/>
    </xf>
    <xf numFmtId="0" fontId="57" fillId="30" borderId="73" xfId="0" applyFont="1" applyFill="1" applyBorder="1" applyAlignment="1">
      <alignment horizontal="center" vertical="center"/>
    </xf>
    <xf numFmtId="0" fontId="59" fillId="30" borderId="71" xfId="0" applyFont="1" applyFill="1" applyBorder="1" applyAlignment="1">
      <alignment horizontal="center" vertical="center"/>
    </xf>
    <xf numFmtId="0" fontId="42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6" fillId="0" borderId="238" xfId="0" applyFont="1" applyBorder="1" applyAlignment="1">
      <alignment horizontal="center" vertical="center" wrapText="1"/>
    </xf>
    <xf numFmtId="0" fontId="25" fillId="23" borderId="238" xfId="0" applyFont="1" applyFill="1" applyBorder="1" applyAlignment="1">
      <alignment horizontal="center" vertical="center" wrapText="1"/>
    </xf>
    <xf numFmtId="0" fontId="14" fillId="23" borderId="239" xfId="0" applyFont="1" applyFill="1" applyBorder="1" applyAlignment="1">
      <alignment horizontal="center" vertical="center" wrapText="1"/>
    </xf>
    <xf numFmtId="194" fontId="26" fillId="0" borderId="238" xfId="2" applyNumberFormat="1" applyFont="1" applyBorder="1" applyAlignment="1">
      <alignment horizontal="center" vertical="center" wrapText="1"/>
    </xf>
    <xf numFmtId="195" fontId="26" fillId="0" borderId="238" xfId="2" applyNumberFormat="1" applyFont="1" applyBorder="1" applyAlignment="1">
      <alignment horizontal="center" vertical="center" wrapText="1"/>
    </xf>
    <xf numFmtId="193" fontId="26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4" fillId="23" borderId="357" xfId="9" applyFont="1" applyFill="1" applyBorder="1" applyAlignment="1">
      <alignment horizontal="center" vertical="center" wrapText="1"/>
    </xf>
    <xf numFmtId="0" fontId="48" fillId="23" borderId="358" xfId="9" applyFont="1" applyFill="1" applyBorder="1" applyAlignment="1">
      <alignment horizontal="center" vertical="center" wrapText="1"/>
    </xf>
    <xf numFmtId="193" fontId="74" fillId="0" borderId="358" xfId="9" applyNumberFormat="1" applyFont="1" applyBorder="1" applyAlignment="1">
      <alignment horizontal="center" vertical="center" wrapText="1"/>
    </xf>
    <xf numFmtId="193" fontId="48" fillId="0" borderId="358" xfId="9" applyNumberFormat="1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/>
    </xf>
    <xf numFmtId="0" fontId="86" fillId="0" borderId="136" xfId="9" applyFont="1" applyBorder="1" applyAlignment="1">
      <alignment horizontal="center" vertical="center" wrapText="1"/>
    </xf>
    <xf numFmtId="0" fontId="14" fillId="0" borderId="41" xfId="0" applyFont="1" applyBorder="1" applyAlignment="1">
      <alignment horizontal="center" vertical="center"/>
    </xf>
    <xf numFmtId="0" fontId="43" fillId="0" borderId="10" xfId="9" applyFont="1" applyBorder="1" applyAlignment="1">
      <alignment horizontal="center" vertical="center" wrapText="1"/>
    </xf>
    <xf numFmtId="0" fontId="43" fillId="0" borderId="67" xfId="9" applyFont="1" applyBorder="1" applyAlignment="1">
      <alignment horizontal="center" vertical="center" wrapText="1"/>
    </xf>
    <xf numFmtId="181" fontId="14" fillId="32" borderId="34" xfId="0" applyNumberFormat="1" applyFont="1" applyFill="1" applyBorder="1" applyAlignment="1">
      <alignment horizontal="center" vertical="center"/>
    </xf>
    <xf numFmtId="181" fontId="14" fillId="32" borderId="127" xfId="0" applyNumberFormat="1" applyFont="1" applyFill="1" applyBorder="1" applyAlignment="1">
      <alignment horizontal="center" vertical="center"/>
    </xf>
    <xf numFmtId="181" fontId="14" fillId="32" borderId="37" xfId="0" applyNumberFormat="1" applyFont="1" applyFill="1" applyBorder="1" applyAlignment="1">
      <alignment horizontal="center" vertical="center"/>
    </xf>
    <xf numFmtId="181" fontId="14" fillId="32" borderId="128" xfId="0" applyNumberFormat="1" applyFont="1" applyFill="1" applyBorder="1" applyAlignment="1">
      <alignment horizontal="center" vertical="center"/>
    </xf>
    <xf numFmtId="181" fontId="14" fillId="32" borderId="38" xfId="0" quotePrefix="1" applyNumberFormat="1" applyFont="1" applyFill="1" applyBorder="1" applyAlignment="1">
      <alignment horizontal="center" vertical="center"/>
    </xf>
    <xf numFmtId="181" fontId="12" fillId="33" borderId="11" xfId="0" applyNumberFormat="1" applyFont="1" applyFill="1" applyBorder="1" applyAlignment="1">
      <alignment horizontal="center" vertical="center"/>
    </xf>
    <xf numFmtId="181" fontId="12" fillId="33" borderId="15" xfId="0" applyNumberFormat="1" applyFont="1" applyFill="1" applyBorder="1" applyAlignment="1">
      <alignment horizontal="center" vertical="center"/>
    </xf>
    <xf numFmtId="181" fontId="12" fillId="33" borderId="15" xfId="0" applyNumberFormat="1" applyFont="1" applyFill="1" applyBorder="1" applyAlignment="1">
      <alignment horizontal="center" vertical="center" wrapText="1"/>
    </xf>
    <xf numFmtId="181" fontId="15" fillId="7" borderId="369" xfId="0" applyNumberFormat="1" applyFont="1" applyFill="1" applyBorder="1" applyAlignment="1">
      <alignment horizontal="center" vertical="center"/>
    </xf>
    <xf numFmtId="181" fontId="15" fillId="7" borderId="370" xfId="0" applyNumberFormat="1" applyFont="1" applyFill="1" applyBorder="1" applyAlignment="1">
      <alignment horizontal="center" vertical="center"/>
    </xf>
    <xf numFmtId="181" fontId="15" fillId="7" borderId="371" xfId="0" applyNumberFormat="1" applyFont="1" applyFill="1" applyBorder="1" applyAlignment="1">
      <alignment horizontal="center" vertical="center"/>
    </xf>
    <xf numFmtId="181" fontId="98" fillId="7" borderId="13" xfId="0" applyNumberFormat="1" applyFont="1" applyFill="1" applyBorder="1" applyAlignment="1">
      <alignment horizontal="center" vertical="center" wrapText="1"/>
    </xf>
    <xf numFmtId="181" fontId="98" fillId="7" borderId="16" xfId="0" applyNumberFormat="1" applyFont="1" applyFill="1" applyBorder="1" applyAlignment="1">
      <alignment horizontal="center" vertical="center" wrapText="1"/>
    </xf>
    <xf numFmtId="181" fontId="95" fillId="7" borderId="13" xfId="0" applyNumberFormat="1" applyFont="1" applyFill="1" applyBorder="1" applyAlignment="1">
      <alignment horizontal="center" vertical="center" wrapText="1"/>
    </xf>
    <xf numFmtId="181" fontId="95" fillId="7" borderId="16" xfId="0" applyNumberFormat="1" applyFont="1" applyFill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0" fontId="48" fillId="0" borderId="102" xfId="9" applyFont="1" applyBorder="1" applyAlignment="1">
      <alignment horizontal="center" vertical="center" wrapText="1"/>
    </xf>
    <xf numFmtId="0" fontId="74" fillId="23" borderId="323" xfId="9" applyFont="1" applyFill="1" applyBorder="1" applyAlignment="1">
      <alignment horizontal="center" vertical="center" wrapText="1"/>
    </xf>
    <xf numFmtId="0" fontId="74" fillId="0" borderId="323" xfId="9" applyFont="1" applyBorder="1" applyAlignment="1">
      <alignment horizontal="center" vertical="center" wrapText="1"/>
    </xf>
    <xf numFmtId="195" fontId="74" fillId="0" borderId="102" xfId="2" applyNumberFormat="1" applyFont="1" applyBorder="1" applyAlignment="1">
      <alignment horizontal="center" vertical="center" wrapText="1"/>
    </xf>
    <xf numFmtId="193" fontId="74" fillId="0" borderId="324" xfId="9" applyNumberFormat="1" applyFont="1" applyBorder="1" applyAlignment="1">
      <alignment horizontal="center" vertical="center" wrapText="1"/>
    </xf>
    <xf numFmtId="194" fontId="48" fillId="4" borderId="227" xfId="2" applyNumberFormat="1" applyFont="1" applyFill="1" applyBorder="1" applyAlignment="1">
      <alignment horizontal="center" vertical="center" wrapText="1"/>
    </xf>
    <xf numFmtId="195" fontId="48" fillId="0" borderId="102" xfId="2" applyNumberFormat="1" applyFont="1" applyBorder="1" applyAlignment="1">
      <alignment horizontal="center" vertical="center" wrapText="1"/>
    </xf>
    <xf numFmtId="193" fontId="48" fillId="0" borderId="324" xfId="9" applyNumberFormat="1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/>
    </xf>
    <xf numFmtId="0" fontId="48" fillId="0" borderId="102" xfId="9" applyFont="1" applyBorder="1" applyAlignment="1">
      <alignment horizontal="center" vertical="center"/>
    </xf>
    <xf numFmtId="0" fontId="87" fillId="0" borderId="102" xfId="9" applyFont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176" fontId="15" fillId="0" borderId="102" xfId="10" applyNumberFormat="1" applyFont="1" applyBorder="1">
      <alignment vertical="center"/>
    </xf>
    <xf numFmtId="181" fontId="25" fillId="0" borderId="15" xfId="0" applyNumberFormat="1" applyFont="1" applyBorder="1" applyAlignment="1">
      <alignment horizontal="center" vertical="center"/>
    </xf>
    <xf numFmtId="181" fontId="46" fillId="0" borderId="51" xfId="0" quotePrefix="1" applyNumberFormat="1" applyFont="1" applyBorder="1" applyAlignment="1">
      <alignment horizontal="center" vertical="center"/>
    </xf>
    <xf numFmtId="181" fontId="46" fillId="0" borderId="38" xfId="0" applyNumberFormat="1" applyFont="1" applyBorder="1" applyAlignment="1">
      <alignment horizontal="center" vertical="center"/>
    </xf>
    <xf numFmtId="0" fontId="5" fillId="0" borderId="0" xfId="9" applyFont="1" applyAlignment="1">
      <alignment horizontal="center" vertical="center"/>
    </xf>
    <xf numFmtId="0" fontId="5" fillId="0" borderId="170" xfId="9" applyFont="1" applyBorder="1" applyAlignment="1">
      <alignment horizontal="left" vertical="center"/>
    </xf>
    <xf numFmtId="0" fontId="5" fillId="0" borderId="30" xfId="9" applyFont="1" applyBorder="1" applyAlignment="1">
      <alignment horizontal="left" vertical="center"/>
    </xf>
    <xf numFmtId="0" fontId="5" fillId="0" borderId="0" xfId="9" applyFont="1">
      <alignment vertical="center"/>
    </xf>
    <xf numFmtId="0" fontId="5" fillId="12" borderId="170" xfId="9" applyFont="1" applyFill="1" applyBorder="1" applyAlignment="1">
      <alignment horizontal="left" vertical="center"/>
    </xf>
    <xf numFmtId="0" fontId="5" fillId="12" borderId="30" xfId="9" applyFont="1" applyFill="1" applyBorder="1" applyAlignment="1">
      <alignment horizontal="left" vertical="center"/>
    </xf>
    <xf numFmtId="0" fontId="5" fillId="0" borderId="15" xfId="9" applyFont="1" applyBorder="1" applyAlignment="1">
      <alignment horizontal="center" vertical="center"/>
    </xf>
    <xf numFmtId="0" fontId="5" fillId="0" borderId="23" xfId="9" applyFont="1" applyBorder="1">
      <alignment vertical="center"/>
    </xf>
    <xf numFmtId="0" fontId="5" fillId="0" borderId="11" xfId="9" applyFont="1" applyBorder="1" applyAlignment="1">
      <alignment horizontal="center" vertical="center"/>
    </xf>
    <xf numFmtId="0" fontId="5" fillId="0" borderId="165" xfId="9" applyFont="1" applyBorder="1" applyAlignment="1">
      <alignment horizontal="center" vertical="center"/>
    </xf>
    <xf numFmtId="0" fontId="5" fillId="0" borderId="30" xfId="9" applyFont="1" applyBorder="1" applyAlignment="1">
      <alignment horizontal="center" vertical="center"/>
    </xf>
    <xf numFmtId="0" fontId="5" fillId="0" borderId="167" xfId="9" applyFont="1" applyBorder="1" applyAlignment="1">
      <alignment horizontal="center" vertical="center"/>
    </xf>
    <xf numFmtId="0" fontId="5" fillId="0" borderId="12" xfId="9" applyFont="1" applyBorder="1" applyAlignment="1">
      <alignment horizontal="center" vertical="center"/>
    </xf>
    <xf numFmtId="0" fontId="5" fillId="0" borderId="170" xfId="9" applyFont="1" applyBorder="1" applyAlignment="1">
      <alignment horizontal="center" vertical="center"/>
    </xf>
    <xf numFmtId="0" fontId="5" fillId="0" borderId="36" xfId="9" applyFont="1" applyBorder="1" applyAlignment="1">
      <alignment horizontal="center" vertical="center"/>
    </xf>
    <xf numFmtId="179" fontId="5" fillId="0" borderId="0" xfId="9" applyNumberFormat="1" applyFont="1">
      <alignment vertical="center"/>
    </xf>
    <xf numFmtId="0" fontId="5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7" fillId="0" borderId="0" xfId="0" applyNumberFormat="1" applyFont="1" applyAlignment="1">
      <alignment horizontal="center" vertical="center"/>
    </xf>
    <xf numFmtId="10" fontId="15" fillId="0" borderId="0" xfId="1" applyNumberFormat="1" applyFont="1">
      <alignment vertical="center"/>
    </xf>
    <xf numFmtId="181" fontId="43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1" fillId="0" borderId="0" xfId="9" applyNumberFormat="1">
      <alignment vertical="center"/>
    </xf>
    <xf numFmtId="177" fontId="0" fillId="0" borderId="0" xfId="0" applyNumberFormat="1">
      <alignment vertical="center"/>
    </xf>
    <xf numFmtId="0" fontId="47" fillId="0" borderId="135" xfId="0" quotePrefix="1" applyFont="1" applyBorder="1" applyAlignment="1">
      <alignment horizontal="center" vertical="center"/>
    </xf>
    <xf numFmtId="0" fontId="47" fillId="0" borderId="6" xfId="0" quotePrefix="1" applyFont="1" applyBorder="1" applyAlignment="1">
      <alignment horizontal="center" vertical="center"/>
    </xf>
    <xf numFmtId="0" fontId="25" fillId="0" borderId="6" xfId="0" quotePrefix="1" applyFont="1" applyBorder="1" applyAlignment="1">
      <alignment horizontal="center" vertical="center"/>
    </xf>
    <xf numFmtId="0" fontId="100" fillId="0" borderId="0" xfId="0" applyFont="1">
      <alignment vertical="center"/>
    </xf>
    <xf numFmtId="0" fontId="101" fillId="23" borderId="15" xfId="0" applyFont="1" applyFill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0" fontId="101" fillId="23" borderId="47" xfId="0" applyFont="1" applyFill="1" applyBorder="1" applyAlignment="1">
      <alignment horizontal="center" vertical="center"/>
    </xf>
    <xf numFmtId="0" fontId="101" fillId="0" borderId="41" xfId="0" applyFont="1" applyBorder="1" applyAlignment="1">
      <alignment horizontal="center" vertical="center"/>
    </xf>
    <xf numFmtId="0" fontId="101" fillId="0" borderId="25" xfId="0" applyFont="1" applyBorder="1" applyAlignment="1">
      <alignment horizontal="center" vertical="center"/>
    </xf>
    <xf numFmtId="0" fontId="101" fillId="0" borderId="47" xfId="0" applyFont="1" applyBorder="1" applyAlignment="1">
      <alignment horizontal="center" vertical="center"/>
    </xf>
    <xf numFmtId="0" fontId="74" fillId="0" borderId="140" xfId="0" quotePrefix="1" applyFont="1" applyBorder="1" applyAlignment="1">
      <alignment horizontal="center" vertical="center" wrapText="1"/>
    </xf>
    <xf numFmtId="0" fontId="74" fillId="0" borderId="135" xfId="0" quotePrefix="1" applyFont="1" applyBorder="1" applyAlignment="1">
      <alignment horizontal="center" vertical="center" wrapText="1"/>
    </xf>
    <xf numFmtId="0" fontId="74" fillId="0" borderId="6" xfId="0" quotePrefix="1" applyFont="1" applyBorder="1" applyAlignment="1">
      <alignment horizontal="center" vertical="center" wrapText="1"/>
    </xf>
    <xf numFmtId="0" fontId="74" fillId="0" borderId="136" xfId="0" quotePrefix="1" applyFont="1" applyBorder="1" applyAlignment="1">
      <alignment horizontal="center" vertical="center" wrapText="1"/>
    </xf>
    <xf numFmtId="0" fontId="74" fillId="5" borderId="135" xfId="0" quotePrefix="1" applyFont="1" applyFill="1" applyBorder="1" applyAlignment="1">
      <alignment horizontal="center" vertical="center" wrapText="1"/>
    </xf>
    <xf numFmtId="0" fontId="74" fillId="5" borderId="6" xfId="0" quotePrefix="1" applyFont="1" applyFill="1" applyBorder="1" applyAlignment="1">
      <alignment horizontal="center" vertical="center" wrapText="1"/>
    </xf>
    <xf numFmtId="0" fontId="74" fillId="5" borderId="136" xfId="0" quotePrefix="1" applyFont="1" applyFill="1" applyBorder="1" applyAlignment="1">
      <alignment horizontal="center" vertical="center" wrapText="1"/>
    </xf>
    <xf numFmtId="0" fontId="74" fillId="0" borderId="245" xfId="9" quotePrefix="1" applyFont="1" applyBorder="1" applyAlignment="1">
      <alignment horizontal="center" vertical="center" wrapText="1"/>
    </xf>
    <xf numFmtId="0" fontId="74" fillId="0" borderId="246" xfId="9" quotePrefix="1" applyFont="1" applyBorder="1" applyAlignment="1">
      <alignment horizontal="center" vertical="center" wrapText="1"/>
    </xf>
    <xf numFmtId="0" fontId="74" fillId="0" borderId="247" xfId="9" quotePrefix="1" applyFont="1" applyBorder="1" applyAlignment="1">
      <alignment horizontal="center" vertical="center" wrapText="1"/>
    </xf>
    <xf numFmtId="0" fontId="74" fillId="0" borderId="249" xfId="9" quotePrefix="1" applyFont="1" applyBorder="1" applyAlignment="1">
      <alignment horizontal="center" vertical="center" wrapText="1"/>
    </xf>
    <xf numFmtId="0" fontId="74" fillId="0" borderId="250" xfId="9" quotePrefix="1" applyFont="1" applyBorder="1" applyAlignment="1">
      <alignment horizontal="center" vertical="center" wrapText="1"/>
    </xf>
    <xf numFmtId="0" fontId="74" fillId="0" borderId="247" xfId="0" quotePrefix="1" applyFont="1" applyBorder="1" applyAlignment="1">
      <alignment horizontal="center" vertical="center" wrapText="1"/>
    </xf>
    <xf numFmtId="0" fontId="74" fillId="0" borderId="353" xfId="0" quotePrefix="1" applyFont="1" applyBorder="1" applyAlignment="1">
      <alignment horizontal="center" vertical="center" wrapText="1"/>
    </xf>
    <xf numFmtId="0" fontId="74" fillId="0" borderId="246" xfId="0" quotePrefix="1" applyFont="1" applyBorder="1" applyAlignment="1">
      <alignment horizontal="center" vertical="center" wrapText="1"/>
    </xf>
    <xf numFmtId="0" fontId="74" fillId="0" borderId="248" xfId="0" quotePrefix="1" applyFont="1" applyBorder="1" applyAlignment="1">
      <alignment horizontal="center" vertical="center" wrapText="1"/>
    </xf>
    <xf numFmtId="0" fontId="74" fillId="0" borderId="245" xfId="0" quotePrefix="1" applyFont="1" applyBorder="1" applyAlignment="1">
      <alignment horizontal="center" vertical="center" wrapText="1"/>
    </xf>
    <xf numFmtId="0" fontId="74" fillId="0" borderId="77" xfId="0" quotePrefix="1" applyFont="1" applyBorder="1" applyAlignment="1">
      <alignment horizontal="center" vertical="center" wrapText="1"/>
    </xf>
    <xf numFmtId="0" fontId="74" fillId="0" borderId="6" xfId="0" quotePrefix="1" applyFont="1" applyBorder="1" applyAlignment="1">
      <alignment horizontal="center" vertical="center" wrapText="1" readingOrder="1"/>
    </xf>
    <xf numFmtId="0" fontId="74" fillId="0" borderId="136" xfId="0" quotePrefix="1" applyFont="1" applyBorder="1" applyAlignment="1">
      <alignment horizontal="center" vertical="center" wrapText="1" readingOrder="1"/>
    </xf>
    <xf numFmtId="0" fontId="74" fillId="0" borderId="135" xfId="0" quotePrefix="1" applyFont="1" applyBorder="1" applyAlignment="1">
      <alignment horizontal="center" vertical="center" wrapText="1" readingOrder="1"/>
    </xf>
    <xf numFmtId="0" fontId="74" fillId="0" borderId="191" xfId="0" quotePrefix="1" applyFont="1" applyBorder="1" applyAlignment="1">
      <alignment horizontal="center" vertical="center" wrapText="1"/>
    </xf>
    <xf numFmtId="0" fontId="74" fillId="0" borderId="182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74" fillId="0" borderId="6" xfId="9" quotePrefix="1" applyFont="1" applyBorder="1" applyAlignment="1">
      <alignment horizontal="center" vertical="center" wrapText="1"/>
    </xf>
    <xf numFmtId="0" fontId="48" fillId="0" borderId="250" xfId="9" quotePrefix="1" applyFont="1" applyBorder="1" applyAlignment="1">
      <alignment horizontal="center" vertical="center" wrapText="1"/>
    </xf>
    <xf numFmtId="0" fontId="48" fillId="0" borderId="246" xfId="9" quotePrefix="1" applyFont="1" applyBorder="1" applyAlignment="1">
      <alignment horizontal="center" vertical="center" wrapText="1"/>
    </xf>
    <xf numFmtId="0" fontId="48" fillId="0" borderId="245" xfId="9" quotePrefix="1" applyFont="1" applyBorder="1" applyAlignment="1">
      <alignment horizontal="center" vertical="center" wrapText="1"/>
    </xf>
    <xf numFmtId="0" fontId="48" fillId="0" borderId="247" xfId="9" quotePrefix="1" applyFont="1" applyBorder="1" applyAlignment="1">
      <alignment horizontal="center" vertical="center" wrapText="1"/>
    </xf>
    <xf numFmtId="0" fontId="48" fillId="0" borderId="249" xfId="9" quotePrefix="1" applyFont="1" applyBorder="1" applyAlignment="1">
      <alignment horizontal="center" vertical="center" wrapText="1"/>
    </xf>
    <xf numFmtId="0" fontId="48" fillId="0" borderId="140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5" borderId="135" xfId="0" quotePrefix="1" applyFont="1" applyFill="1" applyBorder="1" applyAlignment="1">
      <alignment horizontal="center" vertical="center" wrapText="1"/>
    </xf>
    <xf numFmtId="0" fontId="48" fillId="5" borderId="6" xfId="0" quotePrefix="1" applyFont="1" applyFill="1" applyBorder="1" applyAlignment="1">
      <alignment horizontal="center" vertical="center" wrapText="1"/>
    </xf>
    <xf numFmtId="0" fontId="48" fillId="5" borderId="136" xfId="0" quotePrefix="1" applyFont="1" applyFill="1" applyBorder="1" applyAlignment="1">
      <alignment horizontal="center" vertical="center" wrapText="1"/>
    </xf>
    <xf numFmtId="0" fontId="48" fillId="0" borderId="247" xfId="0" quotePrefix="1" applyFont="1" applyBorder="1" applyAlignment="1">
      <alignment horizontal="center" vertical="center" wrapText="1"/>
    </xf>
    <xf numFmtId="0" fontId="48" fillId="0" borderId="353" xfId="0" quotePrefix="1" applyFont="1" applyBorder="1" applyAlignment="1">
      <alignment horizontal="center" vertical="center" wrapText="1"/>
    </xf>
    <xf numFmtId="0" fontId="48" fillId="0" borderId="246" xfId="0" quotePrefix="1" applyFont="1" applyBorder="1" applyAlignment="1">
      <alignment horizontal="center" vertical="center" wrapText="1"/>
    </xf>
    <xf numFmtId="0" fontId="48" fillId="0" borderId="248" xfId="0" quotePrefix="1" applyFont="1" applyBorder="1" applyAlignment="1">
      <alignment horizontal="center" vertical="center" wrapText="1"/>
    </xf>
    <xf numFmtId="0" fontId="48" fillId="0" borderId="245" xfId="0" quotePrefix="1" applyFont="1" applyBorder="1" applyAlignment="1">
      <alignment horizontal="center" vertical="center" wrapText="1"/>
    </xf>
    <xf numFmtId="0" fontId="48" fillId="0" borderId="77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 readingOrder="1"/>
    </xf>
    <xf numFmtId="0" fontId="48" fillId="0" borderId="136" xfId="0" quotePrefix="1" applyFont="1" applyBorder="1" applyAlignment="1">
      <alignment horizontal="center" vertical="center" wrapText="1" readingOrder="1"/>
    </xf>
    <xf numFmtId="0" fontId="48" fillId="0" borderId="135" xfId="0" quotePrefix="1" applyFont="1" applyBorder="1" applyAlignment="1">
      <alignment horizontal="center" vertical="center" wrapText="1" readingOrder="1"/>
    </xf>
    <xf numFmtId="0" fontId="48" fillId="0" borderId="191" xfId="0" quotePrefix="1" applyFont="1" applyBorder="1" applyAlignment="1">
      <alignment horizontal="center" vertical="center" wrapText="1"/>
    </xf>
    <xf numFmtId="0" fontId="48" fillId="0" borderId="182" xfId="0" quotePrefix="1" applyFont="1" applyBorder="1" applyAlignment="1">
      <alignment horizontal="center" vertical="center" wrapText="1"/>
    </xf>
    <xf numFmtId="0" fontId="48" fillId="0" borderId="238" xfId="0" quotePrefix="1" applyFont="1" applyBorder="1" applyAlignment="1">
      <alignment horizontal="center" vertical="center" wrapText="1"/>
    </xf>
    <xf numFmtId="0" fontId="87" fillId="0" borderId="6" xfId="9" quotePrefix="1" applyFont="1" applyBorder="1" applyAlignment="1">
      <alignment horizontal="center" vertical="center" wrapText="1"/>
    </xf>
    <xf numFmtId="0" fontId="87" fillId="0" borderId="136" xfId="9" quotePrefix="1" applyFont="1" applyBorder="1" applyAlignment="1">
      <alignment horizontal="center" vertical="center" wrapText="1"/>
    </xf>
    <xf numFmtId="0" fontId="48" fillId="0" borderId="6" xfId="9" quotePrefix="1" applyFont="1" applyBorder="1" applyAlignment="1">
      <alignment horizontal="center" vertical="center" wrapText="1"/>
    </xf>
    <xf numFmtId="0" fontId="48" fillId="0" borderId="136" xfId="9" quotePrefix="1" applyFont="1" applyBorder="1" applyAlignment="1">
      <alignment horizontal="center" vertical="center" wrapText="1"/>
    </xf>
    <xf numFmtId="0" fontId="48" fillId="0" borderId="102" xfId="9" quotePrefix="1" applyFont="1" applyBorder="1" applyAlignment="1">
      <alignment horizontal="center" vertical="center" wrapText="1"/>
    </xf>
    <xf numFmtId="0" fontId="48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26" fillId="0" borderId="6" xfId="0" quotePrefix="1" applyFont="1" applyBorder="1" applyAlignment="1">
      <alignment horizontal="center" vertical="center" wrapText="1"/>
    </xf>
    <xf numFmtId="0" fontId="26" fillId="0" borderId="196" xfId="0" quotePrefix="1" applyFont="1" applyBorder="1" applyAlignment="1">
      <alignment horizontal="center" vertical="center" wrapText="1"/>
    </xf>
    <xf numFmtId="0" fontId="26" fillId="0" borderId="135" xfId="0" quotePrefix="1" applyFont="1" applyBorder="1" applyAlignment="1">
      <alignment horizontal="center" vertical="center" wrapText="1"/>
    </xf>
    <xf numFmtId="0" fontId="26" fillId="0" borderId="136" xfId="0" quotePrefix="1" applyFont="1" applyBorder="1" applyAlignment="1">
      <alignment horizontal="center" vertical="center" wrapText="1"/>
    </xf>
    <xf numFmtId="0" fontId="26" fillId="0" borderId="86" xfId="0" quotePrefix="1" applyFont="1" applyBorder="1" applyAlignment="1">
      <alignment horizontal="center" vertical="center" wrapText="1"/>
    </xf>
    <xf numFmtId="0" fontId="26" fillId="0" borderId="238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96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0" borderId="101" xfId="0" quotePrefix="1" applyFont="1" applyBorder="1" applyAlignment="1">
      <alignment horizontal="center" vertical="center" wrapText="1"/>
    </xf>
    <xf numFmtId="181" fontId="43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4" fillId="6" borderId="326" xfId="0" applyFont="1" applyFill="1" applyBorder="1" applyAlignment="1">
      <alignment horizontal="center" vertical="center"/>
    </xf>
    <xf numFmtId="176" fontId="15" fillId="0" borderId="381" xfId="2" applyNumberFormat="1" applyFont="1" applyBorder="1">
      <alignment vertical="center"/>
    </xf>
    <xf numFmtId="176" fontId="15" fillId="0" borderId="382" xfId="2" applyNumberFormat="1" applyFont="1" applyBorder="1">
      <alignment vertical="center"/>
    </xf>
    <xf numFmtId="176" fontId="15" fillId="0" borderId="75" xfId="2" applyNumberFormat="1" applyFont="1" applyBorder="1">
      <alignment vertical="center"/>
    </xf>
    <xf numFmtId="176" fontId="15" fillId="0" borderId="365" xfId="2" applyNumberFormat="1" applyFont="1" applyBorder="1">
      <alignment vertical="center"/>
    </xf>
    <xf numFmtId="176" fontId="15" fillId="0" borderId="189" xfId="2" applyNumberFormat="1" applyFont="1" applyBorder="1">
      <alignment vertical="center"/>
    </xf>
    <xf numFmtId="176" fontId="15" fillId="0" borderId="383" xfId="2" applyNumberFormat="1" applyFont="1" applyBorder="1">
      <alignment vertical="center"/>
    </xf>
    <xf numFmtId="176" fontId="15" fillId="0" borderId="384" xfId="2" applyNumberFormat="1" applyFont="1" applyBorder="1">
      <alignment vertical="center"/>
    </xf>
    <xf numFmtId="176" fontId="15" fillId="0" borderId="224" xfId="2" applyNumberFormat="1" applyFont="1" applyBorder="1">
      <alignment vertical="center"/>
    </xf>
    <xf numFmtId="176" fontId="15" fillId="0" borderId="92" xfId="2" applyNumberFormat="1" applyFont="1" applyBorder="1">
      <alignment vertical="center"/>
    </xf>
    <xf numFmtId="176" fontId="15" fillId="0" borderId="75" xfId="2" applyNumberFormat="1" applyFont="1" applyFill="1" applyBorder="1">
      <alignment vertical="center"/>
    </xf>
    <xf numFmtId="176" fontId="15" fillId="0" borderId="365" xfId="2" applyNumberFormat="1" applyFont="1" applyFill="1" applyBorder="1">
      <alignment vertical="center"/>
    </xf>
    <xf numFmtId="176" fontId="15" fillId="0" borderId="224" xfId="2" applyNumberFormat="1" applyFont="1" applyFill="1" applyBorder="1">
      <alignment vertical="center"/>
    </xf>
    <xf numFmtId="176" fontId="15" fillId="0" borderId="386" xfId="2" applyNumberFormat="1" applyFont="1" applyBorder="1">
      <alignment vertical="center"/>
    </xf>
    <xf numFmtId="176" fontId="15" fillId="0" borderId="387" xfId="2" applyNumberFormat="1" applyFont="1" applyBorder="1">
      <alignment vertical="center"/>
    </xf>
    <xf numFmtId="176" fontId="15" fillId="0" borderId="75" xfId="2" applyNumberFormat="1" applyFont="1" applyBorder="1" applyAlignment="1">
      <alignment vertical="center" wrapText="1"/>
    </xf>
    <xf numFmtId="176" fontId="15" fillId="0" borderId="388" xfId="2" applyNumberFormat="1" applyFont="1" applyBorder="1">
      <alignment vertical="center"/>
    </xf>
    <xf numFmtId="176" fontId="15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6" fillId="0" borderId="391" xfId="0" applyFont="1" applyBorder="1" applyAlignment="1">
      <alignment horizontal="center" vertical="center"/>
    </xf>
    <xf numFmtId="0" fontId="26" fillId="0" borderId="37" xfId="0" quotePrefix="1" applyFont="1" applyBorder="1">
      <alignment vertical="center"/>
    </xf>
    <xf numFmtId="0" fontId="26" fillId="0" borderId="393" xfId="0" applyFont="1" applyBorder="1" applyAlignment="1">
      <alignment horizontal="center" vertical="center"/>
    </xf>
    <xf numFmtId="0" fontId="26" fillId="0" borderId="48" xfId="0" applyFont="1" applyBorder="1" applyAlignment="1">
      <alignment horizontal="left" vertical="center"/>
    </xf>
    <xf numFmtId="0" fontId="26" fillId="0" borderId="34" xfId="0" applyFont="1" applyBorder="1" applyAlignment="1">
      <alignment horizontal="left" vertical="center"/>
    </xf>
    <xf numFmtId="0" fontId="26" fillId="0" borderId="37" xfId="0" applyFont="1" applyBorder="1" applyAlignment="1">
      <alignment horizontal="left" vertical="center"/>
    </xf>
    <xf numFmtId="0" fontId="26" fillId="0" borderId="37" xfId="0" applyFont="1" applyBorder="1" applyAlignment="1">
      <alignment horizontal="center" vertical="center" wrapText="1"/>
    </xf>
    <xf numFmtId="198" fontId="15" fillId="11" borderId="378" xfId="2" applyNumberFormat="1" applyFont="1" applyFill="1" applyBorder="1">
      <alignment vertical="center"/>
    </xf>
    <xf numFmtId="198" fontId="15" fillId="11" borderId="398" xfId="2" applyNumberFormat="1" applyFont="1" applyFill="1" applyBorder="1">
      <alignment vertical="center"/>
    </xf>
    <xf numFmtId="198" fontId="15" fillId="11" borderId="399" xfId="2" applyNumberFormat="1" applyFont="1" applyFill="1" applyBorder="1">
      <alignment vertical="center"/>
    </xf>
    <xf numFmtId="198" fontId="15" fillId="11" borderId="379" xfId="2" applyNumberFormat="1" applyFont="1" applyFill="1" applyBorder="1">
      <alignment vertical="center"/>
    </xf>
    <xf numFmtId="198" fontId="15" fillId="11" borderId="400" xfId="2" applyNumberFormat="1" applyFont="1" applyFill="1" applyBorder="1">
      <alignment vertical="center"/>
    </xf>
    <xf numFmtId="198" fontId="15" fillId="11" borderId="378" xfId="2" applyNumberFormat="1" applyFont="1" applyFill="1" applyBorder="1" applyAlignment="1">
      <alignment horizontal="center" vertical="center"/>
    </xf>
    <xf numFmtId="198" fontId="15" fillId="11" borderId="401" xfId="2" applyNumberFormat="1" applyFont="1" applyFill="1" applyBorder="1">
      <alignment vertical="center"/>
    </xf>
    <xf numFmtId="198" fontId="15" fillId="11" borderId="402" xfId="2" applyNumberFormat="1" applyFont="1" applyFill="1" applyBorder="1">
      <alignment vertical="center"/>
    </xf>
    <xf numFmtId="198" fontId="15" fillId="11" borderId="375" xfId="2" applyNumberFormat="1" applyFont="1" applyFill="1" applyBorder="1">
      <alignment vertical="center"/>
    </xf>
    <xf numFmtId="198" fontId="15" fillId="11" borderId="398" xfId="2" applyNumberFormat="1" applyFont="1" applyFill="1" applyBorder="1" applyAlignment="1">
      <alignment horizontal="center" vertical="center"/>
    </xf>
    <xf numFmtId="176" fontId="15" fillId="0" borderId="383" xfId="2" applyNumberFormat="1" applyFont="1" applyFill="1" applyBorder="1">
      <alignment vertical="center"/>
    </xf>
    <xf numFmtId="176" fontId="15" fillId="0" borderId="406" xfId="2" applyNumberFormat="1" applyFont="1" applyFill="1" applyBorder="1">
      <alignment vertical="center"/>
    </xf>
    <xf numFmtId="176" fontId="15" fillId="5" borderId="384" xfId="2" applyNumberFormat="1" applyFont="1" applyFill="1" applyBorder="1">
      <alignment vertical="center"/>
    </xf>
    <xf numFmtId="176" fontId="15" fillId="5" borderId="224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6" fillId="0" borderId="189" xfId="2" applyNumberFormat="1" applyFont="1" applyFill="1" applyBorder="1">
      <alignment vertical="center"/>
    </xf>
    <xf numFmtId="176" fontId="15" fillId="0" borderId="189" xfId="10" applyNumberFormat="1" applyFont="1" applyBorder="1">
      <alignment vertical="center"/>
    </xf>
    <xf numFmtId="176" fontId="15" fillId="0" borderId="228" xfId="10" applyNumberFormat="1" applyFont="1" applyBorder="1">
      <alignment vertical="center"/>
    </xf>
    <xf numFmtId="176" fontId="15" fillId="0" borderId="75" xfId="10" applyNumberFormat="1" applyFont="1" applyBorder="1">
      <alignment vertical="center"/>
    </xf>
    <xf numFmtId="176" fontId="15" fillId="0" borderId="365" xfId="10" applyNumberFormat="1" applyFont="1" applyBorder="1">
      <alignment vertical="center"/>
    </xf>
    <xf numFmtId="0" fontId="14" fillId="0" borderId="34" xfId="0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43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6" fillId="0" borderId="37" xfId="0" applyFont="1" applyBorder="1" applyAlignment="1">
      <alignment horizontal="left" vertical="center" wrapText="1"/>
    </xf>
    <xf numFmtId="0" fontId="26" fillId="0" borderId="48" xfId="0" applyFont="1" applyBorder="1" applyAlignment="1">
      <alignment horizontal="left" vertical="center" wrapText="1"/>
    </xf>
    <xf numFmtId="0" fontId="26" fillId="0" borderId="34" xfId="0" applyFont="1" applyBorder="1" applyAlignment="1">
      <alignment horizontal="center" vertical="center" wrapText="1"/>
    </xf>
    <xf numFmtId="0" fontId="82" fillId="0" borderId="34" xfId="0" applyFont="1" applyBorder="1" applyAlignment="1">
      <alignment vertical="center" wrapText="1"/>
    </xf>
    <xf numFmtId="0" fontId="82" fillId="0" borderId="37" xfId="0" applyFont="1" applyBorder="1" applyAlignment="1">
      <alignment vertical="center" wrapText="1"/>
    </xf>
    <xf numFmtId="198" fontId="15" fillId="11" borderId="377" xfId="2" applyNumberFormat="1" applyFont="1" applyFill="1" applyBorder="1">
      <alignment vertical="center"/>
    </xf>
    <xf numFmtId="0" fontId="47" fillId="0" borderId="37" xfId="0" applyFont="1" applyBorder="1">
      <alignment vertical="center"/>
    </xf>
    <xf numFmtId="0" fontId="90" fillId="0" borderId="34" xfId="0" applyFont="1" applyBorder="1">
      <alignment vertical="center"/>
    </xf>
    <xf numFmtId="0" fontId="15" fillId="0" borderId="37" xfId="0" quotePrefix="1" applyFont="1" applyBorder="1" applyAlignment="1">
      <alignment vertical="center" wrapText="1"/>
    </xf>
    <xf numFmtId="0" fontId="15" fillId="0" borderId="37" xfId="0" applyFont="1" applyBorder="1" applyAlignment="1">
      <alignment vertical="center" wrapText="1"/>
    </xf>
    <xf numFmtId="0" fontId="26" fillId="0" borderId="37" xfId="0" quotePrefix="1" applyFont="1" applyBorder="1" applyAlignment="1">
      <alignment horizontal="left" vertical="center" wrapText="1"/>
    </xf>
    <xf numFmtId="0" fontId="26" fillId="0" borderId="37" xfId="0" applyFont="1" applyBorder="1" applyAlignment="1">
      <alignment vertical="center" wrapText="1"/>
    </xf>
    <xf numFmtId="0" fontId="14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8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393" xfId="0" applyBorder="1">
      <alignment vertical="center"/>
    </xf>
    <xf numFmtId="0" fontId="0" fillId="5" borderId="392" xfId="0" applyFill="1" applyBorder="1">
      <alignment vertical="center"/>
    </xf>
    <xf numFmtId="0" fontId="0" fillId="5" borderId="393" xfId="0" applyFill="1" applyBorder="1">
      <alignment vertical="center"/>
    </xf>
    <xf numFmtId="0" fontId="0" fillId="0" borderId="392" xfId="0" applyBorder="1">
      <alignment vertical="center"/>
    </xf>
    <xf numFmtId="0" fontId="14" fillId="0" borderId="34" xfId="0" applyFont="1" applyBorder="1">
      <alignment vertical="center"/>
    </xf>
    <xf numFmtId="0" fontId="14" fillId="0" borderId="37" xfId="0" applyFont="1" applyBorder="1">
      <alignment vertical="center"/>
    </xf>
    <xf numFmtId="0" fontId="0" fillId="0" borderId="391" xfId="0" applyBorder="1">
      <alignment vertical="center"/>
    </xf>
    <xf numFmtId="0" fontId="14" fillId="0" borderId="393" xfId="0" applyFont="1" applyBorder="1">
      <alignment vertical="center"/>
    </xf>
    <xf numFmtId="0" fontId="0" fillId="0" borderId="105" xfId="0" applyBorder="1">
      <alignment vertical="center"/>
    </xf>
    <xf numFmtId="0" fontId="11" fillId="0" borderId="37" xfId="9" applyBorder="1" applyAlignment="1">
      <alignment horizontal="center" vertical="center" wrapText="1"/>
    </xf>
    <xf numFmtId="0" fontId="11" fillId="0" borderId="48" xfId="9" applyBorder="1" applyAlignment="1">
      <alignment horizontal="center" vertical="center" wrapText="1"/>
    </xf>
    <xf numFmtId="198" fontId="15" fillId="11" borderId="413" xfId="2" applyNumberFormat="1" applyFont="1" applyFill="1" applyBorder="1">
      <alignment vertical="center"/>
    </xf>
    <xf numFmtId="198" fontId="15" fillId="11" borderId="425" xfId="2" applyNumberFormat="1" applyFont="1" applyFill="1" applyBorder="1">
      <alignment vertical="center"/>
    </xf>
    <xf numFmtId="198" fontId="15" fillId="11" borderId="376" xfId="2" applyNumberFormat="1" applyFont="1" applyFill="1" applyBorder="1">
      <alignment vertical="center"/>
    </xf>
    <xf numFmtId="198" fontId="15" fillId="11" borderId="380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2" fillId="4" borderId="11" xfId="0" applyNumberFormat="1" applyFont="1" applyFill="1" applyBorder="1" applyAlignment="1">
      <alignment horizontal="center" vertical="center"/>
    </xf>
    <xf numFmtId="181" fontId="12" fillId="4" borderId="15" xfId="0" applyNumberFormat="1" applyFont="1" applyFill="1" applyBorder="1" applyAlignment="1">
      <alignment horizontal="center" vertical="center"/>
    </xf>
    <xf numFmtId="181" fontId="12" fillId="4" borderId="15" xfId="0" applyNumberFormat="1" applyFont="1" applyFill="1" applyBorder="1" applyAlignment="1">
      <alignment horizontal="center" vertical="center" wrapText="1"/>
    </xf>
    <xf numFmtId="181" fontId="25" fillId="4" borderId="15" xfId="0" applyNumberFormat="1" applyFont="1" applyFill="1" applyBorder="1" applyAlignment="1">
      <alignment horizontal="center" vertical="center" wrapText="1"/>
    </xf>
    <xf numFmtId="181" fontId="12" fillId="4" borderId="41" xfId="0" applyNumberFormat="1" applyFont="1" applyFill="1" applyBorder="1" applyAlignment="1">
      <alignment horizontal="center" vertical="center" wrapText="1"/>
    </xf>
    <xf numFmtId="181" fontId="12" fillId="4" borderId="25" xfId="0" applyNumberFormat="1" applyFont="1" applyFill="1" applyBorder="1" applyAlignment="1">
      <alignment horizontal="center" vertical="center" wrapText="1"/>
    </xf>
    <xf numFmtId="181" fontId="12" fillId="4" borderId="41" xfId="0" applyNumberFormat="1" applyFont="1" applyFill="1" applyBorder="1" applyAlignment="1">
      <alignment horizontal="center" vertical="center"/>
    </xf>
    <xf numFmtId="181" fontId="12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2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2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5" fillId="4" borderId="11" xfId="0" applyNumberFormat="1" applyFont="1" applyFill="1" applyBorder="1" applyAlignment="1">
      <alignment horizontal="center" vertical="center"/>
    </xf>
    <xf numFmtId="180" fontId="15" fillId="4" borderId="15" xfId="0" applyNumberFormat="1" applyFont="1" applyFill="1" applyBorder="1" applyAlignment="1">
      <alignment horizontal="center" vertical="center"/>
    </xf>
    <xf numFmtId="180" fontId="15" fillId="4" borderId="25" xfId="0" applyNumberFormat="1" applyFont="1" applyFill="1" applyBorder="1" applyAlignment="1">
      <alignment horizontal="center" vertical="center" wrapText="1"/>
    </xf>
    <xf numFmtId="180" fontId="15" fillId="4" borderId="15" xfId="0" applyNumberFormat="1" applyFont="1" applyFill="1" applyBorder="1" applyAlignment="1">
      <alignment horizontal="center" vertical="center" wrapText="1"/>
    </xf>
    <xf numFmtId="180" fontId="15" fillId="4" borderId="18" xfId="0" applyNumberFormat="1" applyFont="1" applyFill="1" applyBorder="1" applyAlignment="1">
      <alignment horizontal="center" vertical="center" wrapText="1"/>
    </xf>
    <xf numFmtId="180" fontId="15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5" fillId="4" borderId="11" xfId="9" applyNumberFormat="1" applyFont="1" applyFill="1" applyBorder="1" applyAlignment="1">
      <alignment horizontal="center" vertical="center" wrapText="1"/>
    </xf>
    <xf numFmtId="180" fontId="15" fillId="4" borderId="15" xfId="9" applyNumberFormat="1" applyFont="1" applyFill="1" applyBorder="1" applyAlignment="1">
      <alignment horizontal="center" vertical="center" wrapText="1"/>
    </xf>
    <xf numFmtId="180" fontId="15" fillId="4" borderId="25" xfId="9" applyNumberFormat="1" applyFont="1" applyFill="1" applyBorder="1" applyAlignment="1">
      <alignment horizontal="center" vertical="center" wrapText="1"/>
    </xf>
    <xf numFmtId="180" fontId="15" fillId="4" borderId="11" xfId="9" applyNumberFormat="1" applyFont="1" applyFill="1" applyBorder="1" applyAlignment="1">
      <alignment horizontal="center" vertical="center"/>
    </xf>
    <xf numFmtId="180" fontId="15" fillId="4" borderId="15" xfId="9" applyNumberFormat="1" applyFont="1" applyFill="1" applyBorder="1" applyAlignment="1">
      <alignment horizontal="center" vertical="center"/>
    </xf>
    <xf numFmtId="180" fontId="31" fillId="4" borderId="11" xfId="9" applyNumberFormat="1" applyFont="1" applyFill="1" applyBorder="1" applyAlignment="1">
      <alignment horizontal="center" vertical="center" wrapText="1"/>
    </xf>
    <xf numFmtId="180" fontId="15" fillId="4" borderId="21" xfId="9" applyNumberFormat="1" applyFont="1" applyFill="1" applyBorder="1" applyAlignment="1">
      <alignment horizontal="center" vertical="center" wrapText="1"/>
    </xf>
    <xf numFmtId="180" fontId="15" fillId="4" borderId="47" xfId="9" applyNumberFormat="1" applyFont="1" applyFill="1" applyBorder="1" applyAlignment="1">
      <alignment horizontal="center" vertical="center" wrapText="1"/>
    </xf>
    <xf numFmtId="180" fontId="15" fillId="4" borderId="18" xfId="9" applyNumberFormat="1" applyFont="1" applyFill="1" applyBorder="1" applyAlignment="1">
      <alignment horizontal="center" vertical="center" wrapText="1"/>
    </xf>
    <xf numFmtId="180" fontId="15" fillId="4" borderId="41" xfId="9" applyNumberFormat="1" applyFont="1" applyFill="1" applyBorder="1" applyAlignment="1">
      <alignment horizontal="center" vertical="center" wrapText="1"/>
    </xf>
    <xf numFmtId="180" fontId="15" fillId="4" borderId="47" xfId="0" applyNumberFormat="1" applyFont="1" applyFill="1" applyBorder="1" applyAlignment="1">
      <alignment horizontal="center" vertical="center" wrapText="1"/>
    </xf>
    <xf numFmtId="180" fontId="15" fillId="4" borderId="41" xfId="0" applyNumberFormat="1" applyFont="1" applyFill="1" applyBorder="1" applyAlignment="1">
      <alignment horizontal="center" vertical="center" wrapText="1"/>
    </xf>
    <xf numFmtId="180" fontId="15" fillId="4" borderId="11" xfId="0" applyNumberFormat="1" applyFont="1" applyFill="1" applyBorder="1" applyAlignment="1">
      <alignment horizontal="center" vertical="center" wrapText="1"/>
    </xf>
    <xf numFmtId="181" fontId="14" fillId="2" borderId="360" xfId="0" applyNumberFormat="1" applyFont="1" applyFill="1" applyBorder="1" applyAlignment="1">
      <alignment horizontal="center" vertical="center"/>
    </xf>
    <xf numFmtId="0" fontId="26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5" fillId="5" borderId="15" xfId="0" applyNumberFormat="1" applyFont="1" applyFill="1" applyBorder="1" applyAlignment="1">
      <alignment horizontal="center" vertical="center" wrapText="1"/>
    </xf>
    <xf numFmtId="180" fontId="15" fillId="5" borderId="18" xfId="0" applyNumberFormat="1" applyFont="1" applyFill="1" applyBorder="1" applyAlignment="1">
      <alignment horizontal="center" vertical="center" wrapText="1"/>
    </xf>
    <xf numFmtId="180" fontId="15" fillId="5" borderId="21" xfId="0" applyNumberFormat="1" applyFont="1" applyFill="1" applyBorder="1" applyAlignment="1">
      <alignment horizontal="center" vertical="center" wrapText="1"/>
    </xf>
    <xf numFmtId="0" fontId="102" fillId="8" borderId="6" xfId="0" applyFont="1" applyFill="1" applyBorder="1" applyAlignment="1">
      <alignment horizontal="center" vertical="center"/>
    </xf>
    <xf numFmtId="0" fontId="59" fillId="6" borderId="101" xfId="0" applyFont="1" applyFill="1" applyBorder="1" applyAlignment="1">
      <alignment horizontal="center" vertical="center" wrapText="1"/>
    </xf>
    <xf numFmtId="0" fontId="59" fillId="6" borderId="77" xfId="0" applyFont="1" applyFill="1" applyBorder="1" applyAlignment="1">
      <alignment horizontal="center" vertical="center" wrapText="1"/>
    </xf>
    <xf numFmtId="0" fontId="58" fillId="7" borderId="101" xfId="0" applyFont="1" applyFill="1" applyBorder="1" applyAlignment="1">
      <alignment horizontal="center" vertical="center" wrapText="1"/>
    </xf>
    <xf numFmtId="0" fontId="58" fillId="7" borderId="77" xfId="0" applyFont="1" applyFill="1" applyBorder="1" applyAlignment="1">
      <alignment horizontal="center" vertical="center" wrapText="1"/>
    </xf>
    <xf numFmtId="0" fontId="59" fillId="6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9" fillId="23" borderId="6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7" fillId="0" borderId="173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9" fillId="6" borderId="125" xfId="0" applyFont="1" applyFill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8" fillId="7" borderId="6" xfId="0" applyFont="1" applyFill="1" applyBorder="1" applyAlignment="1">
      <alignment horizontal="center" vertical="center" wrapText="1"/>
    </xf>
    <xf numFmtId="0" fontId="57" fillId="0" borderId="125" xfId="0" applyFont="1" applyBorder="1" applyAlignment="1">
      <alignment horizontal="center" vertical="center" wrapText="1"/>
    </xf>
    <xf numFmtId="0" fontId="57" fillId="4" borderId="101" xfId="0" applyFont="1" applyFill="1" applyBorder="1" applyAlignment="1">
      <alignment horizontal="center" vertical="center"/>
    </xf>
    <xf numFmtId="0" fontId="57" fillId="0" borderId="218" xfId="0" applyFont="1" applyBorder="1" applyAlignment="1">
      <alignment horizontal="center" vertical="center"/>
    </xf>
    <xf numFmtId="0" fontId="57" fillId="0" borderId="222" xfId="0" applyFont="1" applyBorder="1" applyAlignment="1">
      <alignment horizontal="center" vertical="center"/>
    </xf>
    <xf numFmtId="0" fontId="57" fillId="0" borderId="126" xfId="0" applyFont="1" applyBorder="1" applyAlignment="1">
      <alignment horizontal="center" vertical="center"/>
    </xf>
    <xf numFmtId="0" fontId="57" fillId="0" borderId="175" xfId="0" applyFont="1" applyBorder="1" applyAlignment="1">
      <alignment horizontal="center" vertical="center"/>
    </xf>
    <xf numFmtId="0" fontId="57" fillId="0" borderId="179" xfId="0" applyFont="1" applyBorder="1" applyAlignment="1">
      <alignment horizontal="center" vertical="center"/>
    </xf>
    <xf numFmtId="0" fontId="57" fillId="0" borderId="79" xfId="0" applyFont="1" applyBorder="1" applyAlignment="1">
      <alignment horizontal="center" vertical="center"/>
    </xf>
    <xf numFmtId="0" fontId="57" fillId="0" borderId="180" xfId="0" applyFont="1" applyBorder="1" applyAlignment="1">
      <alignment horizontal="center" vertical="center"/>
    </xf>
    <xf numFmtId="0" fontId="57" fillId="0" borderId="178" xfId="0" applyFont="1" applyBorder="1" applyAlignment="1">
      <alignment horizontal="center" vertical="center"/>
    </xf>
    <xf numFmtId="0" fontId="57" fillId="0" borderId="80" xfId="0" applyFont="1" applyBorder="1" applyAlignment="1">
      <alignment horizontal="center" vertical="center"/>
    </xf>
    <xf numFmtId="176" fontId="14" fillId="24" borderId="373" xfId="2" applyNumberFormat="1" applyFont="1" applyFill="1" applyBorder="1" applyAlignment="1">
      <alignment horizontal="center" vertical="center" wrapText="1"/>
    </xf>
    <xf numFmtId="0" fontId="57" fillId="4" borderId="125" xfId="0" applyFont="1" applyFill="1" applyBorder="1" applyAlignment="1">
      <alignment horizontal="center" vertical="center" wrapText="1"/>
    </xf>
    <xf numFmtId="0" fontId="57" fillId="0" borderId="22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7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47" fillId="0" borderId="198" xfId="0" applyFont="1" applyBorder="1" applyAlignment="1">
      <alignment horizontal="center" vertical="center" wrapText="1"/>
    </xf>
    <xf numFmtId="0" fontId="47" fillId="0" borderId="103" xfId="0" applyFont="1" applyBorder="1" applyAlignment="1">
      <alignment horizontal="center" vertical="center" wrapText="1"/>
    </xf>
    <xf numFmtId="0" fontId="26" fillId="0" borderId="103" xfId="0" applyFont="1" applyBorder="1" applyAlignment="1">
      <alignment horizontal="center" vertical="center" wrapText="1"/>
    </xf>
    <xf numFmtId="0" fontId="26" fillId="0" borderId="273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0" fontId="26" fillId="0" borderId="13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26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6" fillId="0" borderId="101" xfId="0" applyFont="1" applyBorder="1" applyAlignment="1">
      <alignment horizontal="center" vertical="center" wrapText="1"/>
    </xf>
    <xf numFmtId="0" fontId="26" fillId="0" borderId="140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47" fillId="0" borderId="136" xfId="0" applyFont="1" applyBorder="1" applyAlignment="1">
      <alignment horizontal="center" vertical="center"/>
    </xf>
    <xf numFmtId="176" fontId="14" fillId="6" borderId="365" xfId="2" applyNumberFormat="1" applyFont="1" applyFill="1" applyBorder="1" applyAlignment="1">
      <alignment horizontal="center" vertical="center"/>
    </xf>
    <xf numFmtId="0" fontId="42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2" fillId="0" borderId="101" xfId="0" applyFont="1" applyBorder="1" applyAlignment="1">
      <alignment horizontal="center" vertical="center"/>
    </xf>
    <xf numFmtId="0" fontId="42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2" fillId="0" borderId="202" xfId="0" applyFont="1" applyBorder="1" applyAlignment="1">
      <alignment horizontal="center" vertical="center"/>
    </xf>
    <xf numFmtId="0" fontId="42" fillId="0" borderId="140" xfId="0" applyFont="1" applyBorder="1" applyAlignment="1">
      <alignment horizontal="center" vertical="center"/>
    </xf>
    <xf numFmtId="0" fontId="42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8" fillId="0" borderId="140" xfId="0" applyFont="1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2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2" fillId="7" borderId="201" xfId="0" applyFont="1" applyFill="1" applyBorder="1" applyAlignment="1">
      <alignment horizontal="center" vertical="center" wrapText="1"/>
    </xf>
    <xf numFmtId="0" fontId="81" fillId="0" borderId="193" xfId="9" applyFont="1" applyBorder="1" applyAlignment="1">
      <alignment horizontal="center" vertical="center"/>
    </xf>
    <xf numFmtId="0" fontId="81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4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74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74" fillId="0" borderId="77" xfId="0" applyFont="1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 readingOrder="1"/>
    </xf>
    <xf numFmtId="0" fontId="48" fillId="0" borderId="6" xfId="0" applyFont="1" applyBorder="1" applyAlignment="1">
      <alignment horizontal="center" vertical="center" wrapText="1" readingOrder="1"/>
    </xf>
    <xf numFmtId="0" fontId="48" fillId="0" borderId="6" xfId="0" applyFont="1" applyBorder="1" applyAlignment="1">
      <alignment horizontal="center" vertical="center" readingOrder="1"/>
    </xf>
    <xf numFmtId="0" fontId="74" fillId="0" borderId="135" xfId="0" applyFont="1" applyBorder="1" applyAlignment="1">
      <alignment horizontal="center" vertical="center" wrapText="1" readingOrder="1"/>
    </xf>
    <xf numFmtId="0" fontId="48" fillId="0" borderId="135" xfId="0" applyFont="1" applyBorder="1" applyAlignment="1">
      <alignment horizontal="center" vertical="center" wrapText="1" readingOrder="1"/>
    </xf>
    <xf numFmtId="0" fontId="14" fillId="9" borderId="135" xfId="0" applyFont="1" applyFill="1" applyBorder="1" applyAlignment="1">
      <alignment horizontal="center" vertical="center"/>
    </xf>
    <xf numFmtId="0" fontId="14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4" fillId="5" borderId="135" xfId="0" applyFont="1" applyFill="1" applyBorder="1" applyAlignment="1">
      <alignment horizontal="center" vertical="center" wrapText="1"/>
    </xf>
    <xf numFmtId="0" fontId="48" fillId="5" borderId="135" xfId="0" applyFont="1" applyFill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7" fillId="0" borderId="136" xfId="9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86" fillId="0" borderId="101" xfId="9" applyFont="1" applyBorder="1" applyAlignment="1">
      <alignment horizontal="center" vertical="center" wrapText="1"/>
    </xf>
    <xf numFmtId="0" fontId="48" fillId="0" borderId="6" xfId="9" applyFont="1" applyBorder="1" applyAlignment="1">
      <alignment horizontal="center" vertical="center" wrapText="1"/>
    </xf>
    <xf numFmtId="0" fontId="48" fillId="0" borderId="136" xfId="9" applyFont="1" applyBorder="1" applyAlignment="1">
      <alignment horizontal="center" vertical="center"/>
    </xf>
    <xf numFmtId="0" fontId="87" fillId="0" borderId="101" xfId="9" applyFont="1" applyBorder="1" applyAlignment="1">
      <alignment horizontal="center" vertical="center" wrapText="1"/>
    </xf>
    <xf numFmtId="0" fontId="81" fillId="0" borderId="204" xfId="9" applyFont="1" applyBorder="1" applyAlignment="1">
      <alignment horizontal="center" vertical="center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26" fillId="0" borderId="182" xfId="0" applyFont="1" applyBorder="1" applyAlignment="1">
      <alignment horizontal="center" vertical="center" wrapText="1"/>
    </xf>
    <xf numFmtId="0" fontId="26" fillId="0" borderId="196" xfId="0" applyFont="1" applyBorder="1" applyAlignment="1">
      <alignment horizontal="center" vertical="center" wrapText="1"/>
    </xf>
    <xf numFmtId="0" fontId="74" fillId="0" borderId="182" xfId="0" applyFont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42" fillId="6" borderId="194" xfId="2" applyNumberFormat="1" applyFont="1" applyFill="1" applyBorder="1" applyAlignment="1">
      <alignment horizontal="center" vertical="center"/>
    </xf>
    <xf numFmtId="176" fontId="25" fillId="6" borderId="427" xfId="2" applyNumberFormat="1" applyFont="1" applyFill="1" applyBorder="1" applyAlignment="1">
      <alignment horizontal="center" vertical="center"/>
    </xf>
    <xf numFmtId="199" fontId="15" fillId="0" borderId="193" xfId="2" applyNumberFormat="1" applyFont="1" applyBorder="1">
      <alignment vertical="center"/>
    </xf>
    <xf numFmtId="199" fontId="15" fillId="0" borderId="428" xfId="2" applyNumberFormat="1" applyFont="1" applyFill="1" applyBorder="1">
      <alignment vertical="center"/>
    </xf>
    <xf numFmtId="199" fontId="15" fillId="0" borderId="206" xfId="2" applyNumberFormat="1" applyFont="1" applyBorder="1">
      <alignment vertical="center"/>
    </xf>
    <xf numFmtId="199" fontId="15" fillId="0" borderId="429" xfId="2" applyNumberFormat="1" applyFont="1" applyFill="1" applyBorder="1">
      <alignment vertical="center"/>
    </xf>
    <xf numFmtId="199" fontId="15" fillId="0" borderId="430" xfId="2" applyNumberFormat="1" applyFont="1" applyFill="1" applyBorder="1">
      <alignment vertical="center"/>
    </xf>
    <xf numFmtId="199" fontId="15" fillId="0" borderId="193" xfId="2" applyNumberFormat="1" applyFont="1" applyFill="1" applyBorder="1">
      <alignment vertical="center"/>
    </xf>
    <xf numFmtId="199" fontId="15" fillId="0" borderId="194" xfId="2" applyNumberFormat="1" applyFont="1" applyFill="1" applyBorder="1">
      <alignment vertical="center"/>
    </xf>
    <xf numFmtId="199" fontId="15" fillId="0" borderId="427" xfId="2" applyNumberFormat="1" applyFont="1" applyFill="1" applyBorder="1">
      <alignment vertical="center"/>
    </xf>
    <xf numFmtId="176" fontId="14" fillId="6" borderId="106" xfId="2" applyNumberFormat="1" applyFont="1" applyFill="1" applyBorder="1" applyAlignment="1">
      <alignment horizontal="center" vertical="center"/>
    </xf>
    <xf numFmtId="176" fontId="14" fillId="6" borderId="406" xfId="2" applyNumberFormat="1" applyFont="1" applyFill="1" applyBorder="1" applyAlignment="1">
      <alignment horizontal="center" vertical="center"/>
    </xf>
    <xf numFmtId="199" fontId="15" fillId="0" borderId="35" xfId="2" applyNumberFormat="1" applyFont="1" applyBorder="1">
      <alignment vertical="center"/>
    </xf>
    <xf numFmtId="199" fontId="15" fillId="0" borderId="189" xfId="2" applyNumberFormat="1" applyFont="1" applyBorder="1">
      <alignment vertical="center"/>
    </xf>
    <xf numFmtId="199" fontId="15" fillId="0" borderId="38" xfId="2" applyNumberFormat="1" applyFont="1" applyBorder="1">
      <alignment vertical="center"/>
    </xf>
    <xf numFmtId="199" fontId="15" fillId="0" borderId="75" xfId="2" applyNumberFormat="1" applyFont="1" applyBorder="1">
      <alignment vertical="center"/>
    </xf>
    <xf numFmtId="199" fontId="44" fillId="0" borderId="38" xfId="2" applyNumberFormat="1" applyFont="1" applyFill="1" applyBorder="1" applyAlignment="1">
      <alignment vertical="center"/>
    </xf>
    <xf numFmtId="199" fontId="44" fillId="0" borderId="75" xfId="2" applyNumberFormat="1" applyFont="1" applyFill="1" applyBorder="1" applyAlignment="1">
      <alignment vertical="center"/>
    </xf>
    <xf numFmtId="199" fontId="15" fillId="0" borderId="38" xfId="2" applyNumberFormat="1" applyFont="1" applyBorder="1" applyAlignment="1">
      <alignment vertical="center"/>
    </xf>
    <xf numFmtId="199" fontId="15" fillId="0" borderId="75" xfId="2" applyNumberFormat="1" applyFont="1" applyBorder="1" applyAlignment="1">
      <alignment vertical="center"/>
    </xf>
    <xf numFmtId="199" fontId="15" fillId="0" borderId="49" xfId="2" applyNumberFormat="1" applyFont="1" applyBorder="1">
      <alignment vertical="center"/>
    </xf>
    <xf numFmtId="199" fontId="15" fillId="0" borderId="365" xfId="2" applyNumberFormat="1" applyFont="1" applyBorder="1">
      <alignment vertical="center"/>
    </xf>
    <xf numFmtId="199" fontId="15" fillId="0" borderId="429" xfId="2" applyNumberFormat="1" applyFont="1" applyBorder="1" applyAlignment="1">
      <alignment vertical="center"/>
    </xf>
    <xf numFmtId="199" fontId="15" fillId="0" borderId="429" xfId="2" applyNumberFormat="1" applyFont="1" applyBorder="1">
      <alignment vertical="center"/>
    </xf>
    <xf numFmtId="199" fontId="15" fillId="0" borderId="38" xfId="2" applyNumberFormat="1" applyFont="1" applyFill="1" applyBorder="1" applyAlignment="1">
      <alignment vertical="center"/>
    </xf>
    <xf numFmtId="199" fontId="15" fillId="0" borderId="429" xfId="2" applyNumberFormat="1" applyFont="1" applyFill="1" applyBorder="1" applyAlignment="1">
      <alignment vertical="center"/>
    </xf>
    <xf numFmtId="199" fontId="15" fillId="0" borderId="442" xfId="2" applyNumberFormat="1" applyFont="1" applyFill="1" applyBorder="1">
      <alignment vertical="center"/>
    </xf>
    <xf numFmtId="199" fontId="15" fillId="0" borderId="383" xfId="2" applyNumberFormat="1" applyFont="1" applyFill="1" applyBorder="1">
      <alignment vertical="center"/>
    </xf>
    <xf numFmtId="199" fontId="15" fillId="0" borderId="442" xfId="2" applyNumberFormat="1" applyFont="1" applyBorder="1">
      <alignment vertical="center"/>
    </xf>
    <xf numFmtId="199" fontId="15" fillId="0" borderId="383" xfId="2" applyNumberFormat="1" applyFont="1" applyBorder="1">
      <alignment vertical="center"/>
    </xf>
    <xf numFmtId="199" fontId="15" fillId="0" borderId="38" xfId="2" applyNumberFormat="1" applyFont="1" applyFill="1" applyBorder="1">
      <alignment vertical="center"/>
    </xf>
    <xf numFmtId="199" fontId="15" fillId="0" borderId="75" xfId="2" applyNumberFormat="1" applyFont="1" applyFill="1" applyBorder="1">
      <alignment vertical="center"/>
    </xf>
    <xf numFmtId="199" fontId="15" fillId="0" borderId="443" xfId="2" applyNumberFormat="1" applyFont="1" applyBorder="1">
      <alignment vertical="center"/>
    </xf>
    <xf numFmtId="199" fontId="15" fillId="0" borderId="224" xfId="2" applyNumberFormat="1" applyFont="1" applyBorder="1">
      <alignment vertical="center"/>
    </xf>
    <xf numFmtId="199" fontId="15" fillId="0" borderId="49" xfId="2" applyNumberFormat="1" applyFont="1" applyBorder="1" applyAlignment="1">
      <alignment vertical="center"/>
    </xf>
    <xf numFmtId="199" fontId="15" fillId="0" borderId="365" xfId="2" applyNumberFormat="1" applyFont="1" applyBorder="1" applyAlignment="1">
      <alignment vertical="center"/>
    </xf>
    <xf numFmtId="199" fontId="15" fillId="0" borderId="45" xfId="2" applyNumberFormat="1" applyFont="1" applyBorder="1">
      <alignment vertical="center"/>
    </xf>
    <xf numFmtId="199" fontId="15" fillId="0" borderId="92" xfId="2" applyNumberFormat="1" applyFont="1" applyBorder="1">
      <alignment vertical="center"/>
    </xf>
    <xf numFmtId="199" fontId="15" fillId="0" borderId="55" xfId="2" applyNumberFormat="1" applyFont="1" applyBorder="1" applyAlignment="1">
      <alignment vertical="center"/>
    </xf>
    <xf numFmtId="199" fontId="15" fillId="0" borderId="228" xfId="2" applyNumberFormat="1" applyFont="1" applyBorder="1" applyAlignment="1">
      <alignment vertical="center"/>
    </xf>
    <xf numFmtId="199" fontId="15" fillId="0" borderId="199" xfId="2" applyNumberFormat="1" applyFont="1" applyBorder="1" applyAlignment="1">
      <alignment vertical="center"/>
    </xf>
    <xf numFmtId="199" fontId="15" fillId="0" borderId="385" xfId="2" applyNumberFormat="1" applyFont="1" applyBorder="1" applyAlignment="1">
      <alignment vertical="center"/>
    </xf>
    <xf numFmtId="199" fontId="15" fillId="0" borderId="45" xfId="2" applyNumberFormat="1" applyFont="1" applyBorder="1" applyAlignment="1">
      <alignment vertical="center"/>
    </xf>
    <xf numFmtId="199" fontId="15" fillId="0" borderId="92" xfId="2" applyNumberFormat="1" applyFont="1" applyBorder="1" applyAlignment="1">
      <alignment vertical="center"/>
    </xf>
    <xf numFmtId="199" fontId="15" fillId="0" borderId="106" xfId="2" applyNumberFormat="1" applyFont="1" applyBorder="1" applyAlignment="1">
      <alignment vertical="center"/>
    </xf>
    <xf numFmtId="199" fontId="15" fillId="0" borderId="406" xfId="2" applyNumberFormat="1" applyFont="1" applyBorder="1" applyAlignment="1">
      <alignment vertical="center"/>
    </xf>
    <xf numFmtId="199" fontId="15" fillId="0" borderId="444" xfId="2" applyNumberFormat="1" applyFont="1" applyBorder="1" applyAlignment="1">
      <alignment vertical="center"/>
    </xf>
    <xf numFmtId="199" fontId="15" fillId="0" borderId="407" xfId="2" applyNumberFormat="1" applyFont="1" applyBorder="1" applyAlignment="1">
      <alignment vertical="center"/>
    </xf>
    <xf numFmtId="199" fontId="15" fillId="0" borderId="106" xfId="2" applyNumberFormat="1" applyFont="1" applyFill="1" applyBorder="1">
      <alignment vertical="center"/>
    </xf>
    <xf numFmtId="199" fontId="15" fillId="0" borderId="406" xfId="2" applyNumberFormat="1" applyFont="1" applyFill="1" applyBorder="1">
      <alignment vertical="center"/>
    </xf>
    <xf numFmtId="199" fontId="15" fillId="5" borderId="445" xfId="2" applyNumberFormat="1" applyFont="1" applyFill="1" applyBorder="1">
      <alignment vertical="center"/>
    </xf>
    <xf numFmtId="199" fontId="15" fillId="5" borderId="384" xfId="2" applyNumberFormat="1" applyFont="1" applyFill="1" applyBorder="1">
      <alignment vertical="center"/>
    </xf>
    <xf numFmtId="199" fontId="15" fillId="5" borderId="443" xfId="2" applyNumberFormat="1" applyFont="1" applyFill="1" applyBorder="1">
      <alignment vertical="center"/>
    </xf>
    <xf numFmtId="199" fontId="15" fillId="5" borderId="224" xfId="2" applyNumberFormat="1" applyFont="1" applyFill="1" applyBorder="1">
      <alignment vertical="center"/>
    </xf>
    <xf numFmtId="199" fontId="15" fillId="0" borderId="445" xfId="2" applyNumberFormat="1" applyFont="1" applyBorder="1">
      <alignment vertical="center"/>
    </xf>
    <xf numFmtId="199" fontId="15" fillId="0" borderId="384" xfId="2" applyNumberFormat="1" applyFont="1" applyBorder="1">
      <alignment vertical="center"/>
    </xf>
    <xf numFmtId="0" fontId="4" fillId="0" borderId="247" xfId="9" applyFont="1" applyBorder="1" applyAlignment="1">
      <alignment horizontal="center" vertical="center" wrapText="1"/>
    </xf>
    <xf numFmtId="199" fontId="15" fillId="0" borderId="193" xfId="2" applyNumberFormat="1" applyFont="1" applyBorder="1" applyAlignment="1">
      <alignment vertical="center"/>
    </xf>
    <xf numFmtId="0" fontId="4" fillId="0" borderId="418" xfId="9" applyFont="1" applyBorder="1">
      <alignment vertical="center"/>
    </xf>
    <xf numFmtId="0" fontId="4" fillId="0" borderId="422" xfId="9" applyFont="1" applyBorder="1">
      <alignment vertical="center"/>
    </xf>
    <xf numFmtId="0" fontId="4" fillId="0" borderId="248" xfId="9" applyFont="1" applyBorder="1" applyAlignment="1">
      <alignment horizontal="center" vertical="center" wrapText="1"/>
    </xf>
    <xf numFmtId="199" fontId="15" fillId="0" borderId="194" xfId="2" applyNumberFormat="1" applyFont="1" applyBorder="1" applyAlignment="1">
      <alignment vertical="center"/>
    </xf>
    <xf numFmtId="0" fontId="4" fillId="0" borderId="421" xfId="9" applyFont="1" applyBorder="1">
      <alignment vertical="center"/>
    </xf>
    <xf numFmtId="0" fontId="4" fillId="0" borderId="420" xfId="9" applyFont="1" applyBorder="1">
      <alignment vertical="center"/>
    </xf>
    <xf numFmtId="0" fontId="4" fillId="0" borderId="246" xfId="9" applyFont="1" applyBorder="1" applyAlignment="1">
      <alignment horizontal="center" vertical="center" wrapText="1"/>
    </xf>
    <xf numFmtId="0" fontId="4" fillId="0" borderId="423" xfId="9" applyFont="1" applyBorder="1">
      <alignment vertical="center"/>
    </xf>
    <xf numFmtId="0" fontId="4" fillId="0" borderId="424" xfId="9" applyFont="1" applyBorder="1">
      <alignment vertical="center"/>
    </xf>
    <xf numFmtId="0" fontId="4" fillId="0" borderId="394" xfId="9" applyFont="1" applyBorder="1">
      <alignment vertical="center"/>
    </xf>
    <xf numFmtId="0" fontId="4" fillId="0" borderId="249" xfId="9" applyFont="1" applyBorder="1" applyAlignment="1">
      <alignment horizontal="center" vertical="center" wrapText="1"/>
    </xf>
    <xf numFmtId="0" fontId="4" fillId="0" borderId="250" xfId="9" applyFont="1" applyBorder="1" applyAlignment="1">
      <alignment horizontal="center" vertical="center" wrapText="1"/>
    </xf>
    <xf numFmtId="199" fontId="15" fillId="0" borderId="201" xfId="2" applyNumberFormat="1" applyFont="1" applyBorder="1" applyAlignment="1">
      <alignment vertical="center"/>
    </xf>
    <xf numFmtId="0" fontId="4" fillId="0" borderId="101" xfId="9" applyFont="1" applyBorder="1" applyAlignment="1">
      <alignment horizontal="center" vertical="center" wrapText="1"/>
    </xf>
    <xf numFmtId="0" fontId="74" fillId="0" borderId="101" xfId="9" applyFont="1" applyBorder="1" applyAlignment="1">
      <alignment horizontal="center" vertical="center" wrapText="1"/>
    </xf>
    <xf numFmtId="0" fontId="48" fillId="0" borderId="101" xfId="9" applyFont="1" applyBorder="1" applyAlignment="1">
      <alignment horizontal="center" vertical="center" wrapText="1"/>
    </xf>
    <xf numFmtId="0" fontId="4" fillId="0" borderId="77" xfId="9" applyFont="1" applyBorder="1" applyAlignment="1">
      <alignment horizontal="center" vertical="center" wrapText="1"/>
    </xf>
    <xf numFmtId="0" fontId="74" fillId="0" borderId="77" xfId="9" applyFont="1" applyBorder="1" applyAlignment="1">
      <alignment horizontal="center" vertical="center" wrapText="1"/>
    </xf>
    <xf numFmtId="0" fontId="48" fillId="0" borderId="77" xfId="9" applyFont="1" applyBorder="1" applyAlignment="1">
      <alignment horizontal="center" vertical="center" wrapText="1"/>
    </xf>
    <xf numFmtId="0" fontId="4" fillId="6" borderId="102" xfId="9" applyFont="1" applyFill="1" applyBorder="1" applyAlignment="1">
      <alignment horizontal="center" vertical="center" wrapText="1"/>
    </xf>
    <xf numFmtId="199" fontId="15" fillId="0" borderId="200" xfId="2" applyNumberFormat="1" applyFont="1" applyBorder="1" applyAlignment="1">
      <alignment vertical="center"/>
    </xf>
    <xf numFmtId="0" fontId="4" fillId="0" borderId="245" xfId="9" applyFont="1" applyBorder="1" applyAlignment="1">
      <alignment horizontal="center" vertical="center" wrapText="1"/>
    </xf>
    <xf numFmtId="199" fontId="15" fillId="0" borderId="192" xfId="2" applyNumberFormat="1" applyFont="1" applyBorder="1" applyAlignment="1">
      <alignment vertical="center"/>
    </xf>
    <xf numFmtId="199" fontId="15" fillId="0" borderId="189" xfId="2" applyNumberFormat="1" applyFont="1" applyBorder="1" applyAlignment="1">
      <alignment vertical="center"/>
    </xf>
    <xf numFmtId="199" fontId="15" fillId="0" borderId="35" xfId="2" applyNumberFormat="1" applyFont="1" applyFill="1" applyBorder="1">
      <alignment vertical="center"/>
    </xf>
    <xf numFmtId="199" fontId="15" fillId="0" borderId="189" xfId="2" applyNumberFormat="1" applyFont="1" applyFill="1" applyBorder="1">
      <alignment vertical="center"/>
    </xf>
    <xf numFmtId="199" fontId="15" fillId="0" borderId="49" xfId="2" applyNumberFormat="1" applyFont="1" applyFill="1" applyBorder="1">
      <alignment vertical="center"/>
    </xf>
    <xf numFmtId="199" fontId="15" fillId="0" borderId="365" xfId="2" applyNumberFormat="1" applyFont="1" applyFill="1" applyBorder="1">
      <alignment vertical="center"/>
    </xf>
    <xf numFmtId="199" fontId="15" fillId="0" borderId="75" xfId="2" applyNumberFormat="1" applyFont="1" applyFill="1" applyBorder="1" applyAlignment="1">
      <alignment vertical="center"/>
    </xf>
    <xf numFmtId="199" fontId="15" fillId="0" borderId="49" xfId="2" applyNumberFormat="1" applyFont="1" applyFill="1" applyBorder="1" applyAlignment="1">
      <alignment vertical="center"/>
    </xf>
    <xf numFmtId="199" fontId="15" fillId="0" borderId="365" xfId="2" applyNumberFormat="1" applyFont="1" applyFill="1" applyBorder="1" applyAlignment="1">
      <alignment vertical="center"/>
    </xf>
    <xf numFmtId="199" fontId="15" fillId="0" borderId="443" xfId="2" applyNumberFormat="1" applyFont="1" applyFill="1" applyBorder="1">
      <alignment vertical="center"/>
    </xf>
    <xf numFmtId="199" fontId="15" fillId="0" borderId="224" xfId="2" applyNumberFormat="1" applyFont="1" applyFill="1" applyBorder="1">
      <alignment vertical="center"/>
    </xf>
    <xf numFmtId="199" fontId="15" fillId="0" borderId="104" xfId="2" applyNumberFormat="1" applyFont="1" applyBorder="1">
      <alignment vertical="center"/>
    </xf>
    <xf numFmtId="199" fontId="15" fillId="0" borderId="388" xfId="2" applyNumberFormat="1" applyFont="1" applyBorder="1">
      <alignment vertical="center"/>
    </xf>
    <xf numFmtId="199" fontId="15" fillId="0" borderId="55" xfId="2" applyNumberFormat="1" applyFont="1" applyBorder="1">
      <alignment vertical="center"/>
    </xf>
    <xf numFmtId="199" fontId="15" fillId="0" borderId="228" xfId="2" applyNumberFormat="1" applyFont="1" applyBorder="1">
      <alignment vertical="center"/>
    </xf>
    <xf numFmtId="0" fontId="4" fillId="0" borderId="34" xfId="9" applyFont="1" applyBorder="1">
      <alignment vertical="center"/>
    </xf>
    <xf numFmtId="0" fontId="4" fillId="0" borderId="6" xfId="9" applyFont="1" applyBorder="1" applyAlignment="1">
      <alignment horizontal="center" vertical="center" wrapText="1"/>
    </xf>
    <xf numFmtId="0" fontId="4" fillId="0" borderId="37" xfId="9" applyFont="1" applyBorder="1">
      <alignment vertical="center"/>
    </xf>
    <xf numFmtId="0" fontId="4" fillId="0" borderId="182" xfId="9" applyFont="1" applyBorder="1" applyAlignment="1">
      <alignment horizontal="center" vertical="center" wrapText="1"/>
    </xf>
    <xf numFmtId="176" fontId="15" fillId="0" borderId="228" xfId="10" applyNumberFormat="1" applyFont="1" applyBorder="1" applyAlignment="1">
      <alignment vertical="center"/>
    </xf>
    <xf numFmtId="176" fontId="15" fillId="0" borderId="92" xfId="10" applyNumberFormat="1" applyFont="1" applyBorder="1" applyAlignment="1">
      <alignment vertical="center"/>
    </xf>
    <xf numFmtId="0" fontId="4" fillId="0" borderId="196" xfId="9" applyFont="1" applyBorder="1" applyAlignment="1">
      <alignment horizontal="center" vertical="center" wrapText="1"/>
    </xf>
    <xf numFmtId="0" fontId="4" fillId="0" borderId="136" xfId="9" applyFont="1" applyBorder="1" applyAlignment="1">
      <alignment horizontal="center" vertical="center" wrapText="1"/>
    </xf>
    <xf numFmtId="176" fontId="15" fillId="0" borderId="406" xfId="10" applyNumberFormat="1" applyFont="1" applyBorder="1" applyAlignment="1">
      <alignment vertical="center"/>
    </xf>
    <xf numFmtId="0" fontId="4" fillId="0" borderId="48" xfId="9" applyFont="1" applyBorder="1">
      <alignment vertical="center"/>
    </xf>
    <xf numFmtId="0" fontId="4" fillId="0" borderId="102" xfId="9" applyFont="1" applyBorder="1" applyAlignment="1">
      <alignment horizontal="center" vertical="center" wrapText="1"/>
    </xf>
    <xf numFmtId="176" fontId="14" fillId="6" borderId="202" xfId="2" applyNumberFormat="1" applyFont="1" applyFill="1" applyBorder="1" applyAlignment="1">
      <alignment horizontal="center" vertical="center"/>
    </xf>
    <xf numFmtId="176" fontId="14" fillId="6" borderId="433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1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1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5" fillId="0" borderId="205" xfId="2" applyNumberFormat="1" applyFont="1" applyBorder="1">
      <alignment vertical="center"/>
    </xf>
    <xf numFmtId="199" fontId="15" fillId="0" borderId="428" xfId="2" applyNumberFormat="1" applyFont="1" applyBorder="1">
      <alignment vertical="center"/>
    </xf>
    <xf numFmtId="0" fontId="26" fillId="0" borderId="391" xfId="0" applyFont="1" applyBorder="1" applyAlignment="1">
      <alignment horizontal="left" vertical="center"/>
    </xf>
    <xf numFmtId="200" fontId="15" fillId="11" borderId="378" xfId="2" applyNumberFormat="1" applyFont="1" applyFill="1" applyBorder="1">
      <alignment vertical="center"/>
    </xf>
    <xf numFmtId="0" fontId="26" fillId="0" borderId="37" xfId="0" quotePrefix="1" applyFont="1" applyBorder="1" applyAlignment="1">
      <alignment horizontal="left" vertical="center"/>
    </xf>
    <xf numFmtId="0" fontId="82" fillId="0" borderId="37" xfId="0" quotePrefix="1" applyFont="1" applyBorder="1" applyAlignment="1">
      <alignment horizontal="left" vertical="center"/>
    </xf>
    <xf numFmtId="0" fontId="82" fillId="0" borderId="37" xfId="0" applyFont="1" applyBorder="1" applyAlignment="1">
      <alignment horizontal="left" vertical="center"/>
    </xf>
    <xf numFmtId="199" fontId="15" fillId="0" borderId="427" xfId="2" applyNumberFormat="1" applyFont="1" applyBorder="1">
      <alignment vertical="center"/>
    </xf>
    <xf numFmtId="200" fontId="15" fillId="11" borderId="398" xfId="2" applyNumberFormat="1" applyFont="1" applyFill="1" applyBorder="1">
      <alignment vertical="center"/>
    </xf>
    <xf numFmtId="200" fontId="15" fillId="11" borderId="400" xfId="2" applyNumberFormat="1" applyFont="1" applyFill="1" applyBorder="1">
      <alignment vertical="center"/>
    </xf>
    <xf numFmtId="199" fontId="15" fillId="0" borderId="429" xfId="2" applyNumberFormat="1" applyFont="1" applyBorder="1" applyAlignment="1">
      <alignment horizontal="center" vertical="center"/>
    </xf>
    <xf numFmtId="200" fontId="15" fillId="11" borderId="378" xfId="2" applyNumberFormat="1" applyFont="1" applyFill="1" applyBorder="1" applyAlignment="1">
      <alignment horizontal="center" vertical="center"/>
    </xf>
    <xf numFmtId="199" fontId="15" fillId="0" borderId="451" xfId="2" applyNumberFormat="1" applyFont="1" applyBorder="1">
      <alignment vertical="center"/>
    </xf>
    <xf numFmtId="199" fontId="15" fillId="0" borderId="201" xfId="2" applyNumberFormat="1" applyFont="1" applyBorder="1">
      <alignment vertical="center"/>
    </xf>
    <xf numFmtId="199" fontId="15" fillId="0" borderId="271" xfId="2" applyNumberFormat="1" applyFont="1" applyBorder="1">
      <alignment vertical="center"/>
    </xf>
    <xf numFmtId="199" fontId="15" fillId="0" borderId="193" xfId="2" applyNumberFormat="1" applyFont="1" applyBorder="1" applyAlignment="1">
      <alignment horizontal="right" vertical="center"/>
    </xf>
    <xf numFmtId="199" fontId="15" fillId="0" borderId="207" xfId="2" applyNumberFormat="1" applyFont="1" applyBorder="1">
      <alignment vertical="center"/>
    </xf>
    <xf numFmtId="199" fontId="15" fillId="0" borderId="452" xfId="2" applyNumberFormat="1" applyFont="1" applyBorder="1">
      <alignment vertical="center"/>
    </xf>
    <xf numFmtId="200" fontId="15" fillId="11" borderId="401" xfId="2" applyNumberFormat="1" applyFont="1" applyFill="1" applyBorder="1">
      <alignment vertical="center"/>
    </xf>
    <xf numFmtId="0" fontId="26" fillId="0" borderId="392" xfId="0" applyFont="1" applyBorder="1" applyAlignment="1">
      <alignment horizontal="left" vertical="center"/>
    </xf>
    <xf numFmtId="199" fontId="98" fillId="0" borderId="429" xfId="2" applyNumberFormat="1" applyFont="1" applyBorder="1">
      <alignment vertical="center"/>
    </xf>
    <xf numFmtId="200" fontId="15" fillId="11" borderId="402" xfId="2" applyNumberFormat="1" applyFont="1" applyFill="1" applyBorder="1">
      <alignment vertical="center"/>
    </xf>
    <xf numFmtId="0" fontId="26" fillId="0" borderId="393" xfId="0" applyFont="1" applyBorder="1" applyAlignment="1">
      <alignment horizontal="left" vertical="center"/>
    </xf>
    <xf numFmtId="199" fontId="15" fillId="0" borderId="430" xfId="2" applyNumberFormat="1" applyFont="1" applyBorder="1">
      <alignment vertical="center"/>
    </xf>
    <xf numFmtId="200" fontId="15" fillId="11" borderId="375" xfId="2" applyNumberFormat="1" applyFont="1" applyFill="1" applyBorder="1">
      <alignment vertical="center"/>
    </xf>
    <xf numFmtId="200" fontId="15" fillId="11" borderId="379" xfId="2" applyNumberFormat="1" applyFont="1" applyFill="1" applyBorder="1">
      <alignment vertical="center"/>
    </xf>
    <xf numFmtId="200" fontId="15" fillId="11" borderId="399" xfId="2" applyNumberFormat="1" applyFont="1" applyFill="1" applyBorder="1">
      <alignment vertical="center"/>
    </xf>
    <xf numFmtId="199" fontId="98" fillId="0" borderId="193" xfId="2" applyNumberFormat="1" applyFont="1" applyBorder="1">
      <alignment vertical="center"/>
    </xf>
    <xf numFmtId="200" fontId="15" fillId="11" borderId="379" xfId="2" applyNumberFormat="1" applyFont="1" applyFill="1" applyBorder="1" applyAlignment="1">
      <alignment vertical="center"/>
    </xf>
    <xf numFmtId="0" fontId="94" fillId="0" borderId="54" xfId="0" applyFont="1" applyBorder="1" applyAlignment="1">
      <alignment horizontal="left" vertical="center"/>
    </xf>
    <xf numFmtId="199" fontId="15" fillId="0" borderId="448" xfId="2" applyNumberFormat="1" applyFont="1" applyBorder="1">
      <alignment vertical="center"/>
    </xf>
    <xf numFmtId="199" fontId="15" fillId="0" borderId="441" xfId="2" applyNumberFormat="1" applyFont="1" applyBorder="1">
      <alignment vertical="center"/>
    </xf>
    <xf numFmtId="0" fontId="26" fillId="0" borderId="389" xfId="0" applyFont="1" applyBorder="1" applyAlignment="1">
      <alignment horizontal="left" vertical="center"/>
    </xf>
    <xf numFmtId="199" fontId="15" fillId="0" borderId="449" xfId="2" applyNumberFormat="1" applyFont="1" applyBorder="1">
      <alignment vertical="center"/>
    </xf>
    <xf numFmtId="200" fontId="15" fillId="11" borderId="397" xfId="2" applyNumberFormat="1" applyFont="1" applyFill="1" applyBorder="1">
      <alignment vertical="center"/>
    </xf>
    <xf numFmtId="199" fontId="15" fillId="0" borderId="206" xfId="2" applyNumberFormat="1" applyFont="1" applyFill="1" applyBorder="1">
      <alignment vertical="center"/>
    </xf>
    <xf numFmtId="199" fontId="15" fillId="0" borderId="194" xfId="2" applyNumberFormat="1" applyFont="1" applyBorder="1">
      <alignment vertical="center"/>
    </xf>
    <xf numFmtId="199" fontId="98" fillId="0" borderId="427" xfId="2" applyNumberFormat="1" applyFont="1" applyBorder="1">
      <alignment vertical="center"/>
    </xf>
    <xf numFmtId="199" fontId="15" fillId="0" borderId="453" xfId="2" applyNumberFormat="1" applyFont="1" applyBorder="1">
      <alignment vertical="center"/>
    </xf>
    <xf numFmtId="199" fontId="15" fillId="0" borderId="454" xfId="2" applyNumberFormat="1" applyFont="1" applyBorder="1">
      <alignment vertical="center"/>
    </xf>
    <xf numFmtId="200" fontId="15" fillId="11" borderId="403" xfId="2" applyNumberFormat="1" applyFont="1" applyFill="1" applyBorder="1">
      <alignment vertical="center"/>
    </xf>
    <xf numFmtId="0" fontId="0" fillId="0" borderId="395" xfId="0" applyBorder="1" applyAlignment="1">
      <alignment horizontal="left" vertical="center"/>
    </xf>
    <xf numFmtId="200" fontId="15" fillId="11" borderId="404" xfId="2" applyNumberFormat="1" applyFont="1" applyFill="1" applyBorder="1">
      <alignment vertical="center"/>
    </xf>
    <xf numFmtId="0" fontId="0" fillId="0" borderId="396" xfId="0" applyBorder="1" applyAlignment="1">
      <alignment horizontal="left" vertical="center"/>
    </xf>
    <xf numFmtId="199" fontId="15" fillId="0" borderId="455" xfId="2" applyNumberFormat="1" applyFont="1" applyBorder="1">
      <alignment vertical="center"/>
    </xf>
    <xf numFmtId="199" fontId="15" fillId="0" borderId="456" xfId="2" applyNumberFormat="1" applyFont="1" applyBorder="1">
      <alignment vertical="center"/>
    </xf>
    <xf numFmtId="199" fontId="15" fillId="0" borderId="426" xfId="2" applyNumberFormat="1" applyFont="1" applyBorder="1">
      <alignment vertical="center"/>
    </xf>
    <xf numFmtId="0" fontId="26" fillId="0" borderId="390" xfId="0" applyFont="1" applyBorder="1" applyAlignment="1">
      <alignment horizontal="left" vertical="center"/>
    </xf>
    <xf numFmtId="176" fontId="15" fillId="0" borderId="189" xfId="2" applyNumberFormat="1" applyFont="1" applyBorder="1" applyAlignment="1">
      <alignment horizontal="center" vertical="center"/>
    </xf>
    <xf numFmtId="199" fontId="15" fillId="0" borderId="192" xfId="2" applyNumberFormat="1" applyFont="1" applyBorder="1">
      <alignment vertical="center"/>
    </xf>
    <xf numFmtId="199" fontId="98" fillId="0" borderId="441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5" fillId="0" borderId="365" xfId="2" applyNumberFormat="1" applyFont="1" applyBorder="1" applyAlignment="1">
      <alignment vertical="center"/>
    </xf>
    <xf numFmtId="176" fontId="15" fillId="0" borderId="189" xfId="2" applyNumberFormat="1" applyFont="1" applyBorder="1" applyAlignment="1">
      <alignment vertical="center"/>
    </xf>
    <xf numFmtId="199" fontId="15" fillId="0" borderId="200" xfId="2" applyNumberFormat="1" applyFont="1" applyBorder="1">
      <alignment vertical="center"/>
    </xf>
    <xf numFmtId="199" fontId="98" fillId="0" borderId="450" xfId="2" applyNumberFormat="1" applyFont="1" applyBorder="1">
      <alignment vertical="center"/>
    </xf>
    <xf numFmtId="199" fontId="15" fillId="0" borderId="457" xfId="2" applyNumberFormat="1" applyFont="1" applyBorder="1">
      <alignment vertical="center"/>
    </xf>
    <xf numFmtId="199" fontId="15" fillId="0" borderId="458" xfId="2" applyNumberFormat="1" applyFont="1" applyBorder="1">
      <alignment vertical="center"/>
    </xf>
    <xf numFmtId="200" fontId="15" fillId="11" borderId="459" xfId="2" applyNumberFormat="1" applyFont="1" applyFill="1" applyBorder="1">
      <alignment vertical="center"/>
    </xf>
    <xf numFmtId="199" fontId="15" fillId="0" borderId="460" xfId="2" applyNumberFormat="1" applyFont="1" applyBorder="1">
      <alignment vertical="center"/>
    </xf>
    <xf numFmtId="199" fontId="15" fillId="0" borderId="461" xfId="2" applyNumberFormat="1" applyFont="1" applyBorder="1">
      <alignment vertical="center"/>
    </xf>
    <xf numFmtId="200" fontId="15" fillId="11" borderId="462" xfId="2" applyNumberFormat="1" applyFont="1" applyFill="1" applyBorder="1">
      <alignment vertical="center"/>
    </xf>
    <xf numFmtId="199" fontId="15" fillId="0" borderId="463" xfId="2" applyNumberFormat="1" applyFont="1" applyBorder="1">
      <alignment vertical="center"/>
    </xf>
    <xf numFmtId="199" fontId="15" fillId="0" borderId="464" xfId="2" applyNumberFormat="1" applyFont="1" applyBorder="1">
      <alignment vertical="center"/>
    </xf>
    <xf numFmtId="200" fontId="15" fillId="11" borderId="465" xfId="2" applyNumberFormat="1" applyFont="1" applyFill="1" applyBorder="1">
      <alignment vertical="center"/>
    </xf>
    <xf numFmtId="199" fontId="15" fillId="0" borderId="434" xfId="2" applyNumberFormat="1" applyFont="1" applyBorder="1">
      <alignment vertical="center"/>
    </xf>
    <xf numFmtId="199" fontId="15" fillId="0" borderId="429" xfId="2" applyNumberFormat="1" applyFont="1" applyBorder="1" applyAlignment="1">
      <alignment vertical="center" wrapText="1"/>
    </xf>
    <xf numFmtId="200" fontId="15" fillId="11" borderId="378" xfId="2" applyNumberFormat="1" applyFont="1" applyFill="1" applyBorder="1" applyAlignment="1">
      <alignment vertical="center" wrapText="1"/>
    </xf>
    <xf numFmtId="176" fontId="15" fillId="0" borderId="388" xfId="2" applyNumberFormat="1" applyFont="1" applyBorder="1" applyAlignment="1">
      <alignment vertical="center"/>
    </xf>
    <xf numFmtId="199" fontId="15" fillId="0" borderId="364" xfId="2" applyNumberFormat="1" applyFont="1" applyBorder="1">
      <alignment vertical="center"/>
    </xf>
    <xf numFmtId="200" fontId="15" fillId="11" borderId="405" xfId="2" applyNumberFormat="1" applyFont="1" applyFill="1" applyBorder="1">
      <alignment vertical="center"/>
    </xf>
    <xf numFmtId="0" fontId="26" fillId="0" borderId="105" xfId="0" applyFont="1" applyBorder="1" applyAlignment="1">
      <alignment horizontal="left" vertical="center"/>
    </xf>
    <xf numFmtId="0" fontId="57" fillId="0" borderId="218" xfId="0" applyFont="1" applyBorder="1">
      <alignment vertical="center"/>
    </xf>
    <xf numFmtId="0" fontId="57" fillId="0" borderId="126" xfId="0" applyFont="1" applyBorder="1">
      <alignment vertical="center"/>
    </xf>
    <xf numFmtId="0" fontId="57" fillId="0" borderId="174" xfId="0" applyFont="1" applyBorder="1">
      <alignment vertical="center"/>
    </xf>
    <xf numFmtId="0" fontId="57" fillId="4" borderId="115" xfId="0" applyFont="1" applyFill="1" applyBorder="1">
      <alignment vertical="center"/>
    </xf>
    <xf numFmtId="0" fontId="57" fillId="0" borderId="115" xfId="0" applyFont="1" applyBorder="1" applyAlignment="1">
      <alignment vertical="center" wrapText="1"/>
    </xf>
    <xf numFmtId="0" fontId="66" fillId="6" borderId="174" xfId="0" applyFont="1" applyFill="1" applyBorder="1" applyAlignment="1">
      <alignment horizontal="center" vertical="center" wrapText="1"/>
    </xf>
    <xf numFmtId="0" fontId="66" fillId="7" borderId="220" xfId="0" applyFont="1" applyFill="1" applyBorder="1" applyAlignment="1">
      <alignment horizontal="center" vertical="center" wrapText="1"/>
    </xf>
    <xf numFmtId="176" fontId="14" fillId="24" borderId="374" xfId="2" applyNumberFormat="1" applyFont="1" applyFill="1" applyBorder="1" applyAlignment="1">
      <alignment vertical="center" wrapText="1"/>
    </xf>
    <xf numFmtId="0" fontId="57" fillId="0" borderId="222" xfId="0" applyFont="1" applyBorder="1">
      <alignment vertical="center"/>
    </xf>
    <xf numFmtId="0" fontId="57" fillId="0" borderId="175" xfId="0" applyFont="1" applyBorder="1">
      <alignment vertical="center"/>
    </xf>
    <xf numFmtId="0" fontId="57" fillId="0" borderId="173" xfId="0" applyFont="1" applyBorder="1">
      <alignment vertical="center"/>
    </xf>
    <xf numFmtId="199" fontId="57" fillId="6" borderId="96" xfId="2" applyNumberFormat="1" applyFont="1" applyFill="1" applyBorder="1" applyAlignment="1" applyProtection="1">
      <alignment horizontal="center" vertical="center"/>
    </xf>
    <xf numFmtId="199" fontId="57" fillId="7" borderId="150" xfId="2" applyNumberFormat="1" applyFont="1" applyFill="1" applyBorder="1" applyAlignment="1" applyProtection="1">
      <alignment horizontal="center" vertical="center"/>
    </xf>
    <xf numFmtId="199" fontId="57" fillId="31" borderId="377" xfId="2" applyNumberFormat="1" applyFont="1" applyFill="1" applyBorder="1" applyAlignment="1" applyProtection="1">
      <alignment horizontal="center" vertical="center"/>
    </xf>
    <xf numFmtId="199" fontId="57" fillId="6" borderId="94" xfId="2" applyNumberFormat="1" applyFont="1" applyFill="1" applyBorder="1" applyAlignment="1" applyProtection="1">
      <alignment horizontal="center" vertical="center"/>
    </xf>
    <xf numFmtId="199" fontId="57" fillId="7" borderId="75" xfId="2" applyNumberFormat="1" applyFont="1" applyFill="1" applyBorder="1" applyAlignment="1" applyProtection="1">
      <alignment horizontal="center" vertical="center"/>
    </xf>
    <xf numFmtId="199" fontId="57" fillId="31" borderId="378" xfId="2" applyNumberFormat="1" applyFont="1" applyFill="1" applyBorder="1" applyAlignment="1" applyProtection="1">
      <alignment horizontal="center" vertical="center"/>
    </xf>
    <xf numFmtId="0" fontId="57" fillId="0" borderId="125" xfId="0" applyFont="1" applyBorder="1">
      <alignment vertical="center"/>
    </xf>
    <xf numFmtId="199" fontId="57" fillId="12" borderId="75" xfId="2" applyNumberFormat="1" applyFont="1" applyFill="1" applyBorder="1" applyAlignment="1" applyProtection="1">
      <alignment horizontal="center" vertical="center"/>
    </xf>
    <xf numFmtId="199" fontId="57" fillId="12" borderId="378" xfId="2" applyNumberFormat="1" applyFont="1" applyFill="1" applyBorder="1" applyAlignment="1" applyProtection="1">
      <alignment horizontal="center" vertical="center"/>
    </xf>
    <xf numFmtId="0" fontId="57" fillId="0" borderId="102" xfId="0" applyFont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199" fontId="57" fillId="24" borderId="378" xfId="2" applyNumberFormat="1" applyFont="1" applyFill="1" applyBorder="1" applyAlignment="1" applyProtection="1">
      <alignment horizontal="center" vertical="center"/>
    </xf>
    <xf numFmtId="0" fontId="59" fillId="6" borderId="468" xfId="0" applyFont="1" applyFill="1" applyBorder="1" applyAlignment="1">
      <alignment vertical="center" wrapText="1"/>
    </xf>
    <xf numFmtId="0" fontId="58" fillId="7" borderId="468" xfId="0" applyFont="1" applyFill="1" applyBorder="1" applyAlignment="1">
      <alignment vertical="center" wrapText="1"/>
    </xf>
    <xf numFmtId="0" fontId="57" fillId="0" borderId="176" xfId="0" applyFont="1" applyBorder="1">
      <alignment vertical="center"/>
    </xf>
    <xf numFmtId="199" fontId="57" fillId="0" borderId="469" xfId="2" applyNumberFormat="1" applyFont="1" applyFill="1" applyBorder="1" applyAlignment="1" applyProtection="1">
      <alignment horizontal="center" vertical="center"/>
    </xf>
    <xf numFmtId="199" fontId="57" fillId="0" borderId="75" xfId="2" applyNumberFormat="1" applyFont="1" applyFill="1" applyBorder="1" applyAlignment="1" applyProtection="1">
      <alignment horizontal="center" vertical="center"/>
    </xf>
    <xf numFmtId="199" fontId="57" fillId="0" borderId="378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>
      <alignment vertical="center"/>
    </xf>
    <xf numFmtId="0" fontId="59" fillId="6" borderId="101" xfId="0" applyFont="1" applyFill="1" applyBorder="1">
      <alignment vertical="center"/>
    </xf>
    <xf numFmtId="199" fontId="57" fillId="6" borderId="469" xfId="2" applyNumberFormat="1" applyFont="1" applyFill="1" applyBorder="1" applyAlignment="1" applyProtection="1">
      <alignment horizontal="center" vertical="center"/>
    </xf>
    <xf numFmtId="0" fontId="57" fillId="0" borderId="179" xfId="0" applyFont="1" applyBorder="1">
      <alignment vertical="center"/>
    </xf>
    <xf numFmtId="0" fontId="57" fillId="0" borderId="79" xfId="0" applyFont="1" applyBorder="1">
      <alignment vertical="center"/>
    </xf>
    <xf numFmtId="0" fontId="57" fillId="0" borderId="180" xfId="0" applyFont="1" applyBorder="1">
      <alignment vertical="center"/>
    </xf>
    <xf numFmtId="0" fontId="58" fillId="0" borderId="75" xfId="0" applyFont="1" applyBorder="1" applyAlignment="1">
      <alignment horizontal="center" vertical="center" wrapText="1"/>
    </xf>
    <xf numFmtId="0" fontId="59" fillId="0" borderId="470" xfId="0" applyFont="1" applyBorder="1" applyAlignment="1">
      <alignment vertical="center" wrapText="1"/>
    </xf>
    <xf numFmtId="0" fontId="58" fillId="0" borderId="367" xfId="0" applyFont="1" applyBorder="1" applyAlignment="1">
      <alignment vertical="center" wrapText="1"/>
    </xf>
    <xf numFmtId="0" fontId="60" fillId="0" borderId="82" xfId="0" quotePrefix="1" applyFont="1" applyBorder="1" applyAlignment="1">
      <alignment horizontal="center" vertical="center"/>
    </xf>
    <xf numFmtId="0" fontId="57" fillId="0" borderId="227" xfId="0" applyFont="1" applyBorder="1">
      <alignment vertical="center"/>
    </xf>
    <xf numFmtId="0" fontId="57" fillId="0" borderId="80" xfId="0" applyFont="1" applyBorder="1">
      <alignment vertical="center"/>
    </xf>
    <xf numFmtId="0" fontId="57" fillId="0" borderId="178" xfId="0" applyFont="1" applyBorder="1">
      <alignment vertical="center"/>
    </xf>
    <xf numFmtId="0" fontId="57" fillId="16" borderId="79" xfId="0" applyFont="1" applyFill="1" applyBorder="1">
      <alignment vertical="center"/>
    </xf>
    <xf numFmtId="0" fontId="57" fillId="16" borderId="179" xfId="0" applyFont="1" applyFill="1" applyBorder="1">
      <alignment vertical="center"/>
    </xf>
    <xf numFmtId="199" fontId="57" fillId="24" borderId="94" xfId="2" applyNumberFormat="1" applyFont="1" applyFill="1" applyBorder="1" applyAlignment="1" applyProtection="1">
      <alignment horizontal="center" vertical="center"/>
    </xf>
    <xf numFmtId="199" fontId="57" fillId="24" borderId="75" xfId="2" applyNumberFormat="1" applyFont="1" applyFill="1" applyBorder="1" applyAlignment="1" applyProtection="1">
      <alignment horizontal="center" vertical="center"/>
    </xf>
    <xf numFmtId="0" fontId="59" fillId="6" borderId="102" xfId="0" applyFont="1" applyFill="1" applyBorder="1" applyAlignment="1">
      <alignment vertical="center" wrapText="1"/>
    </xf>
    <xf numFmtId="0" fontId="58" fillId="11" borderId="102" xfId="0" applyFont="1" applyFill="1" applyBorder="1" applyAlignment="1">
      <alignment vertical="center" wrapText="1"/>
    </xf>
    <xf numFmtId="0" fontId="59" fillId="6" borderId="125" xfId="0" applyFont="1" applyFill="1" applyBorder="1">
      <alignment vertical="center"/>
    </xf>
    <xf numFmtId="0" fontId="58" fillId="7" borderId="125" xfId="0" applyFont="1" applyFill="1" applyBorder="1">
      <alignment vertical="center"/>
    </xf>
    <xf numFmtId="0" fontId="59" fillId="6" borderId="125" xfId="0" applyFont="1" applyFill="1" applyBorder="1" applyAlignment="1">
      <alignment vertical="center" wrapText="1"/>
    </xf>
    <xf numFmtId="0" fontId="58" fillId="7" borderId="125" xfId="0" applyFont="1" applyFill="1" applyBorder="1" applyAlignment="1">
      <alignment vertical="center" wrapText="1"/>
    </xf>
    <xf numFmtId="0" fontId="57" fillId="11" borderId="96" xfId="0" applyFont="1" applyFill="1" applyBorder="1">
      <alignment vertical="center"/>
    </xf>
    <xf numFmtId="0" fontId="57" fillId="11" borderId="94" xfId="0" applyFont="1" applyFill="1" applyBorder="1">
      <alignment vertical="center"/>
    </xf>
    <xf numFmtId="0" fontId="57" fillId="11" borderId="91" xfId="0" applyFont="1" applyFill="1" applyBorder="1">
      <alignment vertical="center"/>
    </xf>
    <xf numFmtId="0" fontId="59" fillId="6" borderId="115" xfId="0" applyFont="1" applyFill="1" applyBorder="1" applyAlignment="1">
      <alignment vertical="center" wrapText="1"/>
    </xf>
    <xf numFmtId="0" fontId="57" fillId="11" borderId="176" xfId="0" applyFont="1" applyFill="1" applyBorder="1">
      <alignment vertical="center"/>
    </xf>
    <xf numFmtId="0" fontId="58" fillId="7" borderId="214" xfId="0" applyFont="1" applyFill="1" applyBorder="1" applyAlignment="1">
      <alignment vertical="center" wrapText="1"/>
    </xf>
    <xf numFmtId="0" fontId="59" fillId="6" borderId="214" xfId="0" applyFont="1" applyFill="1" applyBorder="1" applyAlignment="1">
      <alignment vertical="center" wrapText="1"/>
    </xf>
    <xf numFmtId="184" fontId="58" fillId="7" borderId="224" xfId="2" applyNumberFormat="1" applyFont="1" applyFill="1" applyBorder="1" applyAlignment="1" applyProtection="1">
      <alignment horizontal="center" vertical="center" wrapText="1"/>
    </xf>
    <xf numFmtId="0" fontId="59" fillId="35" borderId="83" xfId="0" applyFont="1" applyFill="1" applyBorder="1" applyAlignment="1">
      <alignment horizontal="center" vertical="center"/>
    </xf>
    <xf numFmtId="0" fontId="57" fillId="11" borderId="174" xfId="0" applyFont="1" applyFill="1" applyBorder="1">
      <alignment vertical="center"/>
    </xf>
    <xf numFmtId="0" fontId="57" fillId="11" borderId="173" xfId="0" applyFont="1" applyFill="1" applyBorder="1">
      <alignment vertical="center"/>
    </xf>
    <xf numFmtId="0" fontId="59" fillId="6" borderId="77" xfId="0" applyFont="1" applyFill="1" applyBorder="1" applyAlignment="1">
      <alignment vertical="center" wrapText="1"/>
    </xf>
    <xf numFmtId="0" fontId="59" fillId="0" borderId="471" xfId="0" applyFont="1" applyBorder="1">
      <alignment vertical="center"/>
    </xf>
    <xf numFmtId="0" fontId="59" fillId="0" borderId="473" xfId="0" applyFont="1" applyBorder="1">
      <alignment vertical="center"/>
    </xf>
    <xf numFmtId="0" fontId="59" fillId="6" borderId="6" xfId="0" applyFont="1" applyFill="1" applyBorder="1" applyAlignment="1">
      <alignment vertical="center" wrapText="1"/>
    </xf>
    <xf numFmtId="0" fontId="57" fillId="0" borderId="73" xfId="0" applyFont="1" applyBorder="1">
      <alignment vertical="center"/>
    </xf>
    <xf numFmtId="0" fontId="60" fillId="12" borderId="173" xfId="0" applyFont="1" applyFill="1" applyBorder="1" applyAlignment="1">
      <alignment vertical="center" wrapText="1"/>
    </xf>
    <xf numFmtId="0" fontId="60" fillId="12" borderId="176" xfId="0" applyFont="1" applyFill="1" applyBorder="1">
      <alignment vertical="center"/>
    </xf>
    <xf numFmtId="0" fontId="58" fillId="7" borderId="102" xfId="0" applyFont="1" applyFill="1" applyBorder="1" applyAlignment="1">
      <alignment vertical="center" wrapText="1"/>
    </xf>
    <xf numFmtId="0" fontId="58" fillId="7" borderId="115" xfId="0" applyFont="1" applyFill="1" applyBorder="1" applyAlignment="1">
      <alignment vertical="center" wrapText="1"/>
    </xf>
    <xf numFmtId="0" fontId="60" fillId="12" borderId="174" xfId="0" applyFont="1" applyFill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7" fillId="6" borderId="91" xfId="2" applyNumberFormat="1" applyFont="1" applyFill="1" applyBorder="1" applyAlignment="1" applyProtection="1">
      <alignment horizontal="center" vertical="center"/>
    </xf>
    <xf numFmtId="199" fontId="57" fillId="7" borderId="90" xfId="2" applyNumberFormat="1" applyFont="1" applyFill="1" applyBorder="1" applyAlignment="1" applyProtection="1">
      <alignment horizontal="center" vertical="center"/>
    </xf>
    <xf numFmtId="199" fontId="57" fillId="24" borderId="38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3" fillId="0" borderId="135" xfId="0" applyFont="1" applyBorder="1" applyAlignment="1">
      <alignment horizontal="center" vertical="center" wrapText="1"/>
    </xf>
    <xf numFmtId="0" fontId="103" fillId="0" borderId="6" xfId="0" applyFont="1" applyBorder="1" applyAlignment="1">
      <alignment horizontal="center" vertical="center" wrapText="1"/>
    </xf>
    <xf numFmtId="0" fontId="104" fillId="0" borderId="135" xfId="0" applyFont="1" applyBorder="1" applyAlignment="1">
      <alignment horizontal="center" vertical="center" wrapText="1"/>
    </xf>
    <xf numFmtId="0" fontId="103" fillId="0" borderId="197" xfId="0" applyFont="1" applyBorder="1" applyAlignment="1">
      <alignment horizontal="center" vertical="center" wrapText="1"/>
    </xf>
    <xf numFmtId="0" fontId="32" fillId="0" borderId="190" xfId="0" applyFont="1" applyBorder="1" applyAlignment="1">
      <alignment horizontal="center" vertical="center" readingOrder="1"/>
    </xf>
    <xf numFmtId="0" fontId="32" fillId="0" borderId="83" xfId="0" applyFont="1" applyBorder="1" applyAlignment="1">
      <alignment horizontal="center" vertical="center" readingOrder="1"/>
    </xf>
    <xf numFmtId="0" fontId="48" fillId="0" borderId="83" xfId="0" applyFont="1" applyBorder="1" applyAlignment="1">
      <alignment horizontal="center" vertical="center" readingOrder="1"/>
    </xf>
    <xf numFmtId="0" fontId="32" fillId="0" borderId="195" xfId="0" applyFont="1" applyBorder="1" applyAlignment="1">
      <alignment horizontal="center" vertical="center" readingOrder="1"/>
    </xf>
    <xf numFmtId="0" fontId="13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79" fontId="3" fillId="0" borderId="135" xfId="9" applyNumberFormat="1" applyFont="1" applyBorder="1" applyAlignment="1">
      <alignment horizontal="center" vertical="center" wrapText="1"/>
    </xf>
    <xf numFmtId="179" fontId="3" fillId="0" borderId="6" xfId="9" applyNumberFormat="1" applyFont="1" applyBorder="1" applyAlignment="1">
      <alignment horizontal="center" vertical="center" wrapText="1"/>
    </xf>
    <xf numFmtId="0" fontId="105" fillId="0" borderId="0" xfId="0" applyFont="1" applyAlignment="1">
      <alignment horizontal="center" vertical="center"/>
    </xf>
    <xf numFmtId="0" fontId="103" fillId="0" borderId="182" xfId="0" applyFont="1" applyBorder="1" applyAlignment="1">
      <alignment horizontal="center" vertical="center" wrapText="1"/>
    </xf>
    <xf numFmtId="0" fontId="103" fillId="0" borderId="366" xfId="0" applyFont="1" applyBorder="1" applyAlignment="1">
      <alignment horizontal="center" vertical="center" wrapText="1"/>
    </xf>
    <xf numFmtId="0" fontId="103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3" fillId="4" borderId="6" xfId="0" applyFont="1" applyFill="1" applyBorder="1" applyAlignment="1">
      <alignment horizontal="center" vertical="center" wrapText="1"/>
    </xf>
    <xf numFmtId="176" fontId="15" fillId="0" borderId="474" xfId="2" applyNumberFormat="1" applyFont="1" applyBorder="1">
      <alignment vertical="center"/>
    </xf>
    <xf numFmtId="0" fontId="26" fillId="0" borderId="475" xfId="0" applyFont="1" applyBorder="1" applyAlignment="1">
      <alignment horizontal="left" vertical="center"/>
    </xf>
    <xf numFmtId="186" fontId="57" fillId="23" borderId="259" xfId="2" applyNumberFormat="1" applyFont="1" applyFill="1" applyBorder="1" applyAlignment="1" applyProtection="1">
      <alignment horizontal="center" vertical="center"/>
    </xf>
    <xf numFmtId="186" fontId="57" fillId="23" borderId="260" xfId="2" applyNumberFormat="1" applyFont="1" applyFill="1" applyBorder="1" applyAlignment="1" applyProtection="1">
      <alignment horizontal="center" vertical="center"/>
    </xf>
    <xf numFmtId="185" fontId="57" fillId="23" borderId="258" xfId="2" applyNumberFormat="1" applyFont="1" applyFill="1" applyBorder="1" applyAlignment="1" applyProtection="1">
      <alignment horizontal="center" vertical="center"/>
    </xf>
    <xf numFmtId="199" fontId="57" fillId="12" borderId="94" xfId="2" applyNumberFormat="1" applyFont="1" applyFill="1" applyBorder="1" applyAlignment="1" applyProtection="1">
      <alignment horizontal="center" vertical="center"/>
    </xf>
    <xf numFmtId="185" fontId="57" fillId="23" borderId="260" xfId="2" applyNumberFormat="1" applyFont="1" applyFill="1" applyBorder="1" applyAlignment="1" applyProtection="1">
      <alignment horizontal="center" vertical="center"/>
    </xf>
    <xf numFmtId="0" fontId="74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4" fillId="7" borderId="97" xfId="2" applyNumberFormat="1" applyFont="1" applyFill="1" applyBorder="1" applyAlignment="1">
      <alignment horizontal="center" vertical="center" wrapText="1"/>
    </xf>
    <xf numFmtId="176" fontId="14" fillId="7" borderId="140" xfId="2" applyNumberFormat="1" applyFont="1" applyFill="1" applyBorder="1" applyAlignment="1">
      <alignment horizontal="center" vertical="center"/>
    </xf>
    <xf numFmtId="201" fontId="15" fillId="0" borderId="189" xfId="2" applyNumberFormat="1" applyFont="1" applyBorder="1">
      <alignment vertical="center"/>
    </xf>
    <xf numFmtId="201" fontId="15" fillId="0" borderId="75" xfId="2" applyNumberFormat="1" applyFont="1" applyBorder="1">
      <alignment vertical="center"/>
    </xf>
    <xf numFmtId="201" fontId="15" fillId="0" borderId="75" xfId="2" applyNumberFormat="1" applyFont="1" applyFill="1" applyBorder="1">
      <alignment vertical="center"/>
    </xf>
    <xf numFmtId="201" fontId="57" fillId="36" borderId="17" xfId="2" applyNumberFormat="1" applyFont="1" applyFill="1" applyBorder="1" applyAlignment="1">
      <alignment horizontal="center" vertical="center"/>
    </xf>
    <xf numFmtId="201" fontId="57" fillId="0" borderId="10" xfId="2" applyNumberFormat="1" applyFont="1" applyBorder="1" applyAlignment="1">
      <alignment horizontal="center" vertical="center"/>
    </xf>
    <xf numFmtId="0" fontId="74" fillId="0" borderId="248" xfId="9" quotePrefix="1" applyFont="1" applyBorder="1" applyAlignment="1">
      <alignment horizontal="center" vertical="center" wrapText="1"/>
    </xf>
    <xf numFmtId="201" fontId="57" fillId="12" borderId="189" xfId="2" applyNumberFormat="1" applyFont="1" applyFill="1" applyBorder="1" applyAlignment="1">
      <alignment horizontal="center" vertical="center"/>
    </xf>
    <xf numFmtId="201" fontId="57" fillId="0" borderId="75" xfId="2" applyNumberFormat="1" applyFont="1" applyBorder="1" applyAlignment="1">
      <alignment horizontal="center" vertical="center"/>
    </xf>
    <xf numFmtId="201" fontId="57" fillId="12" borderId="75" xfId="2" applyNumberFormat="1" applyFont="1" applyFill="1" applyBorder="1" applyAlignment="1">
      <alignment horizontal="center" vertical="center"/>
    </xf>
    <xf numFmtId="201" fontId="57" fillId="12" borderId="365" xfId="2" applyNumberFormat="1" applyFont="1" applyFill="1" applyBorder="1" applyAlignment="1">
      <alignment horizontal="center" vertical="center"/>
    </xf>
    <xf numFmtId="201" fontId="106" fillId="12" borderId="189" xfId="2" applyNumberFormat="1" applyFont="1" applyFill="1" applyBorder="1" applyAlignment="1">
      <alignment horizontal="center" vertical="center"/>
    </xf>
    <xf numFmtId="201" fontId="57" fillId="36" borderId="75" xfId="2" applyNumberFormat="1" applyFont="1" applyFill="1" applyBorder="1" applyAlignment="1">
      <alignment horizontal="center" vertical="center"/>
    </xf>
    <xf numFmtId="201" fontId="57" fillId="36" borderId="365" xfId="2" applyNumberFormat="1" applyFont="1" applyFill="1" applyBorder="1" applyAlignment="1">
      <alignment horizontal="center" vertical="center"/>
    </xf>
    <xf numFmtId="201" fontId="57" fillId="0" borderId="92" xfId="2" applyNumberFormat="1" applyFont="1" applyBorder="1" applyAlignment="1">
      <alignment horizontal="center" vertical="center"/>
    </xf>
    <xf numFmtId="201" fontId="57" fillId="0" borderId="189" xfId="2" applyNumberFormat="1" applyFont="1" applyBorder="1" applyAlignment="1">
      <alignment horizontal="center" vertical="center"/>
    </xf>
    <xf numFmtId="201" fontId="57" fillId="0" borderId="365" xfId="2" applyNumberFormat="1" applyFont="1" applyBorder="1" applyAlignment="1">
      <alignment horizontal="center" vertical="center"/>
    </xf>
    <xf numFmtId="201" fontId="57" fillId="36" borderId="189" xfId="2" applyNumberFormat="1" applyFont="1" applyFill="1" applyBorder="1" applyAlignment="1">
      <alignment horizontal="center" vertical="center"/>
    </xf>
    <xf numFmtId="201" fontId="57" fillId="36" borderId="388" xfId="2" applyNumberFormat="1" applyFont="1" applyFill="1" applyBorder="1" applyAlignment="1">
      <alignment horizontal="center" vertical="center"/>
    </xf>
    <xf numFmtId="201" fontId="57" fillId="0" borderId="228" xfId="2" applyNumberFormat="1" applyFont="1" applyBorder="1" applyAlignment="1">
      <alignment horizontal="center" vertical="center"/>
    </xf>
    <xf numFmtId="201" fontId="57" fillId="0" borderId="135" xfId="2" applyNumberFormat="1" applyFont="1" applyBorder="1" applyAlignment="1">
      <alignment horizontal="center" vertical="center"/>
    </xf>
    <xf numFmtId="201" fontId="57" fillId="0" borderId="6" xfId="2" applyNumberFormat="1" applyFont="1" applyBorder="1" applyAlignment="1">
      <alignment horizontal="center" vertical="center"/>
    </xf>
    <xf numFmtId="201" fontId="57" fillId="12" borderId="6" xfId="2" applyNumberFormat="1" applyFont="1" applyFill="1" applyBorder="1" applyAlignment="1">
      <alignment horizontal="center" vertical="center"/>
    </xf>
    <xf numFmtId="201" fontId="57" fillId="12" borderId="136" xfId="2" applyNumberFormat="1" applyFont="1" applyFill="1" applyBorder="1" applyAlignment="1">
      <alignment horizontal="center" vertical="center"/>
    </xf>
    <xf numFmtId="201" fontId="57" fillId="37" borderId="77" xfId="2" applyNumberFormat="1" applyFont="1" applyFill="1" applyBorder="1" applyAlignment="1">
      <alignment horizontal="center" vertical="center"/>
    </xf>
    <xf numFmtId="201" fontId="57" fillId="0" borderId="101" xfId="2" applyNumberFormat="1" applyFont="1" applyBorder="1" applyAlignment="1">
      <alignment horizontal="center" vertical="center"/>
    </xf>
    <xf numFmtId="201" fontId="57" fillId="36" borderId="135" xfId="2" applyNumberFormat="1" applyFont="1" applyFill="1" applyBorder="1" applyAlignment="1">
      <alignment horizontal="center" vertical="center"/>
    </xf>
    <xf numFmtId="201" fontId="57" fillId="36" borderId="6" xfId="2" applyNumberFormat="1" applyFont="1" applyFill="1" applyBorder="1" applyAlignment="1">
      <alignment horizontal="center" vertical="center"/>
    </xf>
    <xf numFmtId="201" fontId="57" fillId="36" borderId="101" xfId="2" applyNumberFormat="1" applyFont="1" applyFill="1" applyBorder="1" applyAlignment="1">
      <alignment horizontal="center" vertical="center"/>
    </xf>
    <xf numFmtId="201" fontId="57" fillId="0" borderId="136" xfId="2" applyNumberFormat="1" applyFont="1" applyBorder="1" applyAlignment="1">
      <alignment horizontal="center" vertical="center"/>
    </xf>
    <xf numFmtId="201" fontId="15" fillId="37" borderId="6" xfId="2" applyNumberFormat="1" applyFont="1" applyFill="1" applyBorder="1" applyAlignment="1">
      <alignment horizontal="center" vertical="center"/>
    </xf>
    <xf numFmtId="201" fontId="15" fillId="10" borderId="6" xfId="2" applyNumberFormat="1" applyFont="1" applyFill="1" applyBorder="1" applyAlignment="1">
      <alignment horizontal="center" vertical="center"/>
    </xf>
    <xf numFmtId="201" fontId="15" fillId="0" borderId="6" xfId="2" applyNumberFormat="1" applyFont="1" applyBorder="1" applyAlignment="1">
      <alignment horizontal="center" vertical="center"/>
    </xf>
    <xf numFmtId="201" fontId="15" fillId="0" borderId="136" xfId="2" applyNumberFormat="1" applyFont="1" applyBorder="1" applyAlignment="1">
      <alignment horizontal="center" vertical="center"/>
    </xf>
    <xf numFmtId="0" fontId="57" fillId="4" borderId="6" xfId="0" applyFont="1" applyFill="1" applyBorder="1" applyAlignment="1">
      <alignment horizontal="center" vertical="center" wrapText="1"/>
    </xf>
    <xf numFmtId="201" fontId="57" fillId="0" borderId="125" xfId="2" applyNumberFormat="1" applyFont="1" applyFill="1" applyBorder="1" applyAlignment="1" applyProtection="1">
      <alignment horizontal="center" vertical="center"/>
    </xf>
    <xf numFmtId="201" fontId="57" fillId="0" borderId="477" xfId="2" applyNumberFormat="1" applyFont="1" applyFill="1" applyBorder="1" applyAlignment="1" applyProtection="1">
      <alignment horizontal="center" vertical="center"/>
    </xf>
    <xf numFmtId="201" fontId="57" fillId="0" borderId="101" xfId="2" applyNumberFormat="1" applyFont="1" applyFill="1" applyBorder="1" applyAlignment="1" applyProtection="1">
      <alignment horizontal="center" vertical="center"/>
    </xf>
    <xf numFmtId="201" fontId="57" fillId="0" borderId="77" xfId="2" applyNumberFormat="1" applyFont="1" applyFill="1" applyBorder="1" applyAlignment="1" applyProtection="1">
      <alignment horizontal="center" vertical="center"/>
    </xf>
    <xf numFmtId="201" fontId="57" fillId="0" borderId="6" xfId="2" applyNumberFormat="1" applyFont="1" applyFill="1" applyBorder="1" applyAlignment="1" applyProtection="1">
      <alignment horizontal="center" vertical="center"/>
    </xf>
    <xf numFmtId="201" fontId="57" fillId="0" borderId="6" xfId="2" applyNumberFormat="1" applyFont="1" applyFill="1" applyBorder="1" applyAlignment="1" applyProtection="1">
      <alignment vertical="center"/>
    </xf>
    <xf numFmtId="201" fontId="57" fillId="0" borderId="479" xfId="2" applyNumberFormat="1" applyFont="1" applyFill="1" applyBorder="1" applyAlignment="1" applyProtection="1">
      <alignment horizontal="center" vertical="center"/>
    </xf>
    <xf numFmtId="201" fontId="57" fillId="0" borderId="77" xfId="2" applyNumberFormat="1" applyFont="1" applyBorder="1" applyAlignment="1">
      <alignment horizontal="center" vertical="center"/>
    </xf>
    <xf numFmtId="0" fontId="66" fillId="36" borderId="6" xfId="0" applyFont="1" applyFill="1" applyBorder="1" applyAlignment="1">
      <alignment horizontal="center" vertical="center"/>
    </xf>
    <xf numFmtId="0" fontId="14" fillId="36" borderId="136" xfId="0" applyFont="1" applyFill="1" applyBorder="1" applyAlignment="1">
      <alignment horizontal="center" vertical="center"/>
    </xf>
    <xf numFmtId="0" fontId="107" fillId="7" borderId="96" xfId="0" applyFont="1" applyFill="1" applyBorder="1" applyAlignment="1">
      <alignment horizontal="center" vertical="center"/>
    </xf>
    <xf numFmtId="0" fontId="107" fillId="7" borderId="97" xfId="0" applyFont="1" applyFill="1" applyBorder="1" applyAlignment="1">
      <alignment horizontal="center" vertical="center"/>
    </xf>
    <xf numFmtId="0" fontId="107" fillId="7" borderId="97" xfId="0" quotePrefix="1" applyFont="1" applyFill="1" applyBorder="1" applyAlignment="1">
      <alignment horizontal="center" vertical="center"/>
    </xf>
    <xf numFmtId="0" fontId="107" fillId="7" borderId="98" xfId="0" quotePrefix="1" applyFont="1" applyFill="1" applyBorder="1" applyAlignment="1">
      <alignment horizontal="center" vertical="center"/>
    </xf>
    <xf numFmtId="0" fontId="14" fillId="4" borderId="91" xfId="0" applyFont="1" applyFill="1" applyBorder="1" applyAlignment="1">
      <alignment horizontal="center" vertical="center"/>
    </xf>
    <xf numFmtId="201" fontId="66" fillId="4" borderId="71" xfId="2" applyNumberFormat="1" applyFont="1" applyFill="1" applyBorder="1" applyAlignment="1" applyProtection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66" fillId="12" borderId="6" xfId="0" applyFont="1" applyFill="1" applyBorder="1" applyAlignment="1">
      <alignment horizontal="center" vertical="center"/>
    </xf>
    <xf numFmtId="0" fontId="66" fillId="39" borderId="6" xfId="0" applyFont="1" applyFill="1" applyBorder="1" applyAlignment="1">
      <alignment horizontal="center" vertical="center"/>
    </xf>
    <xf numFmtId="0" fontId="14" fillId="7" borderId="6" xfId="0" applyFont="1" applyFill="1" applyBorder="1" applyAlignment="1">
      <alignment horizontal="center" vertical="center"/>
    </xf>
    <xf numFmtId="0" fontId="66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0" fillId="0" borderId="480" xfId="0" applyBorder="1">
      <alignment vertical="center"/>
    </xf>
    <xf numFmtId="176" fontId="14" fillId="7" borderId="78" xfId="2" applyNumberFormat="1" applyFont="1" applyFill="1" applyBorder="1" applyAlignment="1">
      <alignment horizontal="center" vertical="center" wrapText="1"/>
    </xf>
    <xf numFmtId="176" fontId="14" fillId="7" borderId="276" xfId="2" applyNumberFormat="1" applyFont="1" applyFill="1" applyBorder="1" applyAlignment="1">
      <alignment horizontal="center" vertical="center"/>
    </xf>
    <xf numFmtId="176" fontId="42" fillId="6" borderId="275" xfId="2" applyNumberFormat="1" applyFont="1" applyFill="1" applyBorder="1" applyAlignment="1">
      <alignment horizontal="center" vertical="center"/>
    </xf>
    <xf numFmtId="201" fontId="15" fillId="0" borderId="0" xfId="2" applyNumberFormat="1" applyFont="1" applyBorder="1">
      <alignment vertical="center"/>
    </xf>
    <xf numFmtId="176" fontId="44" fillId="0" borderId="0" xfId="2" applyNumberFormat="1" applyFont="1" applyBorder="1">
      <alignment vertical="center"/>
    </xf>
    <xf numFmtId="176" fontId="31" fillId="0" borderId="0" xfId="2" applyNumberFormat="1" applyFont="1" applyBorder="1">
      <alignment vertical="center"/>
    </xf>
    <xf numFmtId="176" fontId="15" fillId="0" borderId="0" xfId="2" applyNumberFormat="1" applyFont="1" applyBorder="1">
      <alignment vertical="center"/>
    </xf>
    <xf numFmtId="199" fontId="15" fillId="0" borderId="0" xfId="2" applyNumberFormat="1" applyFont="1" applyBorder="1">
      <alignment vertical="center"/>
    </xf>
    <xf numFmtId="199" fontId="15" fillId="0" borderId="0" xfId="2" applyNumberFormat="1" applyFont="1" applyFill="1" applyBorder="1">
      <alignment vertical="center"/>
    </xf>
    <xf numFmtId="198" fontId="15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4" fillId="0" borderId="0" xfId="2" applyNumberFormat="1" applyFont="1" applyBorder="1" applyAlignment="1">
      <alignment horizontal="left" vertical="center"/>
    </xf>
    <xf numFmtId="0" fontId="66" fillId="0" borderId="101" xfId="0" applyFont="1" applyBorder="1" applyAlignment="1">
      <alignment horizontal="right" vertical="center"/>
    </xf>
    <xf numFmtId="201" fontId="16" fillId="0" borderId="101" xfId="2" applyNumberFormat="1" applyFont="1" applyBorder="1" applyAlignment="1">
      <alignment horizontal="right" vertical="center"/>
    </xf>
    <xf numFmtId="198" fontId="16" fillId="0" borderId="101" xfId="2" applyNumberFormat="1" applyFont="1" applyFill="1" applyBorder="1" applyAlignment="1">
      <alignment horizontal="right" vertical="center"/>
    </xf>
    <xf numFmtId="0" fontId="66" fillId="0" borderId="136" xfId="0" applyFont="1" applyBorder="1" applyAlignment="1">
      <alignment horizontal="right" vertical="center"/>
    </xf>
    <xf numFmtId="201" fontId="16" fillId="0" borderId="136" xfId="2" applyNumberFormat="1" applyFont="1" applyBorder="1" applyAlignment="1">
      <alignment horizontal="right" vertical="center"/>
    </xf>
    <xf numFmtId="198" fontId="16" fillId="0" borderId="136" xfId="2" applyNumberFormat="1" applyFont="1" applyFill="1" applyBorder="1" applyAlignment="1">
      <alignment horizontal="right" vertical="center"/>
    </xf>
    <xf numFmtId="0" fontId="66" fillId="7" borderId="488" xfId="0" applyFont="1" applyFill="1" applyBorder="1" applyAlignment="1">
      <alignment horizontal="center" vertical="center" wrapText="1"/>
    </xf>
    <xf numFmtId="0" fontId="66" fillId="4" borderId="480" xfId="0" applyFont="1" applyFill="1" applyBorder="1" applyAlignment="1">
      <alignment horizontal="center" vertical="center" wrapText="1"/>
    </xf>
    <xf numFmtId="0" fontId="66" fillId="6" borderId="487" xfId="0" applyFont="1" applyFill="1" applyBorder="1" applyAlignment="1">
      <alignment horizontal="center" vertical="center" wrapText="1"/>
    </xf>
    <xf numFmtId="0" fontId="66" fillId="7" borderId="489" xfId="0" applyFont="1" applyFill="1" applyBorder="1" applyAlignment="1">
      <alignment horizontal="center" vertical="center" wrapText="1"/>
    </xf>
    <xf numFmtId="201" fontId="15" fillId="0" borderId="0" xfId="2" applyNumberFormat="1" applyFont="1" applyBorder="1" applyAlignment="1">
      <alignment horizontal="center" vertical="center"/>
    </xf>
    <xf numFmtId="0" fontId="59" fillId="6" borderId="0" xfId="0" applyFont="1" applyFill="1" applyAlignment="1">
      <alignment horizontal="center" vertical="center" wrapText="1"/>
    </xf>
    <xf numFmtId="0" fontId="58" fillId="7" borderId="0" xfId="0" applyFont="1" applyFill="1" applyAlignment="1">
      <alignment horizontal="center" vertical="center" wrapText="1"/>
    </xf>
    <xf numFmtId="184" fontId="59" fillId="7" borderId="0" xfId="2" applyNumberFormat="1" applyFont="1" applyFill="1" applyBorder="1" applyAlignment="1" applyProtection="1">
      <alignment horizontal="center" vertical="center"/>
    </xf>
    <xf numFmtId="186" fontId="57" fillId="23" borderId="0" xfId="2" applyNumberFormat="1" applyFont="1" applyFill="1" applyBorder="1" applyAlignment="1" applyProtection="1">
      <alignment horizontal="center" vertical="center"/>
    </xf>
    <xf numFmtId="199" fontId="57" fillId="6" borderId="0" xfId="2" applyNumberFormat="1" applyFont="1" applyFill="1" applyBorder="1" applyAlignment="1" applyProtection="1">
      <alignment horizontal="center" vertical="center"/>
    </xf>
    <xf numFmtId="199" fontId="57" fillId="7" borderId="0" xfId="2" applyNumberFormat="1" applyFont="1" applyFill="1" applyBorder="1" applyAlignment="1" applyProtection="1">
      <alignment horizontal="center" vertical="center"/>
    </xf>
    <xf numFmtId="199" fontId="57" fillId="31" borderId="0" xfId="2" applyNumberFormat="1" applyFont="1" applyFill="1" applyBorder="1" applyAlignment="1" applyProtection="1">
      <alignment horizontal="center" vertical="center"/>
    </xf>
    <xf numFmtId="0" fontId="66" fillId="6" borderId="140" xfId="0" applyFont="1" applyFill="1" applyBorder="1" applyAlignment="1">
      <alignment horizontal="right" vertical="center" wrapText="1"/>
    </xf>
    <xf numFmtId="184" fontId="59" fillId="6" borderId="0" xfId="2" applyNumberFormat="1" applyFont="1" applyFill="1" applyBorder="1" applyAlignment="1" applyProtection="1">
      <alignment horizontal="right" vertical="center"/>
    </xf>
    <xf numFmtId="0" fontId="57" fillId="0" borderId="0" xfId="0" applyFont="1" applyAlignment="1">
      <alignment horizontal="right" vertical="center"/>
    </xf>
    <xf numFmtId="201" fontId="66" fillId="0" borderId="6" xfId="2" applyNumberFormat="1" applyFont="1" applyFill="1" applyBorder="1" applyAlignment="1" applyProtection="1">
      <alignment horizontal="right" vertical="center"/>
    </xf>
    <xf numFmtId="199" fontId="66" fillId="31" borderId="6" xfId="2" applyNumberFormat="1" applyFont="1" applyFill="1" applyBorder="1" applyAlignment="1" applyProtection="1">
      <alignment horizontal="right" vertical="center"/>
    </xf>
    <xf numFmtId="0" fontId="66" fillId="0" borderId="6" xfId="0" applyFont="1" applyBorder="1" applyAlignment="1">
      <alignment horizontal="right" vertical="center"/>
    </xf>
    <xf numFmtId="199" fontId="57" fillId="6" borderId="0" xfId="2" applyNumberFormat="1" applyFont="1" applyFill="1" applyBorder="1" applyAlignment="1" applyProtection="1">
      <alignment horizontal="right" vertical="center"/>
    </xf>
    <xf numFmtId="199" fontId="57" fillId="7" borderId="0" xfId="2" applyNumberFormat="1" applyFont="1" applyFill="1" applyBorder="1" applyAlignment="1" applyProtection="1">
      <alignment horizontal="right" vertical="center"/>
    </xf>
    <xf numFmtId="199" fontId="57" fillId="31" borderId="0" xfId="2" applyNumberFormat="1" applyFont="1" applyFill="1" applyBorder="1" applyAlignment="1" applyProtection="1">
      <alignment horizontal="right" vertical="center"/>
    </xf>
    <xf numFmtId="199" fontId="57" fillId="31" borderId="6" xfId="2" applyNumberFormat="1" applyFont="1" applyFill="1" applyBorder="1" applyAlignment="1" applyProtection="1">
      <alignment horizontal="right" vertical="center"/>
    </xf>
    <xf numFmtId="0" fontId="82" fillId="0" borderId="0" xfId="0" applyFont="1">
      <alignment vertical="center"/>
    </xf>
    <xf numFmtId="0" fontId="42" fillId="0" borderId="201" xfId="0" applyFont="1" applyBorder="1" applyAlignment="1">
      <alignment horizontal="center" vertical="center"/>
    </xf>
    <xf numFmtId="0" fontId="48" fillId="0" borderId="197" xfId="0" applyFont="1" applyBorder="1" applyAlignment="1">
      <alignment horizontal="center" vertical="center" wrapText="1"/>
    </xf>
    <xf numFmtId="0" fontId="74" fillId="0" borderId="197" xfId="0" applyFont="1" applyBorder="1" applyAlignment="1">
      <alignment horizontal="center" vertical="center" wrapText="1"/>
    </xf>
    <xf numFmtId="199" fontId="15" fillId="0" borderId="0" xfId="2" applyNumberFormat="1" applyFont="1" applyBorder="1" applyAlignment="1">
      <alignment horizontal="right" vertical="center"/>
    </xf>
    <xf numFmtId="199" fontId="15" fillId="0" borderId="0" xfId="2" applyNumberFormat="1" applyFont="1" applyFill="1" applyBorder="1" applyAlignment="1">
      <alignment horizontal="right" vertical="center"/>
    </xf>
    <xf numFmtId="199" fontId="66" fillId="4" borderId="71" xfId="2" applyNumberFormat="1" applyFont="1" applyFill="1" applyBorder="1" applyAlignment="1" applyProtection="1">
      <alignment horizontal="right" vertical="center"/>
    </xf>
    <xf numFmtId="201" fontId="66" fillId="5" borderId="71" xfId="2" applyNumberFormat="1" applyFont="1" applyFill="1" applyBorder="1" applyAlignment="1" applyProtection="1">
      <alignment horizontal="right" vertical="center"/>
    </xf>
    <xf numFmtId="0" fontId="14" fillId="5" borderId="72" xfId="0" applyFont="1" applyFill="1" applyBorder="1" applyAlignment="1">
      <alignment horizontal="right" vertical="center"/>
    </xf>
    <xf numFmtId="0" fontId="108" fillId="40" borderId="6" xfId="0" applyFont="1" applyFill="1" applyBorder="1" applyAlignment="1">
      <alignment horizontal="center" vertical="center" wrapText="1"/>
    </xf>
    <xf numFmtId="176" fontId="15" fillId="0" borderId="77" xfId="2" applyNumberFormat="1" applyFont="1" applyBorder="1">
      <alignment vertical="center"/>
    </xf>
    <xf numFmtId="201" fontId="57" fillId="0" borderId="388" xfId="2" applyNumberFormat="1" applyFont="1" applyFill="1" applyBorder="1" applyAlignment="1">
      <alignment horizontal="center" vertical="center"/>
    </xf>
    <xf numFmtId="0" fontId="74" fillId="0" borderId="238" xfId="0" applyFont="1" applyBorder="1" applyAlignment="1">
      <alignment horizontal="center" vertical="center" wrapText="1"/>
    </xf>
    <xf numFmtId="0" fontId="74" fillId="0" borderId="494" xfId="0" applyFont="1" applyBorder="1" applyAlignment="1">
      <alignment horizontal="center" vertical="center" wrapText="1"/>
    </xf>
    <xf numFmtId="0" fontId="48" fillId="0" borderId="301" xfId="0" applyFont="1" applyBorder="1" applyAlignment="1">
      <alignment horizontal="center" vertical="center" wrapText="1"/>
    </xf>
    <xf numFmtId="194" fontId="74" fillId="0" borderId="494" xfId="2" applyNumberFormat="1" applyFont="1" applyFill="1" applyBorder="1" applyAlignment="1">
      <alignment horizontal="center" vertical="center" wrapText="1"/>
    </xf>
    <xf numFmtId="195" fontId="74" fillId="0" borderId="238" xfId="2" applyNumberFormat="1" applyFont="1" applyFill="1" applyBorder="1" applyAlignment="1">
      <alignment horizontal="center" vertical="center" wrapText="1"/>
    </xf>
    <xf numFmtId="0" fontId="74" fillId="0" borderId="238" xfId="0" quotePrefix="1" applyFont="1" applyBorder="1" applyAlignment="1">
      <alignment horizontal="center" vertical="center" wrapText="1"/>
    </xf>
    <xf numFmtId="193" fontId="74" fillId="0" borderId="301" xfId="0" applyNumberFormat="1" applyFont="1" applyBorder="1" applyAlignment="1">
      <alignment horizontal="center" vertical="center" wrapText="1"/>
    </xf>
    <xf numFmtId="194" fontId="48" fillId="0" borderId="305" xfId="2" applyNumberFormat="1" applyFont="1" applyFill="1" applyBorder="1" applyAlignment="1">
      <alignment horizontal="center" vertical="center" wrapText="1"/>
    </xf>
    <xf numFmtId="195" fontId="48" fillId="0" borderId="238" xfId="2" applyNumberFormat="1" applyFont="1" applyFill="1" applyBorder="1" applyAlignment="1">
      <alignment horizontal="center" vertical="center" wrapText="1"/>
    </xf>
    <xf numFmtId="176" fontId="15" fillId="0" borderId="238" xfId="2" applyNumberFormat="1" applyFont="1" applyFill="1" applyBorder="1">
      <alignment vertical="center"/>
    </xf>
    <xf numFmtId="176" fontId="15" fillId="0" borderId="388" xfId="2" applyNumberFormat="1" applyFont="1" applyFill="1" applyBorder="1">
      <alignment vertical="center"/>
    </xf>
    <xf numFmtId="199" fontId="15" fillId="0" borderId="104" xfId="2" applyNumberFormat="1" applyFont="1" applyFill="1" applyBorder="1">
      <alignment vertical="center"/>
    </xf>
    <xf numFmtId="199" fontId="15" fillId="0" borderId="388" xfId="2" applyNumberFormat="1" applyFont="1" applyFill="1" applyBorder="1">
      <alignment vertical="center"/>
    </xf>
    <xf numFmtId="0" fontId="14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6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76" fontId="15" fillId="0" borderId="197" xfId="2" applyNumberFormat="1" applyFont="1" applyBorder="1">
      <alignment vertical="center"/>
    </xf>
    <xf numFmtId="0" fontId="26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108" fillId="41" borderId="6" xfId="0" applyFont="1" applyFill="1" applyBorder="1" applyAlignment="1">
      <alignment horizontal="center" vertical="center" wrapText="1"/>
    </xf>
    <xf numFmtId="0" fontId="108" fillId="41" borderId="136" xfId="0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196" fontId="58" fillId="0" borderId="6" xfId="2" applyNumberFormat="1" applyFont="1" applyFill="1" applyBorder="1" applyAlignment="1">
      <alignment horizontal="center" vertical="center" wrapText="1"/>
    </xf>
    <xf numFmtId="0" fontId="59" fillId="0" borderId="102" xfId="0" applyFont="1" applyBorder="1">
      <alignment vertical="center"/>
    </xf>
    <xf numFmtId="0" fontId="58" fillId="0" borderId="102" xfId="0" applyFont="1" applyBorder="1">
      <alignment vertical="center"/>
    </xf>
    <xf numFmtId="0" fontId="59" fillId="0" borderId="102" xfId="0" applyFont="1" applyBorder="1" applyAlignment="1">
      <alignment vertical="center" wrapText="1"/>
    </xf>
    <xf numFmtId="0" fontId="58" fillId="0" borderId="102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0" fontId="58" fillId="0" borderId="101" xfId="0" applyFont="1" applyBorder="1" applyAlignment="1">
      <alignment vertical="center" wrapText="1"/>
    </xf>
    <xf numFmtId="184" fontId="58" fillId="0" borderId="6" xfId="2" applyNumberFormat="1" applyFont="1" applyFill="1" applyBorder="1" applyAlignment="1" applyProtection="1">
      <alignment horizontal="center" vertical="center"/>
    </xf>
    <xf numFmtId="185" fontId="57" fillId="0" borderId="258" xfId="2" applyNumberFormat="1" applyFont="1" applyFill="1" applyBorder="1" applyAlignment="1" applyProtection="1">
      <alignment horizontal="center" vertical="center"/>
    </xf>
    <xf numFmtId="199" fontId="57" fillId="0" borderId="94" xfId="2" applyNumberFormat="1" applyFont="1" applyFill="1" applyBorder="1" applyAlignment="1" applyProtection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201" fontId="57" fillId="0" borderId="468" xfId="2" applyNumberFormat="1" applyFont="1" applyFill="1" applyBorder="1" applyAlignment="1" applyProtection="1">
      <alignment horizontal="center" vertical="center"/>
    </xf>
    <xf numFmtId="194" fontId="59" fillId="0" borderId="283" xfId="2" applyNumberFormat="1" applyFont="1" applyFill="1" applyBorder="1" applyAlignment="1">
      <alignment horizontal="center" vertical="center" wrapText="1"/>
    </xf>
    <xf numFmtId="195" fontId="59" fillId="0" borderId="101" xfId="2" applyNumberFormat="1" applyFont="1" applyFill="1" applyBorder="1" applyAlignment="1">
      <alignment horizontal="center" vertical="center" wrapText="1"/>
    </xf>
    <xf numFmtId="193" fontId="59" fillId="0" borderId="284" xfId="0" applyNumberFormat="1" applyFont="1" applyBorder="1" applyAlignment="1">
      <alignment horizontal="center" vertical="center" wrapText="1"/>
    </xf>
    <xf numFmtId="199" fontId="57" fillId="6" borderId="100" xfId="2" applyNumberFormat="1" applyFont="1" applyFill="1" applyBorder="1" applyAlignment="1" applyProtection="1">
      <alignment horizontal="center" vertical="center"/>
    </xf>
    <xf numFmtId="199" fontId="57" fillId="7" borderId="228" xfId="2" applyNumberFormat="1" applyFont="1" applyFill="1" applyBorder="1" applyAlignment="1" applyProtection="1">
      <alignment horizontal="center" vertical="center"/>
    </xf>
    <xf numFmtId="199" fontId="57" fillId="24" borderId="379" xfId="2" applyNumberFormat="1" applyFont="1" applyFill="1" applyBorder="1" applyAlignment="1" applyProtection="1">
      <alignment horizontal="center" vertical="center"/>
    </xf>
    <xf numFmtId="0" fontId="57" fillId="30" borderId="93" xfId="0" applyFont="1" applyFill="1" applyBorder="1" applyAlignment="1">
      <alignment horizontal="center" vertical="center"/>
    </xf>
    <xf numFmtId="0" fontId="57" fillId="30" borderId="80" xfId="0" applyFont="1" applyFill="1" applyBorder="1" applyAlignment="1">
      <alignment horizontal="center" vertical="center"/>
    </xf>
    <xf numFmtId="0" fontId="59" fillId="30" borderId="77" xfId="0" applyFont="1" applyFill="1" applyBorder="1" applyAlignment="1">
      <alignment horizontal="center" vertical="center"/>
    </xf>
    <xf numFmtId="0" fontId="59" fillId="0" borderId="495" xfId="0" applyFont="1" applyBorder="1" applyAlignment="1">
      <alignment horizontal="center" vertical="center" wrapText="1"/>
    </xf>
    <xf numFmtId="0" fontId="58" fillId="0" borderId="78" xfId="0" applyFont="1" applyBorder="1" applyAlignment="1">
      <alignment horizontal="center" vertical="center" wrapText="1"/>
    </xf>
    <xf numFmtId="194" fontId="59" fillId="0" borderId="495" xfId="2" applyNumberFormat="1" applyFont="1" applyFill="1" applyBorder="1" applyAlignment="1">
      <alignment horizontal="center" vertical="center" wrapText="1"/>
    </xf>
    <xf numFmtId="195" fontId="59" fillId="0" borderId="213" xfId="2" applyNumberFormat="1" applyFont="1" applyFill="1" applyBorder="1" applyAlignment="1">
      <alignment horizontal="center" vertical="center" wrapText="1"/>
    </xf>
    <xf numFmtId="193" fontId="59" fillId="0" borderId="496" xfId="0" applyNumberFormat="1" applyFont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0" fontId="57" fillId="0" borderId="213" xfId="0" applyFont="1" applyBorder="1" applyAlignment="1">
      <alignment horizontal="center" vertical="center" wrapText="1"/>
    </xf>
    <xf numFmtId="184" fontId="59" fillId="6" borderId="213" xfId="2" applyNumberFormat="1" applyFont="1" applyFill="1" applyBorder="1" applyAlignment="1" applyProtection="1">
      <alignment horizontal="center" vertical="center"/>
    </xf>
    <xf numFmtId="199" fontId="57" fillId="6" borderId="93" xfId="2" applyNumberFormat="1" applyFont="1" applyFill="1" applyBorder="1" applyAlignment="1" applyProtection="1">
      <alignment horizontal="center" vertical="center"/>
    </xf>
    <xf numFmtId="199" fontId="57" fillId="7" borderId="92" xfId="2" applyNumberFormat="1" applyFont="1" applyFill="1" applyBorder="1" applyAlignment="1" applyProtection="1">
      <alignment horizontal="center" vertical="center"/>
    </xf>
    <xf numFmtId="199" fontId="57" fillId="24" borderId="375" xfId="2" applyNumberFormat="1" applyFont="1" applyFill="1" applyBorder="1" applyAlignment="1" applyProtection="1">
      <alignment horizontal="center" vertical="center"/>
    </xf>
    <xf numFmtId="0" fontId="57" fillId="0" borderId="96" xfId="0" applyFont="1" applyBorder="1">
      <alignment vertical="center"/>
    </xf>
    <xf numFmtId="0" fontId="59" fillId="0" borderId="97" xfId="0" applyFont="1" applyBorder="1" applyAlignment="1">
      <alignment horizontal="center" vertical="center"/>
    </xf>
    <xf numFmtId="201" fontId="57" fillId="0" borderId="97" xfId="2" applyNumberFormat="1" applyFont="1" applyFill="1" applyBorder="1" applyAlignment="1" applyProtection="1">
      <alignment horizontal="center" vertical="center"/>
    </xf>
    <xf numFmtId="0" fontId="59" fillId="0" borderId="97" xfId="0" applyFont="1" applyBorder="1" applyAlignment="1">
      <alignment vertical="center" wrapText="1"/>
    </xf>
    <xf numFmtId="0" fontId="58" fillId="0" borderId="97" xfId="0" applyFont="1" applyBorder="1" applyAlignment="1">
      <alignment vertical="center" wrapText="1"/>
    </xf>
    <xf numFmtId="184" fontId="59" fillId="0" borderId="97" xfId="2" applyNumberFormat="1" applyFont="1" applyFill="1" applyBorder="1" applyAlignment="1" applyProtection="1">
      <alignment horizontal="center" vertical="center"/>
    </xf>
    <xf numFmtId="184" fontId="58" fillId="0" borderId="150" xfId="2" applyNumberFormat="1" applyFont="1" applyFill="1" applyBorder="1" applyAlignment="1" applyProtection="1">
      <alignment horizontal="center" vertical="center"/>
    </xf>
    <xf numFmtId="186" fontId="57" fillId="0" borderId="261" xfId="2" applyNumberFormat="1" applyFont="1" applyFill="1" applyBorder="1" applyAlignment="1" applyProtection="1">
      <alignment horizontal="center" vertical="center"/>
    </xf>
    <xf numFmtId="199" fontId="57" fillId="0" borderId="96" xfId="2" applyNumberFormat="1" applyFont="1" applyFill="1" applyBorder="1" applyAlignment="1" applyProtection="1">
      <alignment horizontal="center" vertical="center"/>
    </xf>
    <xf numFmtId="199" fontId="57" fillId="0" borderId="150" xfId="2" applyNumberFormat="1" applyFont="1" applyFill="1" applyBorder="1" applyAlignment="1" applyProtection="1">
      <alignment horizontal="center" vertical="center"/>
    </xf>
    <xf numFmtId="199" fontId="57" fillId="0" borderId="377" xfId="2" applyNumberFormat="1" applyFont="1" applyFill="1" applyBorder="1" applyAlignment="1" applyProtection="1">
      <alignment horizontal="center" vertical="center"/>
    </xf>
    <xf numFmtId="0" fontId="57" fillId="0" borderId="91" xfId="0" applyFont="1" applyBorder="1">
      <alignment vertical="center"/>
    </xf>
    <xf numFmtId="201" fontId="57" fillId="0" borderId="71" xfId="2" applyNumberFormat="1" applyFont="1" applyFill="1" applyBorder="1" applyAlignment="1" applyProtection="1">
      <alignment horizontal="center" vertical="center"/>
    </xf>
    <xf numFmtId="0" fontId="59" fillId="0" borderId="71" xfId="0" applyFont="1" applyBorder="1" applyAlignment="1">
      <alignment vertical="center" wrapText="1"/>
    </xf>
    <xf numFmtId="0" fontId="58" fillId="0" borderId="71" xfId="0" applyFont="1" applyBorder="1" applyAlignment="1">
      <alignment vertical="center" wrapText="1"/>
    </xf>
    <xf numFmtId="184" fontId="59" fillId="0" borderId="71" xfId="2" applyNumberFormat="1" applyFont="1" applyFill="1" applyBorder="1" applyAlignment="1" applyProtection="1">
      <alignment horizontal="center" vertical="center"/>
    </xf>
    <xf numFmtId="184" fontId="58" fillId="0" borderId="90" xfId="2" applyNumberFormat="1" applyFont="1" applyFill="1" applyBorder="1" applyAlignment="1" applyProtection="1">
      <alignment horizontal="center" vertical="center"/>
    </xf>
    <xf numFmtId="186" fontId="57" fillId="0" borderId="262" xfId="2" applyNumberFormat="1" applyFont="1" applyFill="1" applyBorder="1" applyAlignment="1" applyProtection="1">
      <alignment horizontal="center" vertical="center"/>
    </xf>
    <xf numFmtId="199" fontId="57" fillId="0" borderId="91" xfId="2" applyNumberFormat="1" applyFont="1" applyFill="1" applyBorder="1" applyAlignment="1" applyProtection="1">
      <alignment horizontal="center" vertical="center"/>
    </xf>
    <xf numFmtId="199" fontId="57" fillId="0" borderId="90" xfId="2" applyNumberFormat="1" applyFont="1" applyFill="1" applyBorder="1" applyAlignment="1" applyProtection="1">
      <alignment horizontal="center" vertical="center"/>
    </xf>
    <xf numFmtId="199" fontId="57" fillId="0" borderId="497" xfId="2" applyNumberFormat="1" applyFont="1" applyFill="1" applyBorder="1" applyAlignment="1" applyProtection="1">
      <alignment horizontal="center" vertical="center"/>
    </xf>
    <xf numFmtId="0" fontId="108" fillId="41" borderId="97" xfId="0" applyFont="1" applyFill="1" applyBorder="1" applyAlignment="1">
      <alignment horizontal="center" vertical="center" wrapText="1"/>
    </xf>
    <xf numFmtId="0" fontId="108" fillId="41" borderId="71" xfId="0" applyFont="1" applyFill="1" applyBorder="1" applyAlignment="1">
      <alignment horizontal="center" vertical="center" wrapText="1"/>
    </xf>
    <xf numFmtId="201" fontId="59" fillId="23" borderId="478" xfId="2" applyNumberFormat="1" applyFont="1" applyFill="1" applyBorder="1" applyAlignment="1" applyProtection="1">
      <alignment horizontal="center" vertical="center"/>
    </xf>
    <xf numFmtId="176" fontId="0" fillId="0" borderId="480" xfId="2" applyNumberFormat="1" applyFont="1" applyBorder="1">
      <alignment vertical="center"/>
    </xf>
    <xf numFmtId="199" fontId="15" fillId="0" borderId="462" xfId="2" applyNumberFormat="1" applyFont="1" applyFill="1" applyBorder="1" applyAlignment="1">
      <alignment horizontal="right" vertical="center"/>
    </xf>
    <xf numFmtId="0" fontId="59" fillId="6" borderId="75" xfId="0" applyFont="1" applyFill="1" applyBorder="1" applyAlignment="1">
      <alignment horizontal="center" vertical="center" wrapText="1"/>
    </xf>
    <xf numFmtId="0" fontId="59" fillId="6" borderId="83" xfId="0" applyFont="1" applyFill="1" applyBorder="1" applyAlignment="1">
      <alignment horizontal="center" vertical="center" wrapText="1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 wrapText="1"/>
    </xf>
    <xf numFmtId="0" fontId="57" fillId="0" borderId="115" xfId="0" applyFont="1" applyBorder="1" applyAlignment="1">
      <alignment horizontal="center" vertical="center" wrapText="1"/>
    </xf>
    <xf numFmtId="0" fontId="14" fillId="23" borderId="31" xfId="0" applyFont="1" applyFill="1" applyBorder="1" applyAlignment="1">
      <alignment horizontal="center" vertical="center"/>
    </xf>
    <xf numFmtId="0" fontId="14" fillId="23" borderId="29" xfId="0" applyFont="1" applyFill="1" applyBorder="1" applyAlignment="1">
      <alignment horizontal="center" vertical="center"/>
    </xf>
    <xf numFmtId="0" fontId="14" fillId="4" borderId="328" xfId="0" applyFont="1" applyFill="1" applyBorder="1" applyAlignment="1">
      <alignment horizontal="center" vertical="center"/>
    </xf>
    <xf numFmtId="0" fontId="14" fillId="4" borderId="171" xfId="0" applyFont="1" applyFill="1" applyBorder="1" applyAlignment="1">
      <alignment horizontal="center" vertical="center"/>
    </xf>
    <xf numFmtId="0" fontId="14" fillId="4" borderId="329" xfId="0" applyFont="1" applyFill="1" applyBorder="1" applyAlignment="1">
      <alignment horizontal="center" vertical="center"/>
    </xf>
    <xf numFmtId="0" fontId="14" fillId="9" borderId="150" xfId="0" applyFont="1" applyFill="1" applyBorder="1" applyAlignment="1">
      <alignment horizontal="center" vertical="center" wrapText="1"/>
    </xf>
    <xf numFmtId="0" fontId="14" fillId="9" borderId="151" xfId="0" applyFont="1" applyFill="1" applyBorder="1" applyAlignment="1">
      <alignment horizontal="center" vertical="center" wrapText="1"/>
    </xf>
    <xf numFmtId="0" fontId="66" fillId="0" borderId="220" xfId="0" applyFont="1" applyBorder="1" applyAlignment="1">
      <alignment horizontal="center" vertical="center" wrapText="1"/>
    </xf>
    <xf numFmtId="0" fontId="66" fillId="0" borderId="221" xfId="0" applyFont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7" fillId="23" borderId="259" xfId="2" applyNumberFormat="1" applyFont="1" applyFill="1" applyBorder="1" applyAlignment="1" applyProtection="1">
      <alignment horizontal="center" vertical="center"/>
    </xf>
    <xf numFmtId="185" fontId="57" fillId="23" borderId="260" xfId="2" applyNumberFormat="1" applyFont="1" applyFill="1" applyBorder="1" applyAlignment="1" applyProtection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115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176" fontId="42" fillId="23" borderId="467" xfId="2" applyNumberFormat="1" applyFont="1" applyFill="1" applyBorder="1" applyAlignment="1">
      <alignment horizontal="center" vertical="center"/>
    </xf>
    <xf numFmtId="176" fontId="42" fillId="23" borderId="189" xfId="2" applyNumberFormat="1" applyFont="1" applyFill="1" applyBorder="1" applyAlignment="1">
      <alignment horizontal="center" vertical="center"/>
    </xf>
    <xf numFmtId="0" fontId="73" fillId="16" borderId="330" xfId="0" applyFont="1" applyFill="1" applyBorder="1" applyAlignment="1">
      <alignment horizontal="center" vertical="center"/>
    </xf>
    <xf numFmtId="0" fontId="73" fillId="16" borderId="331" xfId="0" applyFont="1" applyFill="1" applyBorder="1" applyAlignment="1">
      <alignment horizontal="center" vertical="center"/>
    </xf>
    <xf numFmtId="0" fontId="73" fillId="16" borderId="332" xfId="0" applyFont="1" applyFill="1" applyBorder="1" applyAlignment="1">
      <alignment horizontal="center" vertical="center"/>
    </xf>
    <xf numFmtId="0" fontId="73" fillId="22" borderId="331" xfId="0" applyFont="1" applyFill="1" applyBorder="1" applyAlignment="1">
      <alignment horizontal="center" vertical="center"/>
    </xf>
    <xf numFmtId="0" fontId="73" fillId="22" borderId="332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9" fillId="6" borderId="125" xfId="0" applyFont="1" applyFill="1" applyBorder="1" applyAlignment="1">
      <alignment horizontal="center" vertical="center" wrapText="1"/>
    </xf>
    <xf numFmtId="0" fontId="59" fillId="6" borderId="102" xfId="0" applyFont="1" applyFill="1" applyBorder="1" applyAlignment="1">
      <alignment horizontal="center" vertical="center" wrapText="1"/>
    </xf>
    <xf numFmtId="0" fontId="58" fillId="7" borderId="125" xfId="0" applyFont="1" applyFill="1" applyBorder="1" applyAlignment="1">
      <alignment horizontal="center" vertical="center" wrapText="1"/>
    </xf>
    <xf numFmtId="0" fontId="58" fillId="7" borderId="102" xfId="0" applyFont="1" applyFill="1" applyBorder="1" applyAlignment="1">
      <alignment horizontal="center" vertical="center" wrapText="1"/>
    </xf>
    <xf numFmtId="0" fontId="14" fillId="9" borderId="151" xfId="0" applyFont="1" applyFill="1" applyBorder="1" applyAlignment="1">
      <alignment horizontal="center" vertical="center"/>
    </xf>
    <xf numFmtId="0" fontId="66" fillId="0" borderId="150" xfId="0" applyFont="1" applyBorder="1" applyAlignment="1">
      <alignment horizontal="center" vertical="center"/>
    </xf>
    <xf numFmtId="0" fontId="66" fillId="0" borderId="466" xfId="0" applyFont="1" applyBorder="1" applyAlignment="1">
      <alignment horizontal="center" vertical="center"/>
    </xf>
    <xf numFmtId="0" fontId="14" fillId="9" borderId="150" xfId="0" applyFont="1" applyFill="1" applyBorder="1" applyAlignment="1">
      <alignment horizontal="center" vertical="center"/>
    </xf>
    <xf numFmtId="0" fontId="57" fillId="7" borderId="102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12" borderId="17" xfId="0" applyFont="1" applyFill="1" applyBorder="1" applyAlignment="1">
      <alignment horizontal="center" vertical="center" wrapText="1"/>
    </xf>
    <xf numFmtId="0" fontId="59" fillId="12" borderId="16" xfId="0" applyFont="1" applyFill="1" applyBorder="1" applyAlignment="1">
      <alignment horizontal="center" vertical="center" wrapText="1"/>
    </xf>
    <xf numFmtId="0" fontId="59" fillId="12" borderId="69" xfId="0" applyFont="1" applyFill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0" fontId="59" fillId="12" borderId="75" xfId="0" applyFont="1" applyFill="1" applyBorder="1" applyAlignment="1">
      <alignment horizontal="center" vertical="center" wrapText="1"/>
    </xf>
    <xf numFmtId="0" fontId="59" fillId="12" borderId="83" xfId="0" applyFont="1" applyFill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57" fillId="4" borderId="101" xfId="0" applyFont="1" applyFill="1" applyBorder="1" applyAlignment="1">
      <alignment horizontal="center" vertical="center"/>
    </xf>
    <xf numFmtId="0" fontId="57" fillId="4" borderId="77" xfId="0" applyFont="1" applyFill="1" applyBorder="1" applyAlignment="1">
      <alignment horizontal="center" vertical="center"/>
    </xf>
    <xf numFmtId="186" fontId="57" fillId="23" borderId="259" xfId="2" applyNumberFormat="1" applyFont="1" applyFill="1" applyBorder="1" applyAlignment="1" applyProtection="1">
      <alignment horizontal="center" vertical="center"/>
    </xf>
    <xf numFmtId="186" fontId="57" fillId="23" borderId="260" xfId="2" applyNumberFormat="1" applyFont="1" applyFill="1" applyBorder="1" applyAlignment="1" applyProtection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201" fontId="57" fillId="0" borderId="6" xfId="2" applyNumberFormat="1" applyFont="1" applyFill="1" applyBorder="1" applyAlignment="1" applyProtection="1">
      <alignment horizontal="center" vertical="center"/>
    </xf>
    <xf numFmtId="185" fontId="57" fillId="23" borderId="258" xfId="2" applyNumberFormat="1" applyFont="1" applyFill="1" applyBorder="1" applyAlignment="1" applyProtection="1">
      <alignment horizontal="center" vertical="center"/>
    </xf>
    <xf numFmtId="199" fontId="57" fillId="12" borderId="94" xfId="2" applyNumberFormat="1" applyFont="1" applyFill="1" applyBorder="1" applyAlignment="1" applyProtection="1">
      <alignment horizontal="center" vertical="center"/>
    </xf>
    <xf numFmtId="0" fontId="59" fillId="12" borderId="344" xfId="0" applyFont="1" applyFill="1" applyBorder="1" applyAlignment="1">
      <alignment horizontal="center" vertical="center" wrapText="1"/>
    </xf>
    <xf numFmtId="0" fontId="59" fillId="12" borderId="345" xfId="0" applyFont="1" applyFill="1" applyBorder="1" applyAlignment="1">
      <alignment horizontal="center" vertical="center" wrapText="1"/>
    </xf>
    <xf numFmtId="0" fontId="59" fillId="12" borderId="224" xfId="0" applyFont="1" applyFill="1" applyBorder="1" applyAlignment="1">
      <alignment horizontal="center" vertical="center" wrapText="1"/>
    </xf>
    <xf numFmtId="0" fontId="59" fillId="12" borderId="244" xfId="0" applyFont="1" applyFill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/>
    </xf>
    <xf numFmtId="0" fontId="59" fillId="23" borderId="6" xfId="0" applyFont="1" applyFill="1" applyBorder="1" applyAlignment="1">
      <alignment horizontal="center" vertical="center"/>
    </xf>
    <xf numFmtId="0" fontId="59" fillId="23" borderId="71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66" fillId="4" borderId="385" xfId="0" applyFont="1" applyFill="1" applyBorder="1" applyAlignment="1">
      <alignment horizontal="center" vertical="center"/>
    </xf>
    <xf numFmtId="0" fontId="66" fillId="4" borderId="406" xfId="0" applyFont="1" applyFill="1" applyBorder="1" applyAlignment="1">
      <alignment horizontal="center" vertical="center"/>
    </xf>
    <xf numFmtId="0" fontId="66" fillId="39" borderId="0" xfId="0" applyFont="1" applyFill="1" applyAlignment="1">
      <alignment horizontal="center" vertical="center"/>
    </xf>
    <xf numFmtId="0" fontId="66" fillId="39" borderId="480" xfId="0" applyFont="1" applyFill="1" applyBorder="1" applyAlignment="1">
      <alignment horizontal="center" vertical="center"/>
    </xf>
    <xf numFmtId="0" fontId="66" fillId="36" borderId="0" xfId="0" applyFont="1" applyFill="1" applyAlignment="1">
      <alignment horizontal="center" vertical="center"/>
    </xf>
    <xf numFmtId="0" fontId="66" fillId="36" borderId="480" xfId="0" applyFont="1" applyFill="1" applyBorder="1" applyAlignment="1">
      <alignment horizontal="center" vertical="center"/>
    </xf>
    <xf numFmtId="186" fontId="57" fillId="23" borderId="139" xfId="2" applyNumberFormat="1" applyFont="1" applyFill="1" applyBorder="1" applyAlignment="1" applyProtection="1">
      <alignment horizontal="center" vertical="center"/>
    </xf>
    <xf numFmtId="186" fontId="57" fillId="23" borderId="472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 applyAlignment="1">
      <alignment horizontal="center" vertical="center" wrapText="1"/>
    </xf>
    <xf numFmtId="0" fontId="58" fillId="7" borderId="77" xfId="0" applyFont="1" applyFill="1" applyBorder="1" applyAlignment="1">
      <alignment horizontal="center" vertical="center" wrapText="1"/>
    </xf>
    <xf numFmtId="0" fontId="59" fillId="6" borderId="214" xfId="0" applyFont="1" applyFill="1" applyBorder="1" applyAlignment="1">
      <alignment horizontal="center" vertical="center" wrapText="1"/>
    </xf>
    <xf numFmtId="0" fontId="59" fillId="6" borderId="211" xfId="0" applyFont="1" applyFill="1" applyBorder="1" applyAlignment="1">
      <alignment horizontal="center" vertical="center" wrapText="1"/>
    </xf>
    <xf numFmtId="0" fontId="59" fillId="6" borderId="243" xfId="0" applyFont="1" applyFill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/>
    </xf>
    <xf numFmtId="0" fontId="57" fillId="0" borderId="126" xfId="0" applyFont="1" applyBorder="1" applyAlignment="1">
      <alignment horizontal="center" vertical="center"/>
    </xf>
    <xf numFmtId="0" fontId="57" fillId="0" borderId="491" xfId="0" applyFont="1" applyBorder="1" applyAlignment="1">
      <alignment horizontal="center" vertical="center"/>
    </xf>
    <xf numFmtId="0" fontId="57" fillId="6" borderId="173" xfId="0" applyFont="1" applyFill="1" applyBorder="1" applyAlignment="1">
      <alignment horizontal="center" vertical="center"/>
    </xf>
    <xf numFmtId="0" fontId="57" fillId="6" borderId="487" xfId="0" applyFont="1" applyFill="1" applyBorder="1" applyAlignment="1">
      <alignment horizontal="center" vertical="center"/>
    </xf>
    <xf numFmtId="0" fontId="57" fillId="6" borderId="125" xfId="0" applyFont="1" applyFill="1" applyBorder="1" applyAlignment="1">
      <alignment horizontal="center" vertical="center" wrapText="1"/>
    </xf>
    <xf numFmtId="0" fontId="57" fillId="6" borderId="140" xfId="0" applyFont="1" applyFill="1" applyBorder="1" applyAlignment="1">
      <alignment horizontal="center" vertical="center" wrapText="1"/>
    </xf>
    <xf numFmtId="0" fontId="57" fillId="6" borderId="484" xfId="0" applyFont="1" applyFill="1" applyBorder="1" applyAlignment="1">
      <alignment horizontal="center" vertical="center" wrapText="1"/>
    </xf>
    <xf numFmtId="0" fontId="57" fillId="6" borderId="406" xfId="0" applyFont="1" applyFill="1" applyBorder="1" applyAlignment="1">
      <alignment horizontal="center" vertical="center" wrapText="1"/>
    </xf>
    <xf numFmtId="0" fontId="14" fillId="23" borderId="485" xfId="0" applyFont="1" applyFill="1" applyBorder="1" applyAlignment="1">
      <alignment horizontal="center" vertical="center"/>
    </xf>
    <xf numFmtId="0" fontId="14" fillId="23" borderId="466" xfId="0" applyFont="1" applyFill="1" applyBorder="1" applyAlignment="1">
      <alignment horizontal="center" vertical="center"/>
    </xf>
    <xf numFmtId="0" fontId="66" fillId="0" borderId="2" xfId="0" applyFont="1" applyBorder="1" applyAlignment="1">
      <alignment horizontal="center" vertical="center" wrapText="1"/>
    </xf>
    <xf numFmtId="176" fontId="42" fillId="23" borderId="93" xfId="2" applyNumberFormat="1" applyFont="1" applyFill="1" applyBorder="1" applyAlignment="1">
      <alignment horizontal="center" vertical="center"/>
    </xf>
    <xf numFmtId="176" fontId="42" fillId="23" borderId="92" xfId="2" applyNumberFormat="1" applyFont="1" applyFill="1" applyBorder="1" applyAlignment="1">
      <alignment horizontal="center" vertical="center"/>
    </xf>
    <xf numFmtId="176" fontId="14" fillId="24" borderId="376" xfId="2" applyNumberFormat="1" applyFont="1" applyFill="1" applyBorder="1" applyAlignment="1">
      <alignment horizontal="center" vertical="center" wrapText="1"/>
    </xf>
    <xf numFmtId="176" fontId="14" fillId="24" borderId="413" xfId="2" applyNumberFormat="1" applyFont="1" applyFill="1" applyBorder="1" applyAlignment="1">
      <alignment horizontal="center" vertical="center" wrapText="1"/>
    </xf>
    <xf numFmtId="0" fontId="57" fillId="0" borderId="486" xfId="0" applyFont="1" applyBorder="1" applyAlignment="1">
      <alignment horizontal="center" vertical="center"/>
    </xf>
    <xf numFmtId="0" fontId="57" fillId="0" borderId="490" xfId="0" applyFont="1" applyBorder="1" applyAlignment="1">
      <alignment horizontal="center" vertical="center"/>
    </xf>
    <xf numFmtId="201" fontId="15" fillId="37" borderId="6" xfId="2" applyNumberFormat="1" applyFont="1" applyFill="1" applyBorder="1" applyAlignment="1">
      <alignment horizontal="center" vertical="center"/>
    </xf>
    <xf numFmtId="0" fontId="42" fillId="0" borderId="193" xfId="0" applyFont="1" applyBorder="1" applyAlignment="1">
      <alignment horizontal="center" vertical="center"/>
    </xf>
    <xf numFmtId="0" fontId="42" fillId="0" borderId="19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5" fillId="10" borderId="6" xfId="2" applyNumberFormat="1" applyFont="1" applyFill="1" applyBorder="1" applyAlignment="1">
      <alignment horizontal="center" vertical="center"/>
    </xf>
    <xf numFmtId="0" fontId="42" fillId="0" borderId="200" xfId="0" applyFont="1" applyBorder="1" applyAlignment="1">
      <alignment horizontal="center" vertical="center"/>
    </xf>
    <xf numFmtId="0" fontId="42" fillId="0" borderId="204" xfId="0" applyFont="1" applyBorder="1" applyAlignment="1">
      <alignment horizontal="center" vertical="center"/>
    </xf>
    <xf numFmtId="0" fontId="42" fillId="0" borderId="201" xfId="0" applyFont="1" applyBorder="1" applyAlignment="1">
      <alignment horizontal="center" vertical="center"/>
    </xf>
    <xf numFmtId="0" fontId="42" fillId="0" borderId="202" xfId="0" applyFont="1" applyBorder="1" applyAlignment="1">
      <alignment horizontal="center" vertical="center"/>
    </xf>
    <xf numFmtId="0" fontId="47" fillId="4" borderId="101" xfId="0" applyFont="1" applyFill="1" applyBorder="1" applyAlignment="1">
      <alignment horizontal="center" vertical="center"/>
    </xf>
    <xf numFmtId="0" fontId="47" fillId="4" borderId="140" xfId="0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/>
    </xf>
    <xf numFmtId="0" fontId="47" fillId="4" borderId="77" xfId="0" applyFont="1" applyFill="1" applyBorder="1" applyAlignment="1">
      <alignment horizontal="center" vertical="center"/>
    </xf>
    <xf numFmtId="0" fontId="47" fillId="4" borderId="102" xfId="0" applyFont="1" applyFill="1" applyBorder="1" applyAlignment="1">
      <alignment horizontal="center" vertical="center"/>
    </xf>
    <xf numFmtId="0" fontId="47" fillId="0" borderId="101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0" fontId="26" fillId="0" borderId="101" xfId="0" applyFont="1" applyBorder="1" applyAlignment="1">
      <alignment horizontal="center" vertical="center" wrapText="1"/>
    </xf>
    <xf numFmtId="0" fontId="26" fillId="0" borderId="102" xfId="0" applyFont="1" applyBorder="1" applyAlignment="1">
      <alignment horizontal="center" vertical="center" wrapText="1"/>
    </xf>
    <xf numFmtId="0" fontId="26" fillId="0" borderId="140" xfId="0" applyFont="1" applyBorder="1" applyAlignment="1">
      <alignment horizontal="center" vertical="center" wrapText="1"/>
    </xf>
    <xf numFmtId="0" fontId="26" fillId="0" borderId="137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6" fillId="0" borderId="283" xfId="0" applyFont="1" applyBorder="1" applyAlignment="1">
      <alignment horizontal="center" vertical="center" wrapText="1"/>
    </xf>
    <xf numFmtId="0" fontId="26" fillId="0" borderId="323" xfId="0" applyFont="1" applyBorder="1" applyAlignment="1">
      <alignment horizontal="center" vertical="center" wrapText="1"/>
    </xf>
    <xf numFmtId="0" fontId="26" fillId="0" borderId="298" xfId="0" applyFont="1" applyBorder="1" applyAlignment="1">
      <alignment horizontal="center" vertical="center" wrapText="1"/>
    </xf>
    <xf numFmtId="0" fontId="26" fillId="0" borderId="321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26" fillId="0" borderId="13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26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26" fillId="0" borderId="77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47" fillId="0" borderId="135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2" fillId="6" borderId="226" xfId="0" applyFont="1" applyFill="1" applyBorder="1" applyAlignment="1">
      <alignment horizontal="center" vertical="center"/>
    </xf>
    <xf numFmtId="0" fontId="42" fillId="6" borderId="232" xfId="0" applyFont="1" applyFill="1" applyBorder="1" applyAlignment="1">
      <alignment horizontal="center" vertical="center"/>
    </xf>
    <xf numFmtId="0" fontId="14" fillId="6" borderId="190" xfId="0" applyFont="1" applyFill="1" applyBorder="1" applyAlignment="1">
      <alignment horizontal="center" vertical="center"/>
    </xf>
    <xf numFmtId="0" fontId="14" fillId="6" borderId="195" xfId="0" applyFont="1" applyFill="1" applyBorder="1" applyAlignment="1">
      <alignment horizontal="center" vertical="center"/>
    </xf>
    <xf numFmtId="0" fontId="26" fillId="0" borderId="7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76" fontId="42" fillId="6" borderId="192" xfId="2" applyNumberFormat="1" applyFont="1" applyFill="1" applyBorder="1" applyAlignment="1">
      <alignment horizontal="center" vertical="center"/>
    </xf>
    <xf numFmtId="176" fontId="42" fillId="6" borderId="441" xfId="2" applyNumberFormat="1" applyFont="1" applyFill="1" applyBorder="1" applyAlignment="1">
      <alignment horizontal="center" vertical="center"/>
    </xf>
    <xf numFmtId="0" fontId="14" fillId="6" borderId="34" xfId="0" applyFont="1" applyFill="1" applyBorder="1" applyAlignment="1">
      <alignment horizontal="center" vertical="center"/>
    </xf>
    <xf numFmtId="0" fontId="14" fillId="6" borderId="48" xfId="0" applyFont="1" applyFill="1" applyBorder="1" applyAlignment="1">
      <alignment horizontal="center" vertical="center"/>
    </xf>
    <xf numFmtId="0" fontId="14" fillId="6" borderId="137" xfId="0" applyFont="1" applyFill="1" applyBorder="1" applyAlignment="1">
      <alignment horizontal="center" vertical="center"/>
    </xf>
    <xf numFmtId="0" fontId="14" fillId="6" borderId="140" xfId="0" applyFont="1" applyFill="1" applyBorder="1" applyAlignment="1">
      <alignment horizontal="center" vertical="center"/>
    </xf>
    <xf numFmtId="0" fontId="14" fillId="6" borderId="189" xfId="0" applyFont="1" applyFill="1" applyBorder="1" applyAlignment="1">
      <alignment horizontal="center" vertical="center"/>
    </xf>
    <xf numFmtId="0" fontId="14" fillId="9" borderId="189" xfId="0" applyFont="1" applyFill="1" applyBorder="1" applyAlignment="1">
      <alignment horizontal="center" vertical="center"/>
    </xf>
    <xf numFmtId="0" fontId="14" fillId="9" borderId="190" xfId="0" applyFont="1" applyFill="1" applyBorder="1" applyAlignment="1">
      <alignment horizontal="center" vertical="center"/>
    </xf>
    <xf numFmtId="176" fontId="14" fillId="6" borderId="189" xfId="2" applyNumberFormat="1" applyFont="1" applyFill="1" applyBorder="1" applyAlignment="1">
      <alignment horizontal="center" vertical="center"/>
    </xf>
    <xf numFmtId="176" fontId="14" fillId="6" borderId="165" xfId="2" applyNumberFormat="1" applyFont="1" applyFill="1" applyBorder="1" applyAlignment="1">
      <alignment horizontal="center" vertical="center"/>
    </xf>
    <xf numFmtId="198" fontId="14" fillId="11" borderId="373" xfId="2" applyNumberFormat="1" applyFont="1" applyFill="1" applyBorder="1" applyAlignment="1">
      <alignment horizontal="center" vertical="center" wrapText="1"/>
    </xf>
    <xf numFmtId="198" fontId="14" fillId="11" borderId="374" xfId="2" applyNumberFormat="1" applyFont="1" applyFill="1" applyBorder="1" applyAlignment="1">
      <alignment horizontal="center"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29" xfId="0" applyFont="1" applyFill="1" applyBorder="1" applyAlignment="1">
      <alignment horizontal="center" vertical="center"/>
    </xf>
    <xf numFmtId="0" fontId="14" fillId="4" borderId="27" xfId="0" applyFont="1" applyFill="1" applyBorder="1" applyAlignment="1">
      <alignment horizontal="center" vertical="center"/>
    </xf>
    <xf numFmtId="0" fontId="73" fillId="16" borderId="46" xfId="0" applyFont="1" applyFill="1" applyBorder="1" applyAlignment="1">
      <alignment horizontal="center" vertical="center"/>
    </xf>
    <xf numFmtId="0" fontId="73" fillId="16" borderId="168" xfId="0" applyFont="1" applyFill="1" applyBorder="1" applyAlignment="1">
      <alignment horizontal="center" vertical="center"/>
    </xf>
    <xf numFmtId="0" fontId="73" fillId="16" borderId="50" xfId="0" applyFont="1" applyFill="1" applyBorder="1" applyAlignment="1">
      <alignment horizontal="center" vertical="center"/>
    </xf>
    <xf numFmtId="0" fontId="73" fillId="22" borderId="168" xfId="0" applyFont="1" applyFill="1" applyBorder="1" applyAlignment="1">
      <alignment horizontal="center" vertical="center"/>
    </xf>
    <xf numFmtId="0" fontId="73" fillId="22" borderId="50" xfId="0" applyFont="1" applyFill="1" applyBorder="1" applyAlignment="1">
      <alignment horizontal="center" vertical="center"/>
    </xf>
    <xf numFmtId="176" fontId="15" fillId="0" borderId="75" xfId="2" applyNumberFormat="1" applyFont="1" applyBorder="1" applyAlignment="1">
      <alignment horizontal="center" vertical="center"/>
    </xf>
    <xf numFmtId="176" fontId="15" fillId="0" borderId="228" xfId="2" applyNumberFormat="1" applyFont="1" applyBorder="1" applyAlignment="1">
      <alignment horizontal="center" vertical="center"/>
    </xf>
    <xf numFmtId="176" fontId="15" fillId="0" borderId="92" xfId="2" applyNumberFormat="1" applyFont="1" applyBorder="1" applyAlignment="1">
      <alignment horizontal="center" vertical="center"/>
    </xf>
    <xf numFmtId="176" fontId="15" fillId="0" borderId="385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7" fillId="0" borderId="198" xfId="0" applyFont="1" applyBorder="1" applyAlignment="1">
      <alignment horizontal="center" vertical="center" wrapText="1"/>
    </xf>
    <xf numFmtId="0" fontId="47" fillId="0" borderId="103" xfId="0" applyFont="1" applyBorder="1" applyAlignment="1">
      <alignment horizontal="center" vertical="center" wrapText="1"/>
    </xf>
    <xf numFmtId="176" fontId="15" fillId="0" borderId="365" xfId="2" applyNumberFormat="1" applyFont="1" applyBorder="1" applyAlignment="1">
      <alignment horizontal="center" vertical="center"/>
    </xf>
    <xf numFmtId="200" fontId="15" fillId="11" borderId="379" xfId="2" applyNumberFormat="1" applyFont="1" applyFill="1" applyBorder="1" applyAlignment="1">
      <alignment horizontal="center" vertical="center"/>
    </xf>
    <xf numFmtId="200" fontId="15" fillId="11" borderId="376" xfId="2" applyNumberFormat="1" applyFont="1" applyFill="1" applyBorder="1" applyAlignment="1">
      <alignment horizontal="center" vertical="center"/>
    </xf>
    <xf numFmtId="200" fontId="15" fillId="11" borderId="375" xfId="2" applyNumberFormat="1" applyFont="1" applyFill="1" applyBorder="1" applyAlignment="1">
      <alignment horizontal="center" vertical="center"/>
    </xf>
    <xf numFmtId="0" fontId="26" fillId="0" borderId="103" xfId="0" applyFont="1" applyBorder="1" applyAlignment="1">
      <alignment horizontal="center" vertical="center" wrapText="1"/>
    </xf>
    <xf numFmtId="0" fontId="26" fillId="0" borderId="273" xfId="0" applyFont="1" applyBorder="1" applyAlignment="1">
      <alignment horizontal="center" vertical="center" wrapText="1"/>
    </xf>
    <xf numFmtId="0" fontId="26" fillId="0" borderId="215" xfId="0" applyFont="1" applyBorder="1" applyAlignment="1">
      <alignment horizontal="center" vertical="center" wrapText="1"/>
    </xf>
    <xf numFmtId="0" fontId="26" fillId="0" borderId="274" xfId="0" applyFont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6" fillId="0" borderId="54" xfId="0" applyFont="1" applyBorder="1" applyAlignment="1">
      <alignment horizontal="left" vertical="center"/>
    </xf>
    <xf numFmtId="0" fontId="26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4" fillId="6" borderId="226" xfId="0" applyFont="1" applyFill="1" applyBorder="1" applyAlignment="1">
      <alignment horizontal="center" vertical="center" wrapText="1"/>
    </xf>
    <xf numFmtId="0" fontId="14" fillId="6" borderId="202" xfId="0" applyFont="1" applyFill="1" applyBorder="1" applyAlignment="1">
      <alignment horizontal="center" vertical="center" wrapText="1"/>
    </xf>
    <xf numFmtId="0" fontId="42" fillId="6" borderId="137" xfId="0" applyFont="1" applyFill="1" applyBorder="1" applyAlignment="1">
      <alignment horizontal="center" vertical="center"/>
    </xf>
    <xf numFmtId="0" fontId="42" fillId="6" borderId="140" xfId="0" applyFont="1" applyFill="1" applyBorder="1" applyAlignment="1">
      <alignment horizontal="center" vertical="center"/>
    </xf>
    <xf numFmtId="0" fontId="42" fillId="6" borderId="137" xfId="0" applyFont="1" applyFill="1" applyBorder="1" applyAlignment="1">
      <alignment horizontal="center" vertical="center" wrapText="1"/>
    </xf>
    <xf numFmtId="0" fontId="42" fillId="6" borderId="140" xfId="0" applyFont="1" applyFill="1" applyBorder="1" applyAlignment="1">
      <alignment horizontal="center" vertical="center" wrapText="1"/>
    </xf>
    <xf numFmtId="176" fontId="14" fillId="6" borderId="10" xfId="2" applyNumberFormat="1" applyFont="1" applyFill="1" applyBorder="1" applyAlignment="1">
      <alignment horizontal="center" vertical="center"/>
    </xf>
    <xf numFmtId="176" fontId="42" fillId="6" borderId="202" xfId="2" applyNumberFormat="1" applyFont="1" applyFill="1" applyBorder="1" applyAlignment="1">
      <alignment horizontal="center" vertical="center"/>
    </xf>
    <xf numFmtId="176" fontId="42" fillId="6" borderId="433" xfId="2" applyNumberFormat="1" applyFont="1" applyFill="1" applyBorder="1" applyAlignment="1">
      <alignment horizontal="center" vertical="center"/>
    </xf>
    <xf numFmtId="198" fontId="14" fillId="11" borderId="376" xfId="2" applyNumberFormat="1" applyFont="1" applyFill="1" applyBorder="1" applyAlignment="1">
      <alignment horizontal="center" vertical="center" wrapText="1"/>
    </xf>
    <xf numFmtId="198" fontId="14" fillId="11" borderId="413" xfId="2" applyNumberFormat="1" applyFont="1" applyFill="1" applyBorder="1" applyAlignment="1">
      <alignment horizontal="center" vertical="center" wrapText="1"/>
    </xf>
    <xf numFmtId="0" fontId="14" fillId="6" borderId="481" xfId="0" applyFont="1" applyFill="1" applyBorder="1" applyAlignment="1">
      <alignment horizontal="center" vertical="center" wrapText="1"/>
    </xf>
    <xf numFmtId="0" fontId="14" fillId="6" borderId="242" xfId="0" applyFont="1" applyFill="1" applyBorder="1" applyAlignment="1">
      <alignment horizontal="center" vertical="center" wrapText="1"/>
    </xf>
    <xf numFmtId="201" fontId="57" fillId="36" borderId="75" xfId="2" applyNumberFormat="1" applyFont="1" applyFill="1" applyBorder="1" applyAlignment="1">
      <alignment horizontal="center" vertical="center"/>
    </xf>
    <xf numFmtId="201" fontId="57" fillId="35" borderId="189" xfId="2" applyNumberFormat="1" applyFont="1" applyFill="1" applyBorder="1" applyAlignment="1">
      <alignment horizontal="center" vertical="center"/>
    </xf>
    <xf numFmtId="201" fontId="57" fillId="35" borderId="365" xfId="2" applyNumberFormat="1" applyFont="1" applyFill="1" applyBorder="1" applyAlignment="1">
      <alignment horizontal="center" vertical="center"/>
    </xf>
    <xf numFmtId="201" fontId="57" fillId="35" borderId="77" xfId="2" applyNumberFormat="1" applyFont="1" applyFill="1" applyBorder="1" applyAlignment="1">
      <alignment horizontal="center" vertical="center"/>
    </xf>
    <xf numFmtId="201" fontId="57" fillId="35" borderId="6" xfId="2" applyNumberFormat="1" applyFont="1" applyFill="1" applyBorder="1" applyAlignment="1">
      <alignment horizontal="center" vertical="center"/>
    </xf>
    <xf numFmtId="201" fontId="106" fillId="12" borderId="228" xfId="2" applyNumberFormat="1" applyFont="1" applyFill="1" applyBorder="1" applyAlignment="1">
      <alignment horizontal="center" vertical="center"/>
    </xf>
    <xf numFmtId="201" fontId="106" fillId="12" borderId="385" xfId="2" applyNumberFormat="1" applyFont="1" applyFill="1" applyBorder="1" applyAlignment="1">
      <alignment horizontal="center" vertical="center"/>
    </xf>
    <xf numFmtId="201" fontId="106" fillId="12" borderId="92" xfId="2" applyNumberFormat="1" applyFont="1" applyFill="1" applyBorder="1" applyAlignment="1">
      <alignment horizontal="center" vertical="center"/>
    </xf>
    <xf numFmtId="201" fontId="57" fillId="12" borderId="228" xfId="2" applyNumberFormat="1" applyFont="1" applyFill="1" applyBorder="1" applyAlignment="1">
      <alignment horizontal="center" vertical="center"/>
    </xf>
    <xf numFmtId="201" fontId="57" fillId="12" borderId="92" xfId="2" applyNumberFormat="1" applyFont="1" applyFill="1" applyBorder="1" applyAlignment="1">
      <alignment horizontal="center" vertical="center"/>
    </xf>
    <xf numFmtId="201" fontId="57" fillId="36" borderId="228" xfId="2" applyNumberFormat="1" applyFont="1" applyFill="1" applyBorder="1" applyAlignment="1">
      <alignment horizontal="center" vertical="center"/>
    </xf>
    <xf numFmtId="201" fontId="57" fillId="36" borderId="385" xfId="2" applyNumberFormat="1" applyFont="1" applyFill="1" applyBorder="1" applyAlignment="1">
      <alignment horizontal="center" vertical="center"/>
    </xf>
    <xf numFmtId="201" fontId="57" fillId="36" borderId="92" xfId="2" applyNumberFormat="1" applyFont="1" applyFill="1" applyBorder="1" applyAlignment="1">
      <alignment horizontal="center" vertical="center"/>
    </xf>
    <xf numFmtId="201" fontId="57" fillId="36" borderId="365" xfId="2" applyNumberFormat="1" applyFont="1" applyFill="1" applyBorder="1" applyAlignment="1">
      <alignment horizontal="center" vertical="center"/>
    </xf>
    <xf numFmtId="201" fontId="57" fillId="36" borderId="189" xfId="2" applyNumberFormat="1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3" fillId="4" borderId="6" xfId="0" applyFont="1" applyFill="1" applyBorder="1" applyAlignment="1">
      <alignment horizontal="center" vertical="center" wrapText="1"/>
    </xf>
    <xf numFmtId="0" fontId="103" fillId="4" borderId="136" xfId="0" applyFont="1" applyFill="1" applyBorder="1" applyAlignment="1">
      <alignment horizontal="center" vertical="center" wrapText="1"/>
    </xf>
    <xf numFmtId="0" fontId="103" fillId="0" borderId="77" xfId="0" applyFont="1" applyBorder="1" applyAlignment="1">
      <alignment horizontal="center" vertical="center" wrapText="1"/>
    </xf>
    <xf numFmtId="0" fontId="103" fillId="0" borderId="136" xfId="0" applyFont="1" applyBorder="1" applyAlignment="1">
      <alignment horizontal="center" vertical="center" wrapText="1"/>
    </xf>
    <xf numFmtId="0" fontId="103" fillId="0" borderId="101" xfId="0" applyFont="1" applyBorder="1" applyAlignment="1">
      <alignment horizontal="center" vertical="center" wrapText="1"/>
    </xf>
    <xf numFmtId="0" fontId="42" fillId="7" borderId="200" xfId="0" applyFont="1" applyFill="1" applyBorder="1" applyAlignment="1">
      <alignment horizontal="center" vertical="center" wrapText="1"/>
    </xf>
    <xf numFmtId="0" fontId="42" fillId="7" borderId="201" xfId="0" applyFont="1" applyFill="1" applyBorder="1" applyAlignment="1">
      <alignment horizontal="center" vertical="center" wrapText="1"/>
    </xf>
    <xf numFmtId="0" fontId="42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201" fontId="57" fillId="38" borderId="14" xfId="2" applyNumberFormat="1" applyFont="1" applyFill="1" applyBorder="1" applyAlignment="1">
      <alignment horizontal="center" vertical="center"/>
    </xf>
    <xf numFmtId="201" fontId="57" fillId="38" borderId="476" xfId="2" applyNumberFormat="1" applyFont="1" applyFill="1" applyBorder="1" applyAlignment="1">
      <alignment horizontal="center" vertical="center"/>
    </xf>
    <xf numFmtId="0" fontId="74" fillId="5" borderId="135" xfId="0" applyFont="1" applyFill="1" applyBorder="1" applyAlignment="1">
      <alignment horizontal="center" vertical="center" wrapText="1"/>
    </xf>
    <xf numFmtId="0" fontId="74" fillId="5" borderId="6" xfId="0" applyFont="1" applyFill="1" applyBorder="1" applyAlignment="1">
      <alignment horizontal="center" vertical="center"/>
    </xf>
    <xf numFmtId="0" fontId="74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26" fillId="5" borderId="135" xfId="0" applyFont="1" applyFill="1" applyBorder="1" applyAlignment="1">
      <alignment horizontal="center" vertical="center" wrapText="1"/>
    </xf>
    <xf numFmtId="0" fontId="26" fillId="5" borderId="6" xfId="0" applyFont="1" applyFill="1" applyBorder="1" applyAlignment="1">
      <alignment horizontal="center" vertical="center"/>
    </xf>
    <xf numFmtId="0" fontId="26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/>
    </xf>
    <xf numFmtId="0" fontId="74" fillId="0" borderId="135" xfId="0" applyFont="1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/>
    </xf>
    <xf numFmtId="0" fontId="74" fillId="0" borderId="13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2" fillId="6" borderId="202" xfId="0" applyFont="1" applyFill="1" applyBorder="1" applyAlignment="1">
      <alignment horizontal="center" vertical="center"/>
    </xf>
    <xf numFmtId="0" fontId="14" fillId="6" borderId="137" xfId="0" applyFont="1" applyFill="1" applyBorder="1" applyAlignment="1">
      <alignment horizontal="center" vertical="center" wrapText="1"/>
    </xf>
    <xf numFmtId="0" fontId="14" fillId="6" borderId="140" xfId="0" applyFont="1" applyFill="1" applyBorder="1" applyAlignment="1">
      <alignment horizontal="center" vertical="center" wrapText="1"/>
    </xf>
    <xf numFmtId="0" fontId="14" fillId="9" borderId="135" xfId="0" applyFont="1" applyFill="1" applyBorder="1" applyAlignment="1">
      <alignment horizontal="center" vertical="center"/>
    </xf>
    <xf numFmtId="0" fontId="14" fillId="6" borderId="135" xfId="0" applyFont="1" applyFill="1" applyBorder="1" applyAlignment="1">
      <alignment horizontal="center" vertical="center"/>
    </xf>
    <xf numFmtId="0" fontId="14" fillId="6" borderId="136" xfId="0" applyFont="1" applyFill="1" applyBorder="1" applyAlignment="1">
      <alignment horizontal="center" vertical="center"/>
    </xf>
    <xf numFmtId="0" fontId="74" fillId="0" borderId="6" xfId="0" applyFont="1" applyBorder="1" applyAlignment="1">
      <alignment horizontal="center" vertical="center" wrapText="1" readingOrder="1"/>
    </xf>
    <xf numFmtId="0" fontId="74" fillId="0" borderId="6" xfId="0" applyFont="1" applyBorder="1" applyAlignment="1">
      <alignment horizontal="center" vertical="center" readingOrder="1"/>
    </xf>
    <xf numFmtId="0" fontId="47" fillId="25" borderId="6" xfId="0" applyFont="1" applyFill="1" applyBorder="1" applyAlignment="1">
      <alignment horizontal="center" vertical="center"/>
    </xf>
    <xf numFmtId="0" fontId="74" fillId="0" borderId="135" xfId="0" applyFont="1" applyBorder="1" applyAlignment="1">
      <alignment horizontal="center" vertical="center" wrapText="1" readingOrder="1"/>
    </xf>
    <xf numFmtId="0" fontId="48" fillId="0" borderId="135" xfId="0" applyFont="1" applyBorder="1" applyAlignment="1">
      <alignment horizontal="center" vertical="center" wrapText="1" readingOrder="1"/>
    </xf>
    <xf numFmtId="0" fontId="48" fillId="0" borderId="6" xfId="0" applyFont="1" applyBorder="1" applyAlignment="1">
      <alignment horizontal="center" vertical="center" wrapText="1" readingOrder="1"/>
    </xf>
    <xf numFmtId="0" fontId="103" fillId="0" borderId="6" xfId="0" applyFont="1" applyBorder="1" applyAlignment="1">
      <alignment horizontal="center" vertical="center" wrapText="1"/>
    </xf>
    <xf numFmtId="0" fontId="74" fillId="0" borderId="136" xfId="0" applyFont="1" applyBorder="1" applyAlignment="1">
      <alignment horizontal="center" vertical="center" readingOrder="1"/>
    </xf>
    <xf numFmtId="0" fontId="48" fillId="0" borderId="136" xfId="0" applyFont="1" applyBorder="1" applyAlignment="1">
      <alignment horizontal="center" vertical="center" readingOrder="1"/>
    </xf>
    <xf numFmtId="201" fontId="57" fillId="12" borderId="75" xfId="2" applyNumberFormat="1" applyFont="1" applyFill="1" applyBorder="1" applyAlignment="1">
      <alignment horizontal="center" vertical="center"/>
    </xf>
    <xf numFmtId="0" fontId="48" fillId="0" borderId="6" xfId="0" applyFont="1" applyBorder="1" applyAlignment="1">
      <alignment horizontal="center" vertical="center" readingOrder="1"/>
    </xf>
    <xf numFmtId="176" fontId="44" fillId="0" borderId="228" xfId="2" applyNumberFormat="1" applyFont="1" applyFill="1" applyBorder="1" applyAlignment="1">
      <alignment horizontal="center" vertical="center"/>
    </xf>
    <xf numFmtId="176" fontId="44" fillId="0" borderId="92" xfId="2" applyNumberFormat="1" applyFont="1" applyFill="1" applyBorder="1" applyAlignment="1">
      <alignment horizontal="center" vertical="center"/>
    </xf>
    <xf numFmtId="176" fontId="15" fillId="0" borderId="406" xfId="2" applyNumberFormat="1" applyFont="1" applyBorder="1" applyAlignment="1">
      <alignment horizontal="center" vertical="center"/>
    </xf>
    <xf numFmtId="0" fontId="74" fillId="0" borderId="321" xfId="0" applyFont="1" applyBorder="1" applyAlignment="1">
      <alignment horizontal="center" vertical="center" wrapText="1"/>
    </xf>
    <xf numFmtId="0" fontId="74" fillId="0" borderId="323" xfId="0" applyFont="1" applyBorder="1" applyAlignment="1">
      <alignment horizontal="center" vertical="center" wrapText="1"/>
    </xf>
    <xf numFmtId="0" fontId="74" fillId="0" borderId="76" xfId="0" applyFont="1" applyBorder="1" applyAlignment="1">
      <alignment horizontal="center" vertical="center" wrapText="1"/>
    </xf>
    <xf numFmtId="0" fontId="48" fillId="0" borderId="137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176" fontId="15" fillId="0" borderId="228" xfId="2" applyNumberFormat="1" applyFont="1" applyFill="1" applyBorder="1" applyAlignment="1">
      <alignment horizontal="center" vertical="center"/>
    </xf>
    <xf numFmtId="176" fontId="15" fillId="0" borderId="385" xfId="2" applyNumberFormat="1" applyFont="1" applyFill="1" applyBorder="1" applyAlignment="1">
      <alignment horizontal="center" vertical="center"/>
    </xf>
    <xf numFmtId="176" fontId="15" fillId="0" borderId="92" xfId="2" applyNumberFormat="1" applyFont="1" applyFill="1" applyBorder="1" applyAlignment="1">
      <alignment horizontal="center" vertical="center"/>
    </xf>
    <xf numFmtId="0" fontId="74" fillId="0" borderId="137" xfId="0" applyFont="1" applyBorder="1" applyAlignment="1">
      <alignment horizontal="center" vertical="center" wrapText="1"/>
    </xf>
    <xf numFmtId="0" fontId="74" fillId="0" borderId="102" xfId="0" applyFont="1" applyBorder="1" applyAlignment="1">
      <alignment horizontal="center" vertical="center" wrapText="1"/>
    </xf>
    <xf numFmtId="0" fontId="74" fillId="0" borderId="77" xfId="0" applyFont="1" applyBorder="1" applyAlignment="1">
      <alignment horizontal="center" vertical="center" wrapText="1"/>
    </xf>
    <xf numFmtId="0" fontId="74" fillId="0" borderId="283" xfId="0" applyFont="1" applyBorder="1" applyAlignment="1">
      <alignment horizontal="center" vertical="center" wrapText="1"/>
    </xf>
    <xf numFmtId="0" fontId="74" fillId="0" borderId="298" xfId="0" applyFont="1" applyBorder="1" applyAlignment="1">
      <alignment horizontal="center" vertical="center" wrapText="1"/>
    </xf>
    <xf numFmtId="176" fontId="15" fillId="0" borderId="406" xfId="2" applyNumberFormat="1" applyFont="1" applyFill="1" applyBorder="1" applyAlignment="1">
      <alignment horizontal="center" vertical="center"/>
    </xf>
    <xf numFmtId="0" fontId="74" fillId="0" borderId="102" xfId="0" applyFont="1" applyBorder="1" applyAlignment="1">
      <alignment horizontal="center" vertical="center"/>
    </xf>
    <xf numFmtId="0" fontId="74" fillId="0" borderId="77" xfId="0" applyFont="1" applyBorder="1" applyAlignment="1">
      <alignment horizontal="center" vertical="center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0" fillId="0" borderId="102" xfId="0" applyBorder="1" applyAlignment="1">
      <alignment horizontal="center" vertical="center" wrapText="1"/>
    </xf>
    <xf numFmtId="0" fontId="42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2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0" fontId="103" fillId="0" borderId="102" xfId="0" applyFont="1" applyBorder="1" applyAlignment="1">
      <alignment horizontal="center" vertical="center" wrapText="1"/>
    </xf>
    <xf numFmtId="198" fontId="44" fillId="11" borderId="379" xfId="2" applyNumberFormat="1" applyFont="1" applyFill="1" applyBorder="1" applyAlignment="1">
      <alignment horizontal="center" vertical="center"/>
    </xf>
    <xf numFmtId="198" fontId="44" fillId="11" borderId="375" xfId="2" applyNumberFormat="1" applyFont="1" applyFill="1" applyBorder="1" applyAlignment="1">
      <alignment horizontal="center" vertical="center"/>
    </xf>
    <xf numFmtId="198" fontId="15" fillId="11" borderId="379" xfId="2" applyNumberFormat="1" applyFont="1" applyFill="1" applyBorder="1" applyAlignment="1">
      <alignment horizontal="center" vertical="center"/>
    </xf>
    <xf numFmtId="198" fontId="15" fillId="11" borderId="375" xfId="2" applyNumberFormat="1" applyFont="1" applyFill="1" applyBorder="1" applyAlignment="1">
      <alignment horizontal="center" vertical="center"/>
    </xf>
    <xf numFmtId="198" fontId="15" fillId="11" borderId="376" xfId="2" applyNumberFormat="1" applyFont="1" applyFill="1" applyBorder="1" applyAlignment="1">
      <alignment horizontal="center" vertical="center"/>
    </xf>
    <xf numFmtId="0" fontId="82" fillId="0" borderId="54" xfId="0" applyFont="1" applyBorder="1" applyAlignment="1">
      <alignment horizontal="center" vertical="center" wrapText="1"/>
    </xf>
    <xf numFmtId="0" fontId="82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74" fillId="0" borderId="6" xfId="0" applyFont="1" applyBorder="1" applyAlignment="1">
      <alignment horizontal="center" vertical="center"/>
    </xf>
    <xf numFmtId="198" fontId="15" fillId="11" borderId="413" xfId="2" applyNumberFormat="1" applyFont="1" applyFill="1" applyBorder="1" applyAlignment="1">
      <alignment horizontal="center" vertical="center"/>
    </xf>
    <xf numFmtId="176" fontId="15" fillId="0" borderId="407" xfId="2" applyNumberFormat="1" applyFont="1" applyBorder="1" applyAlignment="1">
      <alignment horizontal="center" vertical="center"/>
    </xf>
    <xf numFmtId="198" fontId="15" fillId="11" borderId="412" xfId="2" applyNumberFormat="1" applyFont="1" applyFill="1" applyBorder="1" applyAlignment="1">
      <alignment horizontal="center" vertical="center"/>
    </xf>
    <xf numFmtId="0" fontId="74" fillId="0" borderId="102" xfId="0" applyFont="1" applyBorder="1" applyAlignment="1">
      <alignment horizontal="center" vertical="center" wrapText="1" readingOrder="1"/>
    </xf>
    <xf numFmtId="0" fontId="74" fillId="0" borderId="77" xfId="0" applyFont="1" applyBorder="1" applyAlignment="1">
      <alignment horizontal="center" vertical="center" wrapText="1" readingOrder="1"/>
    </xf>
    <xf numFmtId="0" fontId="81" fillId="0" borderId="193" xfId="9" applyFont="1" applyBorder="1" applyAlignment="1">
      <alignment horizontal="center" vertical="center"/>
    </xf>
    <xf numFmtId="0" fontId="81" fillId="0" borderId="194" xfId="9" applyFont="1" applyBorder="1" applyAlignment="1">
      <alignment horizontal="center" vertical="center"/>
    </xf>
    <xf numFmtId="179" fontId="11" fillId="4" borderId="101" xfId="9" applyNumberFormat="1" applyFill="1" applyBorder="1" applyAlignment="1">
      <alignment horizontal="center" vertical="center" wrapText="1"/>
    </xf>
    <xf numFmtId="179" fontId="11" fillId="4" borderId="140" xfId="9" applyNumberFormat="1" applyFill="1" applyBorder="1" applyAlignment="1">
      <alignment horizontal="center" vertical="center" wrapText="1"/>
    </xf>
    <xf numFmtId="179" fontId="3" fillId="0" borderId="245" xfId="9" applyNumberFormat="1" applyFont="1" applyBorder="1" applyAlignment="1">
      <alignment horizontal="center" vertical="center" wrapText="1"/>
    </xf>
    <xf numFmtId="179" fontId="3" fillId="0" borderId="248" xfId="9" applyNumberFormat="1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 wrapText="1"/>
    </xf>
    <xf numFmtId="0" fontId="72" fillId="0" borderId="248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 wrapText="1"/>
    </xf>
    <xf numFmtId="176" fontId="15" fillId="0" borderId="228" xfId="10" applyNumberFormat="1" applyFont="1" applyBorder="1" applyAlignment="1">
      <alignment horizontal="center" vertical="center"/>
    </xf>
    <xf numFmtId="176" fontId="15" fillId="0" borderId="406" xfId="10" applyNumberFormat="1" applyFont="1" applyBorder="1" applyAlignment="1">
      <alignment horizontal="center" vertical="center"/>
    </xf>
    <xf numFmtId="176" fontId="15" fillId="0" borderId="412" xfId="10" applyNumberFormat="1" applyFont="1" applyBorder="1" applyAlignment="1">
      <alignment horizontal="center" vertical="center"/>
    </xf>
    <xf numFmtId="176" fontId="15" fillId="0" borderId="413" xfId="10" applyNumberFormat="1" applyFont="1" applyBorder="1" applyAlignment="1">
      <alignment horizontal="center" vertical="center"/>
    </xf>
    <xf numFmtId="179" fontId="11" fillId="4" borderId="77" xfId="9" applyNumberFormat="1" applyFill="1" applyBorder="1" applyAlignment="1">
      <alignment horizontal="center" vertical="center" wrapText="1"/>
    </xf>
    <xf numFmtId="179" fontId="3" fillId="0" borderId="77" xfId="9" applyNumberFormat="1" applyFont="1" applyBorder="1" applyAlignment="1">
      <alignment horizontal="center" vertical="center" wrapText="1"/>
    </xf>
    <xf numFmtId="179" fontId="3" fillId="0" borderId="6" xfId="9" applyNumberFormat="1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 wrapText="1"/>
    </xf>
    <xf numFmtId="0" fontId="72" fillId="0" borderId="246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 wrapText="1"/>
    </xf>
    <xf numFmtId="176" fontId="15" fillId="0" borderId="92" xfId="10" applyNumberFormat="1" applyFont="1" applyBorder="1" applyAlignment="1">
      <alignment horizontal="center" vertical="center"/>
    </xf>
    <xf numFmtId="176" fontId="15" fillId="0" borderId="375" xfId="10" applyNumberFormat="1" applyFont="1" applyBorder="1" applyAlignment="1">
      <alignment horizontal="center" vertical="center"/>
    </xf>
    <xf numFmtId="0" fontId="81" fillId="0" borderId="201" xfId="9" applyFont="1" applyBorder="1" applyAlignment="1">
      <alignment horizontal="center" vertical="center"/>
    </xf>
    <xf numFmtId="0" fontId="81" fillId="0" borderId="200" xfId="9" applyFont="1" applyBorder="1" applyAlignment="1">
      <alignment horizontal="center" vertical="center"/>
    </xf>
    <xf numFmtId="0" fontId="72" fillId="0" borderId="250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 wrapText="1"/>
    </xf>
    <xf numFmtId="176" fontId="15" fillId="0" borderId="379" xfId="10" applyNumberFormat="1" applyFont="1" applyBorder="1" applyAlignment="1">
      <alignment horizontal="center" vertical="center"/>
    </xf>
    <xf numFmtId="0" fontId="72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179" fontId="4" fillId="4" borderId="77" xfId="9" applyNumberFormat="1" applyFont="1" applyFill="1" applyBorder="1" applyAlignment="1">
      <alignment horizontal="center" vertical="center" wrapText="1"/>
    </xf>
    <xf numFmtId="179" fontId="4" fillId="4" borderId="6" xfId="9" applyNumberFormat="1" applyFont="1" applyFill="1" applyBorder="1" applyAlignment="1">
      <alignment horizontal="center" vertical="center" wrapText="1"/>
    </xf>
    <xf numFmtId="201" fontId="57" fillId="0" borderId="6" xfId="2" applyNumberFormat="1" applyFont="1" applyBorder="1" applyAlignment="1">
      <alignment horizontal="center" vertical="center"/>
    </xf>
    <xf numFmtId="0" fontId="4" fillId="0" borderId="54" xfId="9" quotePrefix="1" applyFont="1" applyBorder="1" applyAlignment="1">
      <alignment horizontal="center" vertical="center" wrapText="1"/>
    </xf>
    <xf numFmtId="0" fontId="4" fillId="0" borderId="51" xfId="9" applyFont="1" applyBorder="1" applyAlignment="1">
      <alignment horizontal="center" vertical="center" wrapText="1"/>
    </xf>
    <xf numFmtId="179" fontId="4" fillId="4" borderId="101" xfId="9" applyNumberFormat="1" applyFont="1" applyFill="1" applyBorder="1" applyAlignment="1">
      <alignment horizontal="center" vertical="center" wrapText="1"/>
    </xf>
    <xf numFmtId="176" fontId="15" fillId="0" borderId="385" xfId="10" applyNumberFormat="1" applyFont="1" applyBorder="1" applyAlignment="1">
      <alignment horizontal="center" vertical="center"/>
    </xf>
    <xf numFmtId="176" fontId="15" fillId="0" borderId="446" xfId="10" applyNumberFormat="1" applyFont="1" applyBorder="1" applyAlignment="1">
      <alignment horizontal="center" vertical="center"/>
    </xf>
    <xf numFmtId="176" fontId="15" fillId="0" borderId="447" xfId="10" applyNumberFormat="1" applyFont="1" applyBorder="1" applyAlignment="1">
      <alignment horizontal="center" vertical="center"/>
    </xf>
    <xf numFmtId="179" fontId="4" fillId="6" borderId="101" xfId="9" applyNumberFormat="1" applyFont="1" applyFill="1" applyBorder="1" applyAlignment="1">
      <alignment horizontal="center" vertical="center" wrapText="1"/>
    </xf>
    <xf numFmtId="179" fontId="4" fillId="6" borderId="77" xfId="9" applyNumberFormat="1" applyFont="1" applyFill="1" applyBorder="1" applyAlignment="1">
      <alignment horizontal="center" vertical="center" wrapText="1"/>
    </xf>
    <xf numFmtId="179" fontId="3" fillId="0" borderId="136" xfId="9" applyNumberFormat="1" applyFont="1" applyBorder="1" applyAlignment="1">
      <alignment horizontal="center" vertical="center" wrapText="1"/>
    </xf>
    <xf numFmtId="201" fontId="57" fillId="36" borderId="6" xfId="2" applyNumberFormat="1" applyFont="1" applyFill="1" applyBorder="1" applyAlignment="1">
      <alignment horizontal="center" vertical="center"/>
    </xf>
    <xf numFmtId="201" fontId="57" fillId="35" borderId="136" xfId="2" applyNumberFormat="1" applyFont="1" applyFill="1" applyBorder="1" applyAlignment="1">
      <alignment horizontal="center" vertical="center"/>
    </xf>
    <xf numFmtId="0" fontId="81" fillId="0" borderId="192" xfId="9" applyFont="1" applyBorder="1" applyAlignment="1">
      <alignment horizontal="center" vertical="center"/>
    </xf>
    <xf numFmtId="179" fontId="4" fillId="4" borderId="137" xfId="9" applyNumberFormat="1" applyFont="1" applyFill="1" applyBorder="1" applyAlignment="1">
      <alignment horizontal="center" vertical="center" wrapText="1"/>
    </xf>
    <xf numFmtId="176" fontId="15" fillId="0" borderId="407" xfId="10" applyNumberFormat="1" applyFont="1" applyBorder="1" applyAlignment="1">
      <alignment horizontal="center" vertical="center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26" fillId="0" borderId="214" xfId="0" applyFont="1" applyBorder="1" applyAlignment="1">
      <alignment horizontal="center" vertical="center" wrapText="1"/>
    </xf>
    <xf numFmtId="0" fontId="26" fillId="0" borderId="211" xfId="0" applyFont="1" applyBorder="1" applyAlignment="1">
      <alignment horizontal="center" vertical="center" wrapText="1"/>
    </xf>
    <xf numFmtId="0" fontId="26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74" fillId="0" borderId="240" xfId="0" applyFont="1" applyBorder="1" applyAlignment="1">
      <alignment horizontal="center" vertical="center" wrapText="1"/>
    </xf>
    <xf numFmtId="0" fontId="74" fillId="0" borderId="211" xfId="0" applyFont="1" applyBorder="1" applyAlignment="1">
      <alignment horizontal="center" vertical="center" wrapText="1"/>
    </xf>
    <xf numFmtId="0" fontId="74" fillId="0" borderId="197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26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74" fillId="0" borderId="214" xfId="0" applyFont="1" applyBorder="1" applyAlignment="1">
      <alignment horizontal="center" vertical="center" wrapText="1"/>
    </xf>
    <xf numFmtId="0" fontId="74" fillId="0" borderId="182" xfId="0" applyFont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26" fillId="0" borderId="182" xfId="0" applyFont="1" applyBorder="1" applyAlignment="1">
      <alignment horizontal="center" vertical="center" wrapText="1"/>
    </xf>
    <xf numFmtId="0" fontId="26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81" fillId="0" borderId="226" xfId="9" applyFont="1" applyBorder="1" applyAlignment="1">
      <alignment horizontal="center" vertical="center"/>
    </xf>
    <xf numFmtId="0" fontId="81" fillId="0" borderId="204" xfId="9" applyFont="1" applyBorder="1" applyAlignment="1">
      <alignment horizontal="center" vertical="center"/>
    </xf>
    <xf numFmtId="179" fontId="92" fillId="4" borderId="135" xfId="9" applyNumberFormat="1" applyFont="1" applyFill="1" applyBorder="1" applyAlignment="1">
      <alignment horizontal="center" vertical="center" wrapText="1"/>
    </xf>
    <xf numFmtId="179" fontId="92" fillId="4" borderId="101" xfId="9" applyNumberFormat="1" applyFont="1" applyFill="1" applyBorder="1" applyAlignment="1">
      <alignment horizontal="center" vertical="center"/>
    </xf>
    <xf numFmtId="0" fontId="2" fillId="0" borderId="34" xfId="9" applyFont="1" applyBorder="1" applyAlignment="1">
      <alignment horizontal="center" vertical="center" wrapText="1"/>
    </xf>
    <xf numFmtId="0" fontId="11" fillId="0" borderId="54" xfId="9" applyBorder="1" applyAlignment="1">
      <alignment horizontal="center" vertical="center" wrapText="1"/>
    </xf>
    <xf numFmtId="179" fontId="92" fillId="0" borderId="6" xfId="9" applyNumberFormat="1" applyFont="1" applyBorder="1" applyAlignment="1">
      <alignment horizontal="center" vertical="center"/>
    </xf>
    <xf numFmtId="179" fontId="92" fillId="0" borderId="136" xfId="9" applyNumberFormat="1" applyFont="1" applyBorder="1" applyAlignment="1">
      <alignment horizontal="center" vertical="center"/>
    </xf>
    <xf numFmtId="0" fontId="86" fillId="0" borderId="6" xfId="0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7" fillId="0" borderId="136" xfId="9" applyFont="1" applyBorder="1" applyAlignment="1">
      <alignment horizontal="center" vertical="center" wrapText="1"/>
    </xf>
    <xf numFmtId="0" fontId="87" fillId="0" borderId="6" xfId="0" applyFont="1" applyBorder="1" applyAlignment="1">
      <alignment horizontal="center" vertical="center" wrapText="1"/>
    </xf>
    <xf numFmtId="0" fontId="87" fillId="0" borderId="136" xfId="0" applyFont="1" applyBorder="1" applyAlignment="1">
      <alignment horizontal="center" vertical="center" wrapText="1"/>
    </xf>
    <xf numFmtId="201" fontId="57" fillId="0" borderId="135" xfId="2" applyNumberFormat="1" applyFont="1" applyBorder="1" applyAlignment="1">
      <alignment horizontal="center" vertical="center"/>
    </xf>
    <xf numFmtId="201" fontId="57" fillId="0" borderId="136" xfId="2" applyNumberFormat="1" applyFont="1" applyBorder="1" applyAlignment="1">
      <alignment horizontal="center" vertical="center"/>
    </xf>
    <xf numFmtId="179" fontId="11" fillId="4" borderId="136" xfId="9" applyNumberFormat="1" applyFill="1" applyBorder="1" applyAlignment="1">
      <alignment horizontal="center" vertical="center" wrapText="1"/>
    </xf>
    <xf numFmtId="0" fontId="81" fillId="0" borderId="202" xfId="9" applyFont="1" applyBorder="1" applyAlignment="1">
      <alignment horizontal="center" vertical="center"/>
    </xf>
    <xf numFmtId="179" fontId="4" fillId="4" borderId="102" xfId="9" applyNumberFormat="1" applyFont="1" applyFill="1" applyBorder="1" applyAlignment="1">
      <alignment horizontal="center" vertical="center" wrapText="1"/>
    </xf>
    <xf numFmtId="179" fontId="4" fillId="4" borderId="140" xfId="9" applyNumberFormat="1" applyFont="1" applyFill="1" applyBorder="1" applyAlignment="1">
      <alignment horizontal="center" vertical="center" wrapText="1"/>
    </xf>
    <xf numFmtId="0" fontId="72" fillId="0" borderId="135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86" fillId="0" borderId="101" xfId="9" applyFont="1" applyBorder="1" applyAlignment="1">
      <alignment horizontal="center" vertical="center" wrapText="1"/>
    </xf>
    <xf numFmtId="0" fontId="86" fillId="0" borderId="77" xfId="9" applyFont="1" applyBorder="1" applyAlignment="1">
      <alignment horizontal="center" vertical="center" wrapText="1"/>
    </xf>
    <xf numFmtId="0" fontId="48" fillId="0" borderId="6" xfId="9" applyFont="1" applyBorder="1" applyAlignment="1">
      <alignment horizontal="center" vertical="center" wrapText="1"/>
    </xf>
    <xf numFmtId="0" fontId="48" fillId="0" borderId="136" xfId="9" applyFont="1" applyBorder="1" applyAlignment="1">
      <alignment horizontal="center" vertical="center"/>
    </xf>
    <xf numFmtId="0" fontId="87" fillId="0" borderId="101" xfId="9" applyFont="1" applyBorder="1" applyAlignment="1">
      <alignment horizontal="center" vertical="center" wrapText="1"/>
    </xf>
    <xf numFmtId="0" fontId="87" fillId="0" borderId="140" xfId="9" applyFont="1" applyBorder="1" applyAlignment="1">
      <alignment horizontal="center" vertical="center" wrapText="1"/>
    </xf>
    <xf numFmtId="179" fontId="11" fillId="4" borderId="6" xfId="9" applyNumberFormat="1" applyFill="1" applyBorder="1" applyAlignment="1">
      <alignment horizontal="center" vertical="center" wrapText="1"/>
    </xf>
    <xf numFmtId="0" fontId="14" fillId="6" borderId="482" xfId="0" applyFont="1" applyFill="1" applyBorder="1" applyAlignment="1">
      <alignment horizontal="center" vertical="center" wrapText="1"/>
    </xf>
    <xf numFmtId="0" fontId="14" fillId="6" borderId="483" xfId="0" applyFont="1" applyFill="1" applyBorder="1" applyAlignment="1">
      <alignment horizontal="center" vertical="center" wrapText="1"/>
    </xf>
    <xf numFmtId="176" fontId="42" fillId="6" borderId="376" xfId="2" applyNumberFormat="1" applyFont="1" applyFill="1" applyBorder="1" applyAlignment="1">
      <alignment horizontal="center" vertical="center"/>
    </xf>
    <xf numFmtId="176" fontId="42" fillId="6" borderId="413" xfId="2" applyNumberFormat="1" applyFont="1" applyFill="1" applyBorder="1" applyAlignment="1">
      <alignment horizontal="center" vertical="center"/>
    </xf>
    <xf numFmtId="201" fontId="15" fillId="0" borderId="137" xfId="2" applyNumberFormat="1" applyFont="1" applyFill="1" applyBorder="1" applyAlignment="1">
      <alignment horizontal="center" vertical="center"/>
    </xf>
    <xf numFmtId="201" fontId="15" fillId="0" borderId="102" xfId="2" applyNumberFormat="1" applyFont="1" applyFill="1" applyBorder="1" applyAlignment="1">
      <alignment horizontal="center" vertical="center"/>
    </xf>
    <xf numFmtId="201" fontId="15" fillId="0" borderId="140" xfId="2" applyNumberFormat="1" applyFont="1" applyFill="1" applyBorder="1" applyAlignment="1">
      <alignment horizontal="center" vertical="center"/>
    </xf>
    <xf numFmtId="201" fontId="15" fillId="0" borderId="137" xfId="2" applyNumberFormat="1" applyFont="1" applyBorder="1" applyAlignment="1">
      <alignment horizontal="center" vertical="center"/>
    </xf>
    <xf numFmtId="201" fontId="15" fillId="0" borderId="102" xfId="2" applyNumberFormat="1" applyFont="1" applyBorder="1" applyAlignment="1">
      <alignment horizontal="center" vertical="center"/>
    </xf>
    <xf numFmtId="201" fontId="15" fillId="0" borderId="140" xfId="2" applyNumberFormat="1" applyFont="1" applyBorder="1" applyAlignment="1">
      <alignment horizontal="center" vertical="center"/>
    </xf>
    <xf numFmtId="0" fontId="47" fillId="0" borderId="321" xfId="0" applyFont="1" applyBorder="1" applyAlignment="1">
      <alignment horizontal="center" vertical="center" wrapText="1"/>
    </xf>
    <xf numFmtId="0" fontId="47" fillId="0" borderId="323" xfId="0" applyFont="1" applyBorder="1" applyAlignment="1">
      <alignment horizontal="center" vertical="center" wrapText="1"/>
    </xf>
    <xf numFmtId="0" fontId="47" fillId="0" borderId="298" xfId="0" applyFont="1" applyBorder="1" applyAlignment="1">
      <alignment horizontal="center" vertical="center" wrapText="1"/>
    </xf>
    <xf numFmtId="0" fontId="47" fillId="0" borderId="283" xfId="0" applyFont="1" applyBorder="1" applyAlignment="1">
      <alignment horizontal="center" vertical="center" wrapText="1"/>
    </xf>
    <xf numFmtId="0" fontId="14" fillId="9" borderId="31" xfId="0" applyFont="1" applyFill="1" applyBorder="1" applyAlignment="1">
      <alignment horizontal="center" vertical="center"/>
    </xf>
    <xf numFmtId="0" fontId="14" fillId="9" borderId="27" xfId="0" applyFont="1" applyFill="1" applyBorder="1" applyAlignment="1">
      <alignment horizontal="center" vertical="center"/>
    </xf>
    <xf numFmtId="0" fontId="14" fillId="9" borderId="29" xfId="0" applyFont="1" applyFill="1" applyBorder="1" applyAlignment="1">
      <alignment horizontal="center" vertical="center"/>
    </xf>
    <xf numFmtId="0" fontId="42" fillId="6" borderId="46" xfId="0" applyFont="1" applyFill="1" applyBorder="1" applyAlignment="1">
      <alignment horizontal="center" vertical="center"/>
    </xf>
    <xf numFmtId="0" fontId="42" fillId="6" borderId="168" xfId="0" applyFont="1" applyFill="1" applyBorder="1" applyAlignment="1">
      <alignment horizontal="center" vertical="center"/>
    </xf>
    <xf numFmtId="0" fontId="42" fillId="6" borderId="50" xfId="0" applyFont="1" applyFill="1" applyBorder="1" applyAlignment="1">
      <alignment horizontal="center" vertical="center"/>
    </xf>
    <xf numFmtId="0" fontId="25" fillId="6" borderId="46" xfId="0" applyFont="1" applyFill="1" applyBorder="1" applyAlignment="1">
      <alignment horizontal="center" vertical="center"/>
    </xf>
    <xf numFmtId="0" fontId="25" fillId="6" borderId="168" xfId="0" applyFont="1" applyFill="1" applyBorder="1" applyAlignment="1">
      <alignment horizontal="center" vertical="center"/>
    </xf>
    <xf numFmtId="0" fontId="25" fillId="6" borderId="50" xfId="0" applyFont="1" applyFill="1" applyBorder="1" applyAlignment="1">
      <alignment horizontal="center" vertical="center"/>
    </xf>
    <xf numFmtId="0" fontId="47" fillId="23" borderId="321" xfId="0" applyFont="1" applyFill="1" applyBorder="1" applyAlignment="1">
      <alignment horizontal="center" vertical="center"/>
    </xf>
    <xf numFmtId="0" fontId="47" fillId="23" borderId="323" xfId="0" applyFont="1" applyFill="1" applyBorder="1" applyAlignment="1">
      <alignment horizontal="center" vertical="center"/>
    </xf>
    <xf numFmtId="0" fontId="47" fillId="23" borderId="298" xfId="0" applyFont="1" applyFill="1" applyBorder="1" applyAlignment="1">
      <alignment horizontal="center" vertical="center"/>
    </xf>
    <xf numFmtId="0" fontId="26" fillId="23" borderId="322" xfId="0" applyFont="1" applyFill="1" applyBorder="1" applyAlignment="1">
      <alignment horizontal="center" vertical="center"/>
    </xf>
    <xf numFmtId="0" fontId="26" fillId="23" borderId="324" xfId="0" applyFont="1" applyFill="1" applyBorder="1" applyAlignment="1">
      <alignment horizontal="center" vertical="center"/>
    </xf>
    <xf numFmtId="0" fontId="26" fillId="23" borderId="299" xfId="0" applyFont="1" applyFill="1" applyBorder="1" applyAlignment="1">
      <alignment horizontal="center" vertical="center"/>
    </xf>
    <xf numFmtId="194" fontId="47" fillId="0" borderId="321" xfId="2" applyNumberFormat="1" applyFont="1" applyFill="1" applyBorder="1" applyAlignment="1">
      <alignment horizontal="center" vertical="center"/>
    </xf>
    <xf numFmtId="194" fontId="47" fillId="0" borderId="323" xfId="2" applyNumberFormat="1" applyFont="1" applyFill="1" applyBorder="1" applyAlignment="1">
      <alignment horizontal="center" vertical="center"/>
    </xf>
    <xf numFmtId="194" fontId="47" fillId="0" borderId="298" xfId="2" applyNumberFormat="1" applyFont="1" applyFill="1" applyBorder="1" applyAlignment="1">
      <alignment horizontal="center" vertical="center"/>
    </xf>
    <xf numFmtId="195" fontId="47" fillId="0" borderId="137" xfId="2" applyNumberFormat="1" applyFont="1" applyFill="1" applyBorder="1" applyAlignment="1">
      <alignment horizontal="center" vertical="center"/>
    </xf>
    <xf numFmtId="195" fontId="47" fillId="0" borderId="102" xfId="2" applyNumberFormat="1" applyFont="1" applyFill="1" applyBorder="1" applyAlignment="1">
      <alignment horizontal="center" vertical="center"/>
    </xf>
    <xf numFmtId="195" fontId="47" fillId="0" borderId="140" xfId="2" applyNumberFormat="1" applyFont="1" applyFill="1" applyBorder="1" applyAlignment="1">
      <alignment horizontal="center" vertical="center"/>
    </xf>
    <xf numFmtId="0" fontId="47" fillId="0" borderId="137" xfId="0" quotePrefix="1" applyFont="1" applyBorder="1" applyAlignment="1">
      <alignment horizontal="center" vertical="center"/>
    </xf>
    <xf numFmtId="0" fontId="47" fillId="0" borderId="140" xfId="0" applyFont="1" applyBorder="1" applyAlignment="1">
      <alignment horizontal="center" vertical="center"/>
    </xf>
    <xf numFmtId="193" fontId="47" fillId="0" borderId="322" xfId="0" applyNumberFormat="1" applyFont="1" applyBorder="1" applyAlignment="1">
      <alignment horizontal="center" vertical="center"/>
    </xf>
    <xf numFmtId="193" fontId="47" fillId="0" borderId="324" xfId="0" applyNumberFormat="1" applyFont="1" applyBorder="1" applyAlignment="1">
      <alignment horizontal="center" vertical="center"/>
    </xf>
    <xf numFmtId="193" fontId="47" fillId="0" borderId="299" xfId="0" applyNumberFormat="1" applyFont="1" applyBorder="1" applyAlignment="1">
      <alignment horizontal="center" vertical="center"/>
    </xf>
    <xf numFmtId="194" fontId="26" fillId="0" borderId="321" xfId="2" applyNumberFormat="1" applyFont="1" applyFill="1" applyBorder="1" applyAlignment="1">
      <alignment horizontal="center" vertical="center"/>
    </xf>
    <xf numFmtId="194" fontId="26" fillId="0" borderId="323" xfId="2" applyNumberFormat="1" applyFont="1" applyFill="1" applyBorder="1" applyAlignment="1">
      <alignment horizontal="center" vertical="center"/>
    </xf>
    <xf numFmtId="194" fontId="26" fillId="0" borderId="298" xfId="2" applyNumberFormat="1" applyFont="1" applyFill="1" applyBorder="1" applyAlignment="1">
      <alignment horizontal="center" vertical="center"/>
    </xf>
    <xf numFmtId="195" fontId="26" fillId="0" borderId="137" xfId="2" applyNumberFormat="1" applyFont="1" applyFill="1" applyBorder="1" applyAlignment="1">
      <alignment horizontal="center" vertical="center"/>
    </xf>
    <xf numFmtId="195" fontId="26" fillId="0" borderId="102" xfId="2" applyNumberFormat="1" applyFont="1" applyFill="1" applyBorder="1" applyAlignment="1">
      <alignment horizontal="center" vertical="center"/>
    </xf>
    <xf numFmtId="195" fontId="26" fillId="0" borderId="140" xfId="2" applyNumberFormat="1" applyFont="1" applyFill="1" applyBorder="1" applyAlignment="1">
      <alignment horizontal="center" vertical="center"/>
    </xf>
    <xf numFmtId="0" fontId="25" fillId="0" borderId="137" xfId="0" quotePrefix="1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140" xfId="0" applyFont="1" applyBorder="1" applyAlignment="1">
      <alignment horizontal="center" vertical="center"/>
    </xf>
    <xf numFmtId="193" fontId="26" fillId="0" borderId="322" xfId="0" applyNumberFormat="1" applyFont="1" applyBorder="1" applyAlignment="1">
      <alignment horizontal="center" vertical="center"/>
    </xf>
    <xf numFmtId="193" fontId="26" fillId="0" borderId="324" xfId="0" applyNumberFormat="1" applyFont="1" applyBorder="1" applyAlignment="1">
      <alignment horizontal="center" vertical="center"/>
    </xf>
    <xf numFmtId="193" fontId="26" fillId="0" borderId="299" xfId="0" applyNumberFormat="1" applyFont="1" applyBorder="1" applyAlignment="1">
      <alignment horizontal="center" vertical="center"/>
    </xf>
    <xf numFmtId="0" fontId="47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26" fillId="0" borderId="322" xfId="0" applyFont="1" applyBorder="1" applyAlignment="1">
      <alignment horizontal="center" vertical="center" wrapText="1"/>
    </xf>
    <xf numFmtId="0" fontId="26" fillId="0" borderId="324" xfId="0" applyFont="1" applyBorder="1" applyAlignment="1">
      <alignment horizontal="center" vertical="center" wrapText="1"/>
    </xf>
    <xf numFmtId="0" fontId="26" fillId="0" borderId="299" xfId="0" applyFont="1" applyBorder="1" applyAlignment="1">
      <alignment horizontal="center" vertical="center" wrapText="1"/>
    </xf>
    <xf numFmtId="199" fontId="15" fillId="0" borderId="226" xfId="2" applyNumberFormat="1" applyFont="1" applyFill="1" applyBorder="1" applyAlignment="1">
      <alignment horizontal="center" vertical="center"/>
    </xf>
    <xf numFmtId="199" fontId="15" fillId="0" borderId="204" xfId="2" applyNumberFormat="1" applyFont="1" applyFill="1" applyBorder="1" applyAlignment="1">
      <alignment horizontal="center" vertical="center"/>
    </xf>
    <xf numFmtId="199" fontId="15" fillId="0" borderId="202" xfId="2" applyNumberFormat="1" applyFont="1" applyFill="1" applyBorder="1" applyAlignment="1">
      <alignment horizontal="center" vertical="center"/>
    </xf>
    <xf numFmtId="176" fontId="15" fillId="0" borderId="407" xfId="2" applyNumberFormat="1" applyFont="1" applyFill="1" applyBorder="1" applyAlignment="1">
      <alignment horizontal="center" vertical="center"/>
    </xf>
    <xf numFmtId="176" fontId="31" fillId="0" borderId="137" xfId="2" applyNumberFormat="1" applyFont="1" applyFill="1" applyBorder="1" applyAlignment="1">
      <alignment horizontal="center" vertical="center"/>
    </xf>
    <xf numFmtId="176" fontId="31" fillId="0" borderId="102" xfId="2" applyNumberFormat="1" applyFont="1" applyFill="1" applyBorder="1" applyAlignment="1">
      <alignment horizontal="center" vertical="center"/>
    </xf>
    <xf numFmtId="176" fontId="31" fillId="0" borderId="140" xfId="2" applyNumberFormat="1" applyFont="1" applyFill="1" applyBorder="1" applyAlignment="1">
      <alignment horizontal="center" vertical="center"/>
    </xf>
    <xf numFmtId="199" fontId="15" fillId="0" borderId="226" xfId="2" applyNumberFormat="1" applyFont="1" applyBorder="1" applyAlignment="1">
      <alignment horizontal="center" vertical="center"/>
    </xf>
    <xf numFmtId="199" fontId="15" fillId="0" borderId="204" xfId="2" applyNumberFormat="1" applyFont="1" applyBorder="1" applyAlignment="1">
      <alignment horizontal="center" vertical="center"/>
    </xf>
    <xf numFmtId="199" fontId="15" fillId="0" borderId="202" xfId="2" applyNumberFormat="1" applyFont="1" applyBorder="1" applyAlignment="1">
      <alignment horizontal="center" vertical="center"/>
    </xf>
    <xf numFmtId="176" fontId="31" fillId="0" borderId="137" xfId="2" applyNumberFormat="1" applyFont="1" applyBorder="1" applyAlignment="1">
      <alignment horizontal="center" vertical="center"/>
    </xf>
    <xf numFmtId="176" fontId="31" fillId="0" borderId="102" xfId="2" applyNumberFormat="1" applyFont="1" applyBorder="1" applyAlignment="1">
      <alignment horizontal="center" vertical="center"/>
    </xf>
    <xf numFmtId="176" fontId="31" fillId="0" borderId="140" xfId="2" applyNumberFormat="1" applyFont="1" applyBorder="1" applyAlignment="1">
      <alignment horizontal="center" vertical="center"/>
    </xf>
    <xf numFmtId="176" fontId="44" fillId="0" borderId="137" xfId="2" applyNumberFormat="1" applyFont="1" applyBorder="1" applyAlignment="1">
      <alignment horizontal="center" vertical="center"/>
    </xf>
    <xf numFmtId="176" fontId="44" fillId="0" borderId="102" xfId="2" applyNumberFormat="1" applyFont="1" applyBorder="1" applyAlignment="1">
      <alignment horizontal="center" vertical="center"/>
    </xf>
    <xf numFmtId="176" fontId="44" fillId="0" borderId="140" xfId="2" applyNumberFormat="1" applyFont="1" applyBorder="1" applyAlignment="1">
      <alignment horizontal="center" vertical="center"/>
    </xf>
    <xf numFmtId="0" fontId="26" fillId="0" borderId="226" xfId="0" applyFont="1" applyBorder="1" applyAlignment="1">
      <alignment horizontal="center" vertical="center"/>
    </xf>
    <xf numFmtId="0" fontId="26" fillId="0" borderId="204" xfId="0" applyFont="1" applyBorder="1" applyAlignment="1">
      <alignment horizontal="center" vertical="center"/>
    </xf>
    <xf numFmtId="0" fontId="26" fillId="0" borderId="202" xfId="0" applyFont="1" applyBorder="1" applyAlignment="1">
      <alignment horizontal="center" vertical="center"/>
    </xf>
    <xf numFmtId="201" fontId="98" fillId="0" borderId="137" xfId="2" applyNumberFormat="1" applyFont="1" applyFill="1" applyBorder="1" applyAlignment="1">
      <alignment horizontal="center" vertical="center"/>
    </xf>
    <xf numFmtId="201" fontId="98" fillId="0" borderId="102" xfId="2" applyNumberFormat="1" applyFont="1" applyFill="1" applyBorder="1" applyAlignment="1">
      <alignment horizontal="center" vertical="center"/>
    </xf>
    <xf numFmtId="201" fontId="98" fillId="0" borderId="140" xfId="2" applyNumberFormat="1" applyFont="1" applyFill="1" applyBorder="1" applyAlignment="1">
      <alignment horizontal="center" vertical="center"/>
    </xf>
    <xf numFmtId="176" fontId="44" fillId="0" borderId="137" xfId="2" applyNumberFormat="1" applyFont="1" applyFill="1" applyBorder="1" applyAlignment="1">
      <alignment horizontal="center" vertical="center"/>
    </xf>
    <xf numFmtId="176" fontId="44" fillId="0" borderId="102" xfId="2" applyNumberFormat="1" applyFont="1" applyFill="1" applyBorder="1" applyAlignment="1">
      <alignment horizontal="center" vertical="center"/>
    </xf>
    <xf numFmtId="176" fontId="44" fillId="0" borderId="140" xfId="2" applyNumberFormat="1" applyFont="1" applyFill="1" applyBorder="1" applyAlignment="1">
      <alignment horizontal="center" vertical="center"/>
    </xf>
    <xf numFmtId="176" fontId="31" fillId="0" borderId="407" xfId="2" applyNumberFormat="1" applyFont="1" applyFill="1" applyBorder="1" applyAlignment="1">
      <alignment horizontal="center" vertical="center"/>
    </xf>
    <xf numFmtId="176" fontId="31" fillId="0" borderId="385" xfId="2" applyNumberFormat="1" applyFont="1" applyFill="1" applyBorder="1" applyAlignment="1">
      <alignment horizontal="center" vertical="center"/>
    </xf>
    <xf numFmtId="176" fontId="31" fillId="0" borderId="406" xfId="2" applyNumberFormat="1" applyFont="1" applyFill="1" applyBorder="1" applyAlignment="1">
      <alignment horizontal="center" vertical="center"/>
    </xf>
    <xf numFmtId="199" fontId="44" fillId="0" borderId="226" xfId="2" applyNumberFormat="1" applyFont="1" applyFill="1" applyBorder="1" applyAlignment="1">
      <alignment horizontal="center" vertical="center"/>
    </xf>
    <xf numFmtId="199" fontId="44" fillId="0" borderId="204" xfId="2" applyNumberFormat="1" applyFont="1" applyFill="1" applyBorder="1" applyAlignment="1">
      <alignment horizontal="center" vertical="center"/>
    </xf>
    <xf numFmtId="199" fontId="44" fillId="0" borderId="202" xfId="2" applyNumberFormat="1" applyFont="1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14" fillId="6" borderId="189" xfId="0" applyFont="1" applyFill="1" applyBorder="1" applyAlignment="1">
      <alignment horizontal="center" vertical="center" wrapText="1"/>
    </xf>
    <xf numFmtId="0" fontId="14" fillId="6" borderId="13" xfId="0" applyFont="1" applyFill="1" applyBorder="1" applyAlignment="1">
      <alignment horizontal="center" vertical="center" wrapText="1"/>
    </xf>
    <xf numFmtId="0" fontId="14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176" fontId="44" fillId="0" borderId="214" xfId="2" applyNumberFormat="1" applyFont="1" applyFill="1" applyBorder="1" applyAlignment="1">
      <alignment horizontal="center" vertical="center"/>
    </xf>
    <xf numFmtId="176" fontId="44" fillId="0" borderId="211" xfId="2" applyNumberFormat="1" applyFont="1" applyFill="1" applyBorder="1" applyAlignment="1">
      <alignment horizontal="center" vertical="center"/>
    </xf>
    <xf numFmtId="176" fontId="44" fillId="0" borderId="352" xfId="2" applyNumberFormat="1" applyFont="1" applyFill="1" applyBorder="1" applyAlignment="1">
      <alignment horizontal="center" vertical="center"/>
    </xf>
    <xf numFmtId="176" fontId="31" fillId="0" borderId="214" xfId="2" applyNumberFormat="1" applyFont="1" applyFill="1" applyBorder="1" applyAlignment="1">
      <alignment horizontal="center" vertical="center"/>
    </xf>
    <xf numFmtId="176" fontId="31" fillId="0" borderId="211" xfId="2" applyNumberFormat="1" applyFont="1" applyFill="1" applyBorder="1" applyAlignment="1">
      <alignment horizontal="center" vertical="center"/>
    </xf>
    <xf numFmtId="176" fontId="31" fillId="0" borderId="352" xfId="2" applyNumberFormat="1" applyFont="1" applyFill="1" applyBorder="1" applyAlignment="1">
      <alignment horizontal="center" vertical="center"/>
    </xf>
    <xf numFmtId="176" fontId="15" fillId="0" borderId="408" xfId="2" applyNumberFormat="1" applyFont="1" applyFill="1" applyBorder="1" applyAlignment="1">
      <alignment horizontal="center" vertical="center"/>
    </xf>
    <xf numFmtId="176" fontId="15" fillId="0" borderId="409" xfId="2" applyNumberFormat="1" applyFont="1" applyFill="1" applyBorder="1" applyAlignment="1">
      <alignment horizontal="center" vertical="center"/>
    </xf>
    <xf numFmtId="176" fontId="15" fillId="0" borderId="410" xfId="2" applyNumberFormat="1" applyFont="1" applyFill="1" applyBorder="1" applyAlignment="1">
      <alignment horizontal="center" vertical="center"/>
    </xf>
    <xf numFmtId="199" fontId="15" fillId="0" borderId="435" xfId="2" applyNumberFormat="1" applyFont="1" applyFill="1" applyBorder="1" applyAlignment="1">
      <alignment horizontal="center" vertical="center"/>
    </xf>
    <xf numFmtId="199" fontId="15" fillId="0" borderId="437" xfId="2" applyNumberFormat="1" applyFont="1" applyFill="1" applyBorder="1" applyAlignment="1">
      <alignment horizontal="center" vertical="center"/>
    </xf>
    <xf numFmtId="199" fontId="15" fillId="0" borderId="439" xfId="2" applyNumberFormat="1" applyFont="1" applyFill="1" applyBorder="1" applyAlignment="1">
      <alignment horizontal="center" vertical="center"/>
    </xf>
    <xf numFmtId="198" fontId="15" fillId="11" borderId="414" xfId="2" applyNumberFormat="1" applyFont="1" applyFill="1" applyBorder="1" applyAlignment="1">
      <alignment horizontal="center" vertical="center"/>
    </xf>
    <xf numFmtId="198" fontId="15" fillId="11" borderId="415" xfId="2" applyNumberFormat="1" applyFont="1" applyFill="1" applyBorder="1" applyAlignment="1">
      <alignment horizontal="center" vertical="center"/>
    </xf>
    <xf numFmtId="198" fontId="15" fillId="11" borderId="416" xfId="2" applyNumberFormat="1" applyFont="1" applyFill="1" applyBorder="1" applyAlignment="1">
      <alignment horizontal="center" vertical="center"/>
    </xf>
    <xf numFmtId="176" fontId="44" fillId="0" borderId="77" xfId="2" applyNumberFormat="1" applyFont="1" applyFill="1" applyBorder="1" applyAlignment="1">
      <alignment horizontal="center" vertical="center"/>
    </xf>
    <xf numFmtId="176" fontId="31" fillId="0" borderId="77" xfId="2" applyNumberFormat="1" applyFont="1" applyFill="1" applyBorder="1" applyAlignment="1">
      <alignment horizontal="center" vertical="center"/>
    </xf>
    <xf numFmtId="199" fontId="15" fillId="0" borderId="201" xfId="2" applyNumberFormat="1" applyFont="1" applyFill="1" applyBorder="1" applyAlignment="1">
      <alignment horizontal="center" vertical="center"/>
    </xf>
    <xf numFmtId="194" fontId="47" fillId="0" borderId="321" xfId="2" applyNumberFormat="1" applyFont="1" applyBorder="1" applyAlignment="1">
      <alignment horizontal="center" vertical="center"/>
    </xf>
    <xf numFmtId="194" fontId="47" fillId="0" borderId="323" xfId="2" applyNumberFormat="1" applyFont="1" applyBorder="1" applyAlignment="1">
      <alignment horizontal="center" vertical="center"/>
    </xf>
    <xf numFmtId="194" fontId="47" fillId="0" borderId="298" xfId="2" applyNumberFormat="1" applyFont="1" applyBorder="1" applyAlignment="1">
      <alignment horizontal="center" vertical="center"/>
    </xf>
    <xf numFmtId="195" fontId="47" fillId="0" borderId="137" xfId="2" applyNumberFormat="1" applyFont="1" applyBorder="1" applyAlignment="1">
      <alignment horizontal="center" vertical="center"/>
    </xf>
    <xf numFmtId="195" fontId="47" fillId="0" borderId="102" xfId="2" applyNumberFormat="1" applyFont="1" applyBorder="1" applyAlignment="1">
      <alignment horizontal="center" vertical="center"/>
    </xf>
    <xf numFmtId="195" fontId="47" fillId="0" borderId="140" xfId="2" applyNumberFormat="1" applyFont="1" applyBorder="1" applyAlignment="1">
      <alignment horizontal="center" vertical="center"/>
    </xf>
    <xf numFmtId="194" fontId="26" fillId="0" borderId="321" xfId="2" applyNumberFormat="1" applyFont="1" applyBorder="1" applyAlignment="1">
      <alignment horizontal="center" vertical="center"/>
    </xf>
    <xf numFmtId="194" fontId="26" fillId="0" borderId="323" xfId="2" applyNumberFormat="1" applyFont="1" applyBorder="1" applyAlignment="1">
      <alignment horizontal="center" vertical="center"/>
    </xf>
    <xf numFmtId="194" fontId="26" fillId="0" borderId="298" xfId="2" applyNumberFormat="1" applyFont="1" applyBorder="1" applyAlignment="1">
      <alignment horizontal="center" vertical="center"/>
    </xf>
    <xf numFmtId="195" fontId="26" fillId="0" borderId="137" xfId="2" applyNumberFormat="1" applyFont="1" applyBorder="1" applyAlignment="1">
      <alignment horizontal="center" vertical="center"/>
    </xf>
    <xf numFmtId="195" fontId="26" fillId="0" borderId="102" xfId="2" applyNumberFormat="1" applyFont="1" applyBorder="1" applyAlignment="1">
      <alignment horizontal="center" vertical="center"/>
    </xf>
    <xf numFmtId="195" fontId="26" fillId="0" borderId="140" xfId="2" applyNumberFormat="1" applyFont="1" applyBorder="1" applyAlignment="1">
      <alignment horizontal="center" vertical="center"/>
    </xf>
    <xf numFmtId="199" fontId="31" fillId="0" borderId="431" xfId="2" applyNumberFormat="1" applyFont="1" applyFill="1" applyBorder="1" applyAlignment="1">
      <alignment horizontal="center" vertical="center"/>
    </xf>
    <xf numFmtId="199" fontId="31" fillId="0" borderId="432" xfId="2" applyNumberFormat="1" applyFont="1" applyFill="1" applyBorder="1" applyAlignment="1">
      <alignment horizontal="center" vertical="center"/>
    </xf>
    <xf numFmtId="199" fontId="31" fillId="0" borderId="433" xfId="2" applyNumberFormat="1" applyFont="1" applyFill="1" applyBorder="1" applyAlignment="1">
      <alignment horizontal="center" vertical="center"/>
    </xf>
    <xf numFmtId="199" fontId="15" fillId="0" borderId="431" xfId="2" applyNumberFormat="1" applyFont="1" applyFill="1" applyBorder="1" applyAlignment="1">
      <alignment horizontal="center" vertical="center"/>
    </xf>
    <xf numFmtId="199" fontId="15" fillId="0" borderId="432" xfId="2" applyNumberFormat="1" applyFont="1" applyFill="1" applyBorder="1" applyAlignment="1">
      <alignment horizontal="center" vertical="center"/>
    </xf>
    <xf numFmtId="199" fontId="15" fillId="0" borderId="433" xfId="2" applyNumberFormat="1" applyFont="1" applyFill="1" applyBorder="1" applyAlignment="1">
      <alignment horizontal="center" vertical="center"/>
    </xf>
    <xf numFmtId="0" fontId="47" fillId="23" borderId="325" xfId="0" applyFont="1" applyFill="1" applyBorder="1" applyAlignment="1">
      <alignment horizontal="center" vertical="center"/>
    </xf>
    <xf numFmtId="0" fontId="26" fillId="23" borderId="327" xfId="0" applyFont="1" applyFill="1" applyBorder="1" applyAlignment="1">
      <alignment horizontal="center" vertical="center"/>
    </xf>
    <xf numFmtId="194" fontId="47" fillId="0" borderId="325" xfId="2" applyNumberFormat="1" applyFont="1" applyBorder="1" applyAlignment="1">
      <alignment horizontal="center" vertical="center"/>
    </xf>
    <xf numFmtId="195" fontId="47" fillId="0" borderId="326" xfId="2" applyNumberFormat="1" applyFont="1" applyBorder="1" applyAlignment="1">
      <alignment horizontal="center" vertical="center"/>
    </xf>
    <xf numFmtId="0" fontId="47" fillId="0" borderId="326" xfId="0" applyFont="1" applyBorder="1" applyAlignment="1">
      <alignment horizontal="center" vertical="center"/>
    </xf>
    <xf numFmtId="193" fontId="47" fillId="0" borderId="327" xfId="0" applyNumberFormat="1" applyFont="1" applyBorder="1" applyAlignment="1">
      <alignment horizontal="center" vertical="center"/>
    </xf>
    <xf numFmtId="194" fontId="26" fillId="0" borderId="325" xfId="2" applyNumberFormat="1" applyFont="1" applyBorder="1" applyAlignment="1">
      <alignment horizontal="center" vertical="center"/>
    </xf>
    <xf numFmtId="195" fontId="26" fillId="0" borderId="326" xfId="2" applyNumberFormat="1" applyFont="1" applyBorder="1" applyAlignment="1">
      <alignment horizontal="center" vertical="center"/>
    </xf>
    <xf numFmtId="0" fontId="25" fillId="0" borderId="326" xfId="0" applyFont="1" applyBorder="1" applyAlignment="1">
      <alignment horizontal="center" vertical="center"/>
    </xf>
    <xf numFmtId="193" fontId="26" fillId="0" borderId="327" xfId="0" applyNumberFormat="1" applyFont="1" applyBorder="1" applyAlignment="1">
      <alignment horizontal="center" vertical="center"/>
    </xf>
    <xf numFmtId="199" fontId="15" fillId="0" borderId="434" xfId="2" applyNumberFormat="1" applyFont="1" applyFill="1" applyBorder="1" applyAlignment="1">
      <alignment horizontal="center" vertical="center"/>
    </xf>
    <xf numFmtId="199" fontId="15" fillId="0" borderId="436" xfId="2" applyNumberFormat="1" applyFont="1" applyFill="1" applyBorder="1" applyAlignment="1">
      <alignment horizontal="center" vertical="center"/>
    </xf>
    <xf numFmtId="199" fontId="15" fillId="0" borderId="438" xfId="2" applyNumberFormat="1" applyFont="1" applyFill="1" applyBorder="1" applyAlignment="1">
      <alignment horizontal="center" vertical="center"/>
    </xf>
    <xf numFmtId="199" fontId="15" fillId="0" borderId="440" xfId="2" applyNumberFormat="1" applyFont="1" applyFill="1" applyBorder="1" applyAlignment="1">
      <alignment horizontal="center" vertical="center"/>
    </xf>
    <xf numFmtId="176" fontId="42" fillId="6" borderId="364" xfId="2" applyNumberFormat="1" applyFont="1" applyFill="1" applyBorder="1" applyAlignment="1">
      <alignment horizontal="center" vertical="center"/>
    </xf>
    <xf numFmtId="176" fontId="42" fillId="6" borderId="426" xfId="2" applyNumberFormat="1" applyFont="1" applyFill="1" applyBorder="1" applyAlignment="1">
      <alignment horizontal="center" vertical="center"/>
    </xf>
    <xf numFmtId="0" fontId="14" fillId="6" borderId="241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394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8" fontId="31" fillId="11" borderId="412" xfId="2" applyNumberFormat="1" applyFont="1" applyFill="1" applyBorder="1" applyAlignment="1">
      <alignment horizontal="center" vertical="center"/>
    </xf>
    <xf numFmtId="198" fontId="31" fillId="11" borderId="376" xfId="2" applyNumberFormat="1" applyFont="1" applyFill="1" applyBorder="1" applyAlignment="1">
      <alignment horizontal="center" vertical="center"/>
    </xf>
    <xf numFmtId="198" fontId="31" fillId="11" borderId="413" xfId="2" applyNumberFormat="1" applyFont="1" applyFill="1" applyBorder="1" applyAlignment="1">
      <alignment horizontal="center" vertical="center"/>
    </xf>
    <xf numFmtId="0" fontId="0" fillId="0" borderId="411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198" fontId="15" fillId="11" borderId="417" xfId="2" applyNumberFormat="1" applyFont="1" applyFill="1" applyBorder="1" applyAlignment="1">
      <alignment horizontal="center" vertical="center"/>
    </xf>
    <xf numFmtId="198" fontId="14" fillId="11" borderId="412" xfId="2" applyNumberFormat="1" applyFont="1" applyFill="1" applyBorder="1" applyAlignment="1">
      <alignment horizontal="center" vertical="center" wrapText="1"/>
    </xf>
    <xf numFmtId="0" fontId="14" fillId="0" borderId="492" xfId="0" applyFont="1" applyBorder="1" applyAlignment="1">
      <alignment horizontal="center" vertical="center"/>
    </xf>
    <xf numFmtId="0" fontId="14" fillId="0" borderId="221" xfId="0" applyFont="1" applyBorder="1" applyAlignment="1">
      <alignment horizontal="center" vertical="center"/>
    </xf>
    <xf numFmtId="0" fontId="14" fillId="0" borderId="493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4" fillId="3" borderId="367" xfId="0" applyNumberFormat="1" applyFont="1" applyFill="1" applyBorder="1" applyAlignment="1">
      <alignment horizontal="center" vertical="center"/>
    </xf>
    <xf numFmtId="181" fontId="14" fillId="3" borderId="368" xfId="0" applyNumberFormat="1" applyFont="1" applyFill="1" applyBorder="1" applyAlignment="1">
      <alignment horizontal="center" vertical="center"/>
    </xf>
    <xf numFmtId="0" fontId="17" fillId="4" borderId="0" xfId="0" applyFont="1" applyFill="1" applyAlignment="1">
      <alignment horizontal="left" vertical="center"/>
    </xf>
    <xf numFmtId="0" fontId="14" fillId="3" borderId="104" xfId="0" applyFont="1" applyFill="1" applyBorder="1" applyAlignment="1">
      <alignment horizontal="center" vertical="center"/>
    </xf>
    <xf numFmtId="0" fontId="14" fillId="3" borderId="105" xfId="0" applyFont="1" applyFill="1" applyBorder="1" applyAlignment="1">
      <alignment horizontal="center" vertical="center"/>
    </xf>
    <xf numFmtId="181" fontId="14" fillId="3" borderId="106" xfId="0" applyNumberFormat="1" applyFont="1" applyFill="1" applyBorder="1" applyAlignment="1">
      <alignment horizontal="center" vertical="center"/>
    </xf>
    <xf numFmtId="181" fontId="14" fillId="3" borderId="107" xfId="0" applyNumberFormat="1" applyFont="1" applyFill="1" applyBorder="1" applyAlignment="1">
      <alignment horizontal="center" vertical="center"/>
    </xf>
    <xf numFmtId="181" fontId="14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4" fillId="0" borderId="4" xfId="9" applyFont="1" applyBorder="1" applyAlignment="1">
      <alignment horizontal="center" vertical="center"/>
    </xf>
    <xf numFmtId="0" fontId="14" fillId="0" borderId="143" xfId="9" applyFont="1" applyBorder="1" applyAlignment="1">
      <alignment horizontal="center" vertical="center"/>
    </xf>
    <xf numFmtId="0" fontId="14" fillId="3" borderId="104" xfId="9" applyFont="1" applyFill="1" applyBorder="1" applyAlignment="1">
      <alignment horizontal="center" vertical="center"/>
    </xf>
    <xf numFmtId="0" fontId="11" fillId="0" borderId="105" xfId="9" applyBorder="1" applyAlignment="1">
      <alignment horizontal="center" vertical="center"/>
    </xf>
    <xf numFmtId="0" fontId="102" fillId="8" borderId="6" xfId="0" applyFont="1" applyFill="1" applyBorder="1" applyAlignment="1">
      <alignment horizontal="center" vertical="center"/>
    </xf>
    <xf numFmtId="0" fontId="14" fillId="7" borderId="114" xfId="0" applyFont="1" applyFill="1" applyBorder="1" applyAlignment="1">
      <alignment horizontal="center" vertical="center"/>
    </xf>
    <xf numFmtId="0" fontId="14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4" fillId="23" borderId="110" xfId="0" applyFont="1" applyFill="1" applyBorder="1" applyAlignment="1">
      <alignment horizontal="center" vertical="center"/>
    </xf>
    <xf numFmtId="0" fontId="14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4" fillId="23" borderId="101" xfId="0" applyFont="1" applyFill="1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4" fillId="6" borderId="6" xfId="0" applyFont="1" applyFill="1" applyBorder="1" applyAlignment="1">
      <alignment horizontal="center" vertical="center"/>
    </xf>
    <xf numFmtId="0" fontId="14" fillId="6" borderId="75" xfId="0" applyFont="1" applyFill="1" applyBorder="1" applyAlignment="1">
      <alignment horizontal="center" vertical="center"/>
    </xf>
    <xf numFmtId="0" fontId="14" fillId="6" borderId="30" xfId="0" applyFont="1" applyFill="1" applyBorder="1" applyAlignment="1">
      <alignment horizontal="center" vertical="center"/>
    </xf>
    <xf numFmtId="0" fontId="14" fillId="6" borderId="83" xfId="0" applyFont="1" applyFill="1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6" fontId="14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.%20&#50900;&#44036;%20IDC%20&#48516;&#51204;&#48152;%20&#51204;&#47448;&#52769;&#51221;%20Report_20240110_17_56_55.8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적정 사용</v>
          </cell>
        </row>
      </sheetData>
      <sheetData sheetId="1">
        <row r="2">
          <cell r="AZ2">
            <v>1.4213709677419355</v>
          </cell>
          <cell r="BA2" t="str">
            <v>적정 사용</v>
          </cell>
        </row>
      </sheetData>
      <sheetData sheetId="2">
        <row r="2">
          <cell r="AZ2">
            <v>9.5485215053763426</v>
          </cell>
          <cell r="BA2" t="str">
            <v>적정 사용</v>
          </cell>
        </row>
      </sheetData>
      <sheetData sheetId="3">
        <row r="2">
          <cell r="BB2">
            <v>22.554973118279563</v>
          </cell>
          <cell r="BC2" t="str">
            <v>적정 사용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83"/>
  <sheetViews>
    <sheetView zoomScaleNormal="100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J1" sqref="J1"/>
    </sheetView>
  </sheetViews>
  <sheetFormatPr defaultColWidth="8.69921875" defaultRowHeight="15.6"/>
  <cols>
    <col min="1" max="2" width="6.09765625" style="671" customWidth="1"/>
    <col min="3" max="3" width="8.69921875" style="671"/>
    <col min="4" max="4" width="20" style="671" customWidth="1"/>
    <col min="5" max="5" width="9.69921875" style="671" bestFit="1" customWidth="1"/>
    <col min="6" max="6" width="4.69921875" style="671" customWidth="1"/>
    <col min="7" max="7" width="5" style="671" customWidth="1"/>
    <col min="8" max="9" width="14.69921875" style="671" hidden="1" customWidth="1"/>
    <col min="10" max="11" width="19.3984375" style="671" bestFit="1" customWidth="1"/>
    <col min="12" max="12" width="5.69921875" style="671" hidden="1" customWidth="1"/>
    <col min="13" max="13" width="6.69921875" style="671" hidden="1" customWidth="1"/>
    <col min="14" max="14" width="3.69921875" style="671" hidden="1" customWidth="1"/>
    <col min="15" max="15" width="4.69921875" style="1800" hidden="1" customWidth="1"/>
    <col min="16" max="16" width="5.69921875" style="671" hidden="1" customWidth="1"/>
    <col min="17" max="17" width="6.69921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69921875" style="671" hidden="1" customWidth="1"/>
    <col min="24" max="31" width="9.3984375" style="671" hidden="1" customWidth="1"/>
    <col min="32" max="33" width="9.3984375" style="921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69921875" style="671"/>
    <col min="43" max="43" width="12.3984375" style="671" bestFit="1" customWidth="1"/>
    <col min="44" max="44" width="10.3984375" style="671" bestFit="1" customWidth="1"/>
    <col min="45" max="45" width="11.69921875" style="671" bestFit="1" customWidth="1"/>
    <col min="46" max="46" width="14.8984375" style="671" bestFit="1" customWidth="1"/>
    <col min="47" max="47" width="14.8984375" style="671" customWidth="1"/>
    <col min="48" max="54" width="8.69921875" style="671"/>
    <col min="55" max="55" width="30.09765625" style="671" bestFit="1" customWidth="1"/>
    <col min="56" max="56" width="8.69921875" style="671"/>
    <col min="57" max="57" width="22.09765625" style="671" bestFit="1" customWidth="1"/>
    <col min="58" max="58" width="19.69921875" style="671" customWidth="1"/>
    <col min="59" max="59" width="8.69921875" style="3113"/>
    <col min="60" max="60" width="8.69921875" style="671"/>
    <col min="61" max="61" width="9.69921875" style="671" bestFit="1" customWidth="1"/>
    <col min="62" max="62" width="12.3984375" style="671" bestFit="1" customWidth="1"/>
    <col min="63" max="63" width="10.3984375" style="671" bestFit="1" customWidth="1"/>
    <col min="64" max="64" width="13.3984375" style="671" bestFit="1" customWidth="1"/>
    <col min="65" max="65" width="25.69921875" style="671" bestFit="1" customWidth="1"/>
    <col min="66" max="66" width="33.8984375" style="671" bestFit="1" customWidth="1"/>
    <col min="67" max="16384" width="8.69921875" style="671"/>
  </cols>
  <sheetData>
    <row r="1" spans="1:66" ht="30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Z1" s="123"/>
      <c r="BA1" s="123"/>
      <c r="BB1" s="123"/>
      <c r="BC1" s="123"/>
      <c r="BD1" s="123"/>
      <c r="BE1" s="123"/>
      <c r="BF1"/>
      <c r="BG1" s="3091"/>
      <c r="BH1" s="123" t="str">
        <f>'7층~4층_고객 총사용량(삭제X)'!G2</f>
        <v>sejong</v>
      </c>
      <c r="BI1" s="3074" t="s">
        <v>9265</v>
      </c>
      <c r="BJ1" s="3075" t="s">
        <v>9267</v>
      </c>
      <c r="BK1" s="3076" t="s">
        <v>9268</v>
      </c>
      <c r="BL1" s="3066" t="s">
        <v>9269</v>
      </c>
    </row>
    <row r="2" spans="1:66" ht="16.2" thickBot="1">
      <c r="AO2" s="731" t="s">
        <v>1</v>
      </c>
      <c r="AZ2" s="123"/>
      <c r="BA2" s="123"/>
      <c r="BB2" s="123"/>
      <c r="BC2" s="123"/>
      <c r="BD2" s="123"/>
      <c r="BE2" s="123"/>
      <c r="BF2"/>
      <c r="BG2" s="3091"/>
      <c r="BH2"/>
      <c r="BI2" s="3114">
        <f>SUBTOTAL(109,BD5:BD254)</f>
        <v>45.600000000000023</v>
      </c>
      <c r="BJ2" s="3115">
        <f>SUBTOTAL(109,BL5:BL254)/(24*31)</f>
        <v>34.712500000000006</v>
      </c>
      <c r="BK2" s="3114">
        <f>BI2-BJ2</f>
        <v>10.887500000000017</v>
      </c>
      <c r="BL2" s="3116" t="str">
        <f>IF(SIGN(BK2)&gt;=0,IF(BJ2=0,"미사용 랙","적정 사용"),"사용초과")</f>
        <v>적정 사용</v>
      </c>
    </row>
    <row r="3" spans="1:66" ht="33.6" customHeight="1" thickTop="1" thickBot="1">
      <c r="A3" s="2598" t="s">
        <v>2</v>
      </c>
      <c r="B3" s="2622" t="s">
        <v>3</v>
      </c>
      <c r="C3" s="2610" t="s">
        <v>4</v>
      </c>
      <c r="D3" s="2610" t="s">
        <v>5</v>
      </c>
      <c r="E3" s="3022" t="s">
        <v>9265</v>
      </c>
      <c r="F3" s="3257" t="s">
        <v>6</v>
      </c>
      <c r="G3" s="3258"/>
      <c r="H3" s="3223" t="s">
        <v>8736</v>
      </c>
      <c r="I3" s="3224"/>
      <c r="J3" s="3223" t="s">
        <v>8737</v>
      </c>
      <c r="K3" s="3224"/>
      <c r="L3" s="3225" t="s">
        <v>7</v>
      </c>
      <c r="M3" s="3226"/>
      <c r="N3" s="3226"/>
      <c r="O3" s="3226"/>
      <c r="P3" s="3226"/>
      <c r="Q3" s="3226"/>
      <c r="R3" s="3226"/>
      <c r="S3" s="3227"/>
      <c r="T3" s="3259" t="s">
        <v>8</v>
      </c>
      <c r="U3" s="3256"/>
      <c r="V3" s="3228" t="s">
        <v>9</v>
      </c>
      <c r="W3" s="3256"/>
      <c r="X3" s="3228" t="s">
        <v>10</v>
      </c>
      <c r="Y3" s="3256"/>
      <c r="Z3" s="3259" t="s">
        <v>11</v>
      </c>
      <c r="AA3" s="3256"/>
      <c r="AB3" s="3259" t="s">
        <v>12</v>
      </c>
      <c r="AC3" s="3256"/>
      <c r="AD3" s="3259" t="s">
        <v>13</v>
      </c>
      <c r="AE3" s="3256"/>
      <c r="AF3" s="3228" t="s">
        <v>14</v>
      </c>
      <c r="AG3" s="3229"/>
      <c r="AH3" s="3230" t="s">
        <v>8738</v>
      </c>
      <c r="AI3" s="3231"/>
      <c r="AJ3" s="3231"/>
      <c r="AK3" s="3241" t="s">
        <v>8723</v>
      </c>
      <c r="AL3" s="3242"/>
      <c r="AM3" s="2621" t="s">
        <v>6632</v>
      </c>
      <c r="AN3" s="2899" t="s">
        <v>15</v>
      </c>
      <c r="AO3" s="2900" t="s">
        <v>16</v>
      </c>
      <c r="AQ3" s="3293" t="s">
        <v>9267</v>
      </c>
      <c r="AR3" s="3295" t="s">
        <v>9268</v>
      </c>
      <c r="AS3" s="3297" t="s">
        <v>9269</v>
      </c>
      <c r="AT3" s="3066" t="s">
        <v>9270</v>
      </c>
      <c r="AU3" s="3066"/>
      <c r="AV3" s="3066" t="s">
        <v>9271</v>
      </c>
      <c r="AW3" s="3066" t="s">
        <v>9273</v>
      </c>
      <c r="AZ3" s="3309" t="s">
        <v>2</v>
      </c>
      <c r="BA3" s="3311" t="s">
        <v>9294</v>
      </c>
      <c r="BB3" s="3311" t="s">
        <v>4</v>
      </c>
      <c r="BC3" s="3313" t="s">
        <v>5</v>
      </c>
      <c r="BD3" s="3022" t="s">
        <v>9295</v>
      </c>
      <c r="BE3" s="3315" t="s">
        <v>8737</v>
      </c>
      <c r="BF3" s="3316"/>
      <c r="BG3" s="3230" t="s">
        <v>8738</v>
      </c>
      <c r="BH3" s="3231"/>
      <c r="BI3" s="3317"/>
      <c r="BJ3" s="3318" t="s">
        <v>8723</v>
      </c>
      <c r="BK3" s="3319"/>
      <c r="BL3" s="3320" t="s">
        <v>6632</v>
      </c>
      <c r="BM3" s="3322" t="s">
        <v>15</v>
      </c>
      <c r="BN3" s="3307" t="s">
        <v>16</v>
      </c>
    </row>
    <row r="4" spans="1:66" ht="16.8" thickTop="1" thickBot="1">
      <c r="A4" s="2901" t="s">
        <v>8739</v>
      </c>
      <c r="B4" s="2902"/>
      <c r="C4" s="2903"/>
      <c r="D4" s="2903"/>
      <c r="E4" s="3023" t="s">
        <v>9266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243" t="s">
        <v>19</v>
      </c>
      <c r="M4" s="3244"/>
      <c r="N4" s="3244"/>
      <c r="O4" s="3245"/>
      <c r="P4" s="3246" t="s">
        <v>20</v>
      </c>
      <c r="Q4" s="3246"/>
      <c r="R4" s="3246"/>
      <c r="S4" s="3247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904" t="s">
        <v>21</v>
      </c>
      <c r="AL4" s="2905" t="s">
        <v>22</v>
      </c>
      <c r="AM4" s="2906"/>
      <c r="AN4" s="2907"/>
      <c r="AO4" s="2908"/>
      <c r="AQ4" s="3294"/>
      <c r="AR4" s="3296"/>
      <c r="AS4" s="3298"/>
      <c r="AT4" s="3067">
        <f>COUNTIF(AS5:AS504,"사용초과")</f>
        <v>30</v>
      </c>
      <c r="AU4" s="3067"/>
      <c r="AV4" s="3067">
        <f>COUNTIF(AS5:AS504,AV3)</f>
        <v>49</v>
      </c>
      <c r="AW4" s="3067">
        <f>COUNTIF(AS5:AS504,AW3)</f>
        <v>144</v>
      </c>
      <c r="AZ4" s="3310"/>
      <c r="BA4" s="3312"/>
      <c r="BB4" s="3312"/>
      <c r="BC4" s="3314"/>
      <c r="BD4" s="3023" t="s">
        <v>9296</v>
      </c>
      <c r="BE4" s="1448" t="s">
        <v>19</v>
      </c>
      <c r="BF4" s="1449" t="s">
        <v>20</v>
      </c>
      <c r="BG4" s="3111" t="s">
        <v>21</v>
      </c>
      <c r="BH4" s="3099" t="s">
        <v>22</v>
      </c>
      <c r="BI4" s="3100" t="s">
        <v>23</v>
      </c>
      <c r="BJ4" s="3101" t="s">
        <v>21</v>
      </c>
      <c r="BK4" s="3102" t="s">
        <v>22</v>
      </c>
      <c r="BL4" s="3321"/>
      <c r="BM4" s="3323"/>
      <c r="BN4" s="3308"/>
    </row>
    <row r="5" spans="1:66" ht="46.8">
      <c r="A5" s="2909" t="s">
        <v>24</v>
      </c>
      <c r="B5" s="3221" t="s">
        <v>25</v>
      </c>
      <c r="C5" s="2250"/>
      <c r="D5" s="2250" t="s">
        <v>26</v>
      </c>
      <c r="E5" s="3058">
        <v>50</v>
      </c>
      <c r="F5" s="2251" t="s">
        <v>27</v>
      </c>
      <c r="G5" s="2251"/>
      <c r="H5" s="1935" t="s">
        <v>8740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8741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159.1846859183658</v>
      </c>
      <c r="AI5" s="732"/>
      <c r="AJ5" s="1302">
        <f t="shared" ref="AJ5:AJ6" si="0">AH5+AI5</f>
        <v>159.1846859183658</v>
      </c>
      <c r="AK5" s="2910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23774.799999999999</v>
      </c>
      <c r="AL5" s="2911"/>
      <c r="AM5" s="2912">
        <f>SUBTOTAL(9,AK5:AL5)</f>
        <v>23774.799999999999</v>
      </c>
      <c r="AN5" s="2612"/>
      <c r="AO5" s="2614"/>
      <c r="AQ5" s="2367">
        <f>AM5/(24*31)</f>
        <v>31.955376344086019</v>
      </c>
      <c r="AR5" s="2367">
        <f>E5-AQ5</f>
        <v>18.044623655913981</v>
      </c>
      <c r="AS5" s="123" t="str">
        <f>IF(SIGN(AR5)&gt;=0,IF(AM5=0,"무부하 랙","적정함"),"사용초과")</f>
        <v>적정함</v>
      </c>
      <c r="AT5" t="str">
        <f>IF(AS5="사용초과",D5,"")</f>
        <v/>
      </c>
      <c r="AU5" t="str">
        <f>IF(AT5="","",B5)</f>
        <v/>
      </c>
      <c r="AZ5" s="123" cm="1">
        <f t="array" ref="AZ5:BD44">IF($BH$1="", "", _xlfn._xlws.FILTER(A5:E1068, ISNUMBER(SEARCH($BH$1,D5:D1068)), "찾을 수 없음"))</f>
        <v>0</v>
      </c>
      <c r="BA5" s="123" t="str">
        <v>A402</v>
      </c>
      <c r="BB5" s="123" t="str">
        <v>343 BAY</v>
      </c>
      <c r="BC5" s="3103" t="str">
        <v>Sejong Telecom Inc.</v>
      </c>
      <c r="BD5" s="123">
        <v>0</v>
      </c>
      <c r="BE5" s="3104" t="str" cm="1">
        <f t="array" ref="BE5:BF44">IF($BH$1="", "", _xlfn._xlws.FILTER(J5:K1068, ISNUMBER(SEARCH($BH$1,D5:D1068)), "찾을 수 없음"))</f>
        <v>7-DaHall 1-A-4-50-41</v>
      </c>
      <c r="BF5" s="3105" t="str">
        <v>7-DaHall 1-B-4-50-41</v>
      </c>
      <c r="BG5" s="3112" cm="1">
        <f t="array" ref="BG5:BN44">IF($BH$1="", "", _xlfn._xlws.FILTER(AH5:AO1068, ISNUMBER(SEARCH($BH$1,D5:D1068)), "찾을 수 없음"))</f>
        <v>0</v>
      </c>
      <c r="BH5" s="3106">
        <v>0</v>
      </c>
      <c r="BI5" s="3107">
        <v>0</v>
      </c>
      <c r="BJ5" s="3117">
        <v>0</v>
      </c>
      <c r="BK5" s="3118">
        <v>0</v>
      </c>
      <c r="BL5" s="3119">
        <v>0</v>
      </c>
      <c r="BM5" s="671">
        <v>0</v>
      </c>
      <c r="BN5" s="671" t="str">
        <v>DC 전원 미사용</v>
      </c>
    </row>
    <row r="6" spans="1:66" ht="47.4" thickBot="1">
      <c r="A6" s="2901"/>
      <c r="B6" s="3222"/>
      <c r="C6" s="2260"/>
      <c r="D6" s="2260" t="s">
        <v>32</v>
      </c>
      <c r="E6" s="3059">
        <v>50</v>
      </c>
      <c r="F6" s="735" t="s">
        <v>27</v>
      </c>
      <c r="G6" s="735"/>
      <c r="H6" s="2000"/>
      <c r="I6" s="2261" t="s">
        <v>8742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8743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142.31107005266017</v>
      </c>
      <c r="AJ6" s="1325">
        <f t="shared" si="0"/>
        <v>142.31107005266017</v>
      </c>
      <c r="AK6" s="2913"/>
      <c r="AL6" s="2914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20908.599999999999</v>
      </c>
      <c r="AM6" s="2915">
        <f t="shared" ref="AM6:AM71" si="2">SUBTOTAL(9,AK6:AL6)</f>
        <v>20908.599999999999</v>
      </c>
      <c r="AN6" s="2613"/>
      <c r="AO6" s="2615"/>
      <c r="AQ6" s="2367">
        <f t="shared" ref="AQ6:AQ71" si="3">AM6/(24*31)</f>
        <v>28.102956989247311</v>
      </c>
      <c r="AR6" s="2367">
        <f t="shared" ref="AR6:AR71" si="4">E6-AQ6</f>
        <v>21.897043010752689</v>
      </c>
      <c r="AS6" s="123" t="str">
        <f>IF(SIGN(AR6)&gt;=0,IF(AM6=0,"무부하 랙","적정함"),"사용초과")</f>
        <v>적정함</v>
      </c>
      <c r="AT6" t="str">
        <f t="shared" ref="AT6:AT69" si="5">IF(AS6="사용초과",D6,"")</f>
        <v/>
      </c>
      <c r="AU6" t="str">
        <f t="shared" ref="AU6:AU69" si="6">IF(AT6="","",B6)</f>
        <v/>
      </c>
      <c r="AZ6" s="123">
        <v>0</v>
      </c>
      <c r="BA6" s="123" t="str">
        <v>A403</v>
      </c>
      <c r="BB6" s="123" t="str">
        <v>342 BAY</v>
      </c>
      <c r="BC6" s="3103" t="str">
        <v>Sejong Telecom Inc.</v>
      </c>
      <c r="BD6" s="123">
        <v>1.6</v>
      </c>
      <c r="BE6" s="3104" t="str">
        <v>7-DaHall 1-PDU-01-30-5</v>
      </c>
      <c r="BF6" s="3105" t="str">
        <v>7-DaHall 1-PDU-02-30-3</v>
      </c>
      <c r="BG6" s="3112">
        <v>5.1348474714556858</v>
      </c>
      <c r="BH6" s="3106">
        <v>5.5844193378533529</v>
      </c>
      <c r="BI6" s="3107">
        <v>10.719266809309039</v>
      </c>
      <c r="BJ6" s="3117">
        <v>780.1</v>
      </c>
      <c r="BK6" s="3118">
        <v>726.1</v>
      </c>
      <c r="BL6" s="3119">
        <v>1506.2</v>
      </c>
      <c r="BM6" s="671" t="str">
        <v>인터넷팀 장비</v>
      </c>
      <c r="BN6" s="671">
        <v>0</v>
      </c>
    </row>
    <row r="7" spans="1:66" ht="54" customHeight="1">
      <c r="A7" s="2916" t="s">
        <v>761</v>
      </c>
      <c r="B7" s="2603"/>
      <c r="C7" s="3248"/>
      <c r="D7" s="3250" t="s">
        <v>762</v>
      </c>
      <c r="E7" s="2978"/>
      <c r="F7" s="695"/>
      <c r="G7" s="695" t="s">
        <v>27</v>
      </c>
      <c r="H7" s="1908" t="s">
        <v>8744</v>
      </c>
      <c r="I7" s="1909" t="s">
        <v>8745</v>
      </c>
      <c r="J7" s="1908" t="str">
        <f t="shared" ref="J7:J12" si="7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89" t="s">
        <v>237</v>
      </c>
      <c r="W7" s="2591" t="s">
        <v>238</v>
      </c>
      <c r="X7" s="2589" t="s">
        <v>435</v>
      </c>
      <c r="Y7" s="2591" t="s">
        <v>436</v>
      </c>
      <c r="Z7" s="2589" t="s">
        <v>49</v>
      </c>
      <c r="AA7" s="2591" t="s">
        <v>765</v>
      </c>
      <c r="AB7" s="2589" t="s">
        <v>51</v>
      </c>
      <c r="AC7" s="2591" t="s">
        <v>52</v>
      </c>
      <c r="AD7" s="2589" t="s">
        <v>30</v>
      </c>
      <c r="AE7" s="2591" t="s">
        <v>35</v>
      </c>
      <c r="AF7" s="3252" t="s">
        <v>31</v>
      </c>
      <c r="AG7" s="3254" t="s">
        <v>36</v>
      </c>
      <c r="AH7" s="680"/>
      <c r="AI7" s="673"/>
      <c r="AJ7" s="1317"/>
      <c r="AK7" s="3018"/>
      <c r="AL7" s="2917"/>
      <c r="AM7" s="2918">
        <f t="shared" si="2"/>
        <v>0</v>
      </c>
      <c r="AN7" s="696" t="s">
        <v>766</v>
      </c>
      <c r="AO7" s="697"/>
      <c r="AQ7" s="2367">
        <f t="shared" si="3"/>
        <v>0</v>
      </c>
      <c r="AR7" s="2367">
        <f t="shared" si="4"/>
        <v>0</v>
      </c>
      <c r="AS7" s="123" t="str">
        <f t="shared" ref="AS7:AS71" si="8">IF(SIGN(AR7)&gt;=0,IF(AM7=0,"미사용 랙","적정함"),"사용초과")</f>
        <v>미사용 랙</v>
      </c>
      <c r="AT7" t="str">
        <f t="shared" si="5"/>
        <v/>
      </c>
      <c r="AU7" t="str">
        <f t="shared" si="6"/>
        <v/>
      </c>
      <c r="AZ7" s="123">
        <v>0</v>
      </c>
      <c r="BA7" s="123" t="str">
        <v>A404</v>
      </c>
      <c r="BB7" s="123" t="str">
        <v>341 BAY</v>
      </c>
      <c r="BC7" s="3103" t="str">
        <v>Sejong Telecom Inc.</v>
      </c>
      <c r="BD7" s="123">
        <v>1.6</v>
      </c>
      <c r="BE7" s="3104" t="str">
        <v>7-DaHall 1-RPP-01-30-40</v>
      </c>
      <c r="BF7" s="3105" t="str">
        <v>7-DaHall 1-RPP-02-30-38</v>
      </c>
      <c r="BG7" s="3112">
        <v>4.8977299221139692</v>
      </c>
      <c r="BH7" s="3106">
        <v>5.0205564536349216</v>
      </c>
      <c r="BI7" s="3107">
        <v>9.9182863757488917</v>
      </c>
      <c r="BJ7" s="3117">
        <v>773.3</v>
      </c>
      <c r="BK7" s="3118">
        <v>788.8</v>
      </c>
      <c r="BL7" s="3119">
        <v>1562.1</v>
      </c>
      <c r="BM7" s="671" t="str">
        <v>인터넷팀 장비(MAN POP)</v>
      </c>
      <c r="BN7" s="671">
        <v>0</v>
      </c>
    </row>
    <row r="8" spans="1:66" ht="47.4" thickBot="1">
      <c r="A8" s="2919"/>
      <c r="B8" s="2604" t="s">
        <v>8746</v>
      </c>
      <c r="C8" s="3249"/>
      <c r="D8" s="3251"/>
      <c r="E8" s="3060">
        <v>2.2000000000000002</v>
      </c>
      <c r="F8" s="2600" t="s">
        <v>27</v>
      </c>
      <c r="G8" s="2600"/>
      <c r="H8" s="1927" t="s">
        <v>8747</v>
      </c>
      <c r="I8" s="1928" t="s">
        <v>8748</v>
      </c>
      <c r="J8" s="1927" t="str">
        <f t="shared" si="7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920" t="s">
        <v>8749</v>
      </c>
      <c r="O8" s="1931">
        <v>37</v>
      </c>
      <c r="P8" s="1932">
        <v>220</v>
      </c>
      <c r="Q8" s="1933">
        <v>30</v>
      </c>
      <c r="R8" s="1061" t="s">
        <v>8750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89" t="s">
        <v>164</v>
      </c>
      <c r="AC8" s="2591" t="s">
        <v>165</v>
      </c>
      <c r="AD8" s="2589" t="s">
        <v>110</v>
      </c>
      <c r="AE8" s="2591" t="s">
        <v>111</v>
      </c>
      <c r="AF8" s="3253"/>
      <c r="AG8" s="3255"/>
      <c r="AH8" s="1068">
        <f>SUM('7층_부하량(월간_AVG)'!D81:F81)</f>
        <v>0</v>
      </c>
      <c r="AI8" s="1064">
        <f>SUM('7층_부하량(월간_AVG)'!D49:F49)</f>
        <v>5.3544675903548769E-3</v>
      </c>
      <c r="AJ8" s="3015">
        <f t="shared" ref="AJ8" si="9">AH8+AI8</f>
        <v>5.3544675903548769E-3</v>
      </c>
      <c r="AK8" s="2913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914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921">
        <f t="shared" si="2"/>
        <v>0</v>
      </c>
      <c r="AN8" s="1054" t="s">
        <v>769</v>
      </c>
      <c r="AO8" s="2616"/>
      <c r="AQ8" s="2367">
        <f t="shared" si="3"/>
        <v>0</v>
      </c>
      <c r="AR8" s="2367">
        <f t="shared" si="4"/>
        <v>2.2000000000000002</v>
      </c>
      <c r="AS8" s="123" t="str">
        <f>IF(SIGN(AR8)&gt;=0,IF(AM8=0,"무부하 랙","적정함"),"사용초과")</f>
        <v>무부하 랙</v>
      </c>
      <c r="AT8" t="str">
        <f t="shared" si="5"/>
        <v/>
      </c>
      <c r="AU8" t="str">
        <f t="shared" si="6"/>
        <v/>
      </c>
      <c r="AZ8" s="123">
        <v>0</v>
      </c>
      <c r="BA8" s="123" t="str">
        <v>A405</v>
      </c>
      <c r="BB8" s="123" t="str">
        <v>340 BAY</v>
      </c>
      <c r="BC8" s="3103" t="str">
        <v>Sejong Telecom Inc.</v>
      </c>
      <c r="BD8" s="123">
        <v>1.6</v>
      </c>
      <c r="BE8" s="3104" t="str">
        <v>7-DaHall 1-RPP-01-20-25</v>
      </c>
      <c r="BF8" s="3105" t="str">
        <v>7-DaHall 1-RPP-01-30-20</v>
      </c>
      <c r="BG8" s="3112">
        <v>1.5108131554898807</v>
      </c>
      <c r="BH8" s="3106">
        <v>1.4967726087276036</v>
      </c>
      <c r="BI8" s="3107">
        <v>3.0075857642174846</v>
      </c>
      <c r="BJ8" s="3117">
        <v>242.5</v>
      </c>
      <c r="BK8" s="3118">
        <v>232.1</v>
      </c>
      <c r="BL8" s="3119">
        <v>474.6</v>
      </c>
      <c r="BM8" s="671" t="str">
        <v>인터넷팀 장비</v>
      </c>
      <c r="BN8" s="671" t="str">
        <v>인터넷운영팀 MAN Rack #2, A &amp; B전원</v>
      </c>
    </row>
    <row r="9" spans="1:66" ht="55.5" customHeight="1" thickTop="1" thickBot="1">
      <c r="A9" s="2901"/>
      <c r="B9" s="2627" t="s">
        <v>756</v>
      </c>
      <c r="C9" s="2148" t="s">
        <v>757</v>
      </c>
      <c r="D9" s="2627" t="s">
        <v>758</v>
      </c>
      <c r="E9" s="2627"/>
      <c r="F9" s="2627"/>
      <c r="G9" s="2627" t="s">
        <v>27</v>
      </c>
      <c r="H9" s="1819" t="s">
        <v>8751</v>
      </c>
      <c r="I9" s="1855" t="s">
        <v>8752</v>
      </c>
      <c r="J9" s="1819" t="str">
        <f t="shared" si="7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922" t="s">
        <v>435</v>
      </c>
      <c r="Y9" s="2923" t="s">
        <v>436</v>
      </c>
      <c r="Z9" s="2922" t="s">
        <v>49</v>
      </c>
      <c r="AA9" s="2923" t="s">
        <v>50</v>
      </c>
      <c r="AB9" s="2922" t="s">
        <v>51</v>
      </c>
      <c r="AC9" s="2923" t="s">
        <v>52</v>
      </c>
      <c r="AD9" s="2922" t="s">
        <v>30</v>
      </c>
      <c r="AE9" s="2923" t="s">
        <v>35</v>
      </c>
      <c r="AF9" s="2152" t="s">
        <v>31</v>
      </c>
      <c r="AG9" s="904" t="s">
        <v>36</v>
      </c>
      <c r="AH9" s="690"/>
      <c r="AI9" s="678"/>
      <c r="AJ9" s="1310"/>
      <c r="AK9" s="3018"/>
      <c r="AL9" s="2917"/>
      <c r="AM9" s="2918">
        <f t="shared" si="2"/>
        <v>0</v>
      </c>
      <c r="AN9" s="2630"/>
      <c r="AO9" s="679"/>
      <c r="AQ9" s="2367">
        <f t="shared" si="3"/>
        <v>0</v>
      </c>
      <c r="AR9" s="2367">
        <f t="shared" si="4"/>
        <v>0</v>
      </c>
      <c r="AS9" s="123" t="str">
        <f t="shared" si="8"/>
        <v>미사용 랙</v>
      </c>
      <c r="AT9" t="str">
        <f t="shared" si="5"/>
        <v/>
      </c>
      <c r="AU9" t="str">
        <f t="shared" si="6"/>
        <v/>
      </c>
      <c r="AZ9" s="123">
        <v>0</v>
      </c>
      <c r="BA9" s="123" t="str">
        <v>A407</v>
      </c>
      <c r="BB9" s="123" t="str">
        <v>338 BAY</v>
      </c>
      <c r="BC9" s="3103" t="str">
        <v>Sejong Telecom Inc.</v>
      </c>
      <c r="BD9" s="123">
        <v>0</v>
      </c>
      <c r="BE9" s="3104" t="str">
        <v>7-DaHall 1-A-4-35-43</v>
      </c>
      <c r="BF9" s="3105" t="str">
        <v>7-DaHall 1-B-4-50-47</v>
      </c>
      <c r="BG9" s="3112">
        <v>0</v>
      </c>
      <c r="BH9" s="3106">
        <v>0</v>
      </c>
      <c r="BI9" s="3107">
        <v>0</v>
      </c>
      <c r="BJ9" s="3117">
        <v>0</v>
      </c>
      <c r="BK9" s="3118">
        <v>0</v>
      </c>
      <c r="BL9" s="3119">
        <v>0</v>
      </c>
      <c r="BM9" s="671">
        <v>0</v>
      </c>
      <c r="BN9" s="671">
        <v>0</v>
      </c>
    </row>
    <row r="10" spans="1:66" ht="54.75" customHeight="1">
      <c r="A10" s="2924"/>
      <c r="B10" s="2595" t="s">
        <v>751</v>
      </c>
      <c r="C10" s="2147" t="s">
        <v>752</v>
      </c>
      <c r="D10" s="2595" t="s">
        <v>753</v>
      </c>
      <c r="E10" s="2595"/>
      <c r="F10" s="2595"/>
      <c r="G10" s="2595" t="s">
        <v>27</v>
      </c>
      <c r="H10" s="1811" t="s">
        <v>8753</v>
      </c>
      <c r="I10" s="1843" t="s">
        <v>8754</v>
      </c>
      <c r="J10" s="1811" t="str">
        <f t="shared" si="7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26" t="s">
        <v>233</v>
      </c>
      <c r="O10" s="1815">
        <v>56</v>
      </c>
      <c r="P10" s="1853">
        <v>48</v>
      </c>
      <c r="Q10" s="1854">
        <v>35</v>
      </c>
      <c r="R10" s="2609" t="s">
        <v>234</v>
      </c>
      <c r="S10" s="1844">
        <v>56</v>
      </c>
      <c r="T10" s="2626" t="s">
        <v>754</v>
      </c>
      <c r="U10" s="2609" t="s">
        <v>755</v>
      </c>
      <c r="V10" s="2152" t="s">
        <v>237</v>
      </c>
      <c r="W10" s="904" t="s">
        <v>238</v>
      </c>
      <c r="X10" s="2922" t="s">
        <v>435</v>
      </c>
      <c r="Y10" s="2923" t="s">
        <v>436</v>
      </c>
      <c r="Z10" s="2922" t="s">
        <v>49</v>
      </c>
      <c r="AA10" s="2923" t="s">
        <v>50</v>
      </c>
      <c r="AB10" s="2922" t="s">
        <v>51</v>
      </c>
      <c r="AC10" s="2923" t="s">
        <v>52</v>
      </c>
      <c r="AD10" s="2922" t="s">
        <v>30</v>
      </c>
      <c r="AE10" s="2923" t="s">
        <v>35</v>
      </c>
      <c r="AF10" s="2152" t="s">
        <v>31</v>
      </c>
      <c r="AG10" s="904" t="s">
        <v>36</v>
      </c>
      <c r="AH10" s="681"/>
      <c r="AI10" s="676"/>
      <c r="AJ10" s="3017"/>
      <c r="AK10" s="3018"/>
      <c r="AL10" s="2917"/>
      <c r="AM10" s="2918">
        <f t="shared" si="2"/>
        <v>0</v>
      </c>
      <c r="AN10" s="2629"/>
      <c r="AO10" s="2631"/>
      <c r="AQ10" s="2367">
        <f t="shared" si="3"/>
        <v>0</v>
      </c>
      <c r="AR10" s="2367">
        <f t="shared" si="4"/>
        <v>0</v>
      </c>
      <c r="AS10" s="123" t="str">
        <f t="shared" si="8"/>
        <v>미사용 랙</v>
      </c>
      <c r="AT10" t="str">
        <f t="shared" si="5"/>
        <v/>
      </c>
      <c r="AU10" t="str">
        <f t="shared" si="6"/>
        <v/>
      </c>
      <c r="AZ10" s="123">
        <v>0</v>
      </c>
      <c r="BA10" s="123" t="str">
        <v>A408</v>
      </c>
      <c r="BB10" s="123" t="str">
        <v>337 BAY</v>
      </c>
      <c r="BC10" s="3103" t="str">
        <v>Sejong Telecom Inc.</v>
      </c>
      <c r="BD10" s="123">
        <v>0</v>
      </c>
      <c r="BE10" s="3104" t="str">
        <v>7-DaHall 1-A-4-35-44</v>
      </c>
      <c r="BF10" s="3105" t="str">
        <v>7-DaHall 1-B-4-35-48</v>
      </c>
      <c r="BG10" s="3112">
        <v>0</v>
      </c>
      <c r="BH10" s="3106">
        <v>0</v>
      </c>
      <c r="BI10" s="3107">
        <v>0</v>
      </c>
      <c r="BJ10" s="3117">
        <v>0</v>
      </c>
      <c r="BK10" s="3118">
        <v>0</v>
      </c>
      <c r="BL10" s="3119">
        <v>0</v>
      </c>
      <c r="BM10" s="671">
        <v>0</v>
      </c>
      <c r="BN10" s="671">
        <v>0</v>
      </c>
    </row>
    <row r="11" spans="1:66" ht="54.75" customHeight="1">
      <c r="A11" s="2924"/>
      <c r="B11" s="2595" t="s">
        <v>746</v>
      </c>
      <c r="C11" s="2147" t="s">
        <v>747</v>
      </c>
      <c r="D11" s="2595" t="s">
        <v>748</v>
      </c>
      <c r="E11" s="2595"/>
      <c r="F11" s="2595"/>
      <c r="G11" s="2595" t="s">
        <v>27</v>
      </c>
      <c r="H11" s="1811" t="s">
        <v>8755</v>
      </c>
      <c r="I11" s="1843" t="s">
        <v>8756</v>
      </c>
      <c r="J11" s="1811" t="str">
        <f t="shared" si="7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26" t="s">
        <v>233</v>
      </c>
      <c r="O11" s="1815">
        <v>59</v>
      </c>
      <c r="P11" s="1853">
        <v>48</v>
      </c>
      <c r="Q11" s="1854">
        <v>50</v>
      </c>
      <c r="R11" s="2609" t="s">
        <v>234</v>
      </c>
      <c r="S11" s="1844">
        <v>59</v>
      </c>
      <c r="T11" s="2626" t="s">
        <v>749</v>
      </c>
      <c r="U11" s="2609" t="s">
        <v>750</v>
      </c>
      <c r="V11" s="2152" t="s">
        <v>237</v>
      </c>
      <c r="W11" s="904" t="s">
        <v>238</v>
      </c>
      <c r="X11" s="2922" t="s">
        <v>435</v>
      </c>
      <c r="Y11" s="2923" t="s">
        <v>436</v>
      </c>
      <c r="Z11" s="2922" t="s">
        <v>49</v>
      </c>
      <c r="AA11" s="2923" t="s">
        <v>50</v>
      </c>
      <c r="AB11" s="2922" t="s">
        <v>51</v>
      </c>
      <c r="AC11" s="2923" t="s">
        <v>52</v>
      </c>
      <c r="AD11" s="2922" t="s">
        <v>30</v>
      </c>
      <c r="AE11" s="2923" t="s">
        <v>35</v>
      </c>
      <c r="AF11" s="2152" t="s">
        <v>31</v>
      </c>
      <c r="AG11" s="904" t="s">
        <v>36</v>
      </c>
      <c r="AH11" s="681"/>
      <c r="AI11" s="676"/>
      <c r="AJ11" s="3017"/>
      <c r="AK11" s="3018"/>
      <c r="AL11" s="2917"/>
      <c r="AM11" s="2918">
        <f t="shared" si="2"/>
        <v>0</v>
      </c>
      <c r="AN11" s="2629"/>
      <c r="AO11" s="2631"/>
      <c r="AQ11" s="2367">
        <f t="shared" si="3"/>
        <v>0</v>
      </c>
      <c r="AR11" s="2367">
        <f t="shared" si="4"/>
        <v>0</v>
      </c>
      <c r="AS11" s="123" t="str">
        <f t="shared" si="8"/>
        <v>미사용 랙</v>
      </c>
      <c r="AT11" t="str">
        <f t="shared" si="5"/>
        <v/>
      </c>
      <c r="AU11" t="str">
        <f t="shared" si="6"/>
        <v/>
      </c>
      <c r="AZ11" s="123">
        <v>0</v>
      </c>
      <c r="BA11" s="123" t="str">
        <v>A504</v>
      </c>
      <c r="BB11" s="123" t="str">
        <v>242 BAY</v>
      </c>
      <c r="BC11" s="3103" t="str">
        <v>Sejong Telecom Inc.</v>
      </c>
      <c r="BD11" s="123">
        <v>1.6</v>
      </c>
      <c r="BE11" s="3104" t="str">
        <v>7-DaHall 1-PDU-01-30-9</v>
      </c>
      <c r="BF11" s="3105" t="str">
        <v>7-DaHall 1-PDU-02-30-9</v>
      </c>
      <c r="BG11" s="3112">
        <v>5.884965607650174</v>
      </c>
      <c r="BH11" s="3106">
        <v>5.8741569521923287</v>
      </c>
      <c r="BI11" s="3107">
        <v>11.759122559842503</v>
      </c>
      <c r="BJ11" s="3117">
        <v>948.4</v>
      </c>
      <c r="BK11" s="3118">
        <v>947.3</v>
      </c>
      <c r="BL11" s="3119">
        <v>1895.6999999999998</v>
      </c>
      <c r="BM11" s="671" t="str">
        <v>인터넷팀 장비</v>
      </c>
      <c r="BN11" s="671">
        <v>0</v>
      </c>
    </row>
    <row r="12" spans="1:66" ht="54.75" customHeight="1">
      <c r="A12" s="2924"/>
      <c r="B12" s="2595" t="s">
        <v>740</v>
      </c>
      <c r="C12" s="2147" t="s">
        <v>741</v>
      </c>
      <c r="D12" s="2595" t="s">
        <v>742</v>
      </c>
      <c r="E12" s="2595"/>
      <c r="F12" s="2595"/>
      <c r="G12" s="2595" t="s">
        <v>27</v>
      </c>
      <c r="H12" s="1811" t="s">
        <v>8757</v>
      </c>
      <c r="I12" s="1843" t="s">
        <v>8758</v>
      </c>
      <c r="J12" s="1811" t="str">
        <f t="shared" si="7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26" t="s">
        <v>233</v>
      </c>
      <c r="O12" s="1815">
        <v>25</v>
      </c>
      <c r="P12" s="1853">
        <v>48</v>
      </c>
      <c r="Q12" s="1854">
        <v>50</v>
      </c>
      <c r="R12" s="2609" t="s">
        <v>234</v>
      </c>
      <c r="S12" s="1844">
        <v>25</v>
      </c>
      <c r="T12" s="2626" t="s">
        <v>743</v>
      </c>
      <c r="U12" s="2609" t="s">
        <v>744</v>
      </c>
      <c r="V12" s="2152" t="s">
        <v>237</v>
      </c>
      <c r="W12" s="904" t="s">
        <v>238</v>
      </c>
      <c r="X12" s="2922" t="s">
        <v>435</v>
      </c>
      <c r="Y12" s="2923" t="s">
        <v>436</v>
      </c>
      <c r="Z12" s="2922" t="s">
        <v>49</v>
      </c>
      <c r="AA12" s="2923" t="s">
        <v>50</v>
      </c>
      <c r="AB12" s="2922" t="s">
        <v>51</v>
      </c>
      <c r="AC12" s="2923" t="s">
        <v>52</v>
      </c>
      <c r="AD12" s="2922" t="s">
        <v>30</v>
      </c>
      <c r="AE12" s="2923" t="s">
        <v>35</v>
      </c>
      <c r="AF12" s="2152" t="s">
        <v>31</v>
      </c>
      <c r="AG12" s="904" t="s">
        <v>36</v>
      </c>
      <c r="AH12" s="681"/>
      <c r="AI12" s="676"/>
      <c r="AJ12" s="3017"/>
      <c r="AK12" s="3018"/>
      <c r="AL12" s="2917"/>
      <c r="AM12" s="2918">
        <f t="shared" si="2"/>
        <v>0</v>
      </c>
      <c r="AN12" s="962" t="s">
        <v>745</v>
      </c>
      <c r="AO12" s="972"/>
      <c r="AQ12" s="2367">
        <f t="shared" si="3"/>
        <v>0</v>
      </c>
      <c r="AR12" s="2367">
        <f t="shared" si="4"/>
        <v>0</v>
      </c>
      <c r="AS12" s="123" t="str">
        <f t="shared" si="8"/>
        <v>미사용 랙</v>
      </c>
      <c r="AT12" t="str">
        <f t="shared" si="5"/>
        <v/>
      </c>
      <c r="AU12" t="str">
        <f t="shared" si="6"/>
        <v/>
      </c>
      <c r="AZ12" s="123">
        <v>0</v>
      </c>
      <c r="BA12" s="123" t="str">
        <v>A505</v>
      </c>
      <c r="BB12" s="123" t="str">
        <v>241 BAY</v>
      </c>
      <c r="BC12" s="3103" t="str">
        <v>Sejong Telecom Inc.</v>
      </c>
      <c r="BD12" s="123">
        <v>1.6</v>
      </c>
      <c r="BE12" s="3104" t="str">
        <v>7-DaHall 1-PDU-01-30-7</v>
      </c>
      <c r="BF12" s="3105" t="str">
        <v>7-DaHall 1-PDU-02-30-7</v>
      </c>
      <c r="BG12" s="3112">
        <v>5.9765293166114972</v>
      </c>
      <c r="BH12" s="3106">
        <v>5.7291048451715589</v>
      </c>
      <c r="BI12" s="3107">
        <v>11.705634161783056</v>
      </c>
      <c r="BJ12" s="3117">
        <v>951.5</v>
      </c>
      <c r="BK12" s="3118">
        <v>909.2</v>
      </c>
      <c r="BL12" s="3119">
        <v>1860.7</v>
      </c>
      <c r="BM12" s="671" t="str">
        <v>인터넷팀 장비</v>
      </c>
      <c r="BN12" s="671">
        <v>0</v>
      </c>
    </row>
    <row r="13" spans="1:66" ht="15" customHeight="1" thickBot="1">
      <c r="A13" s="2901"/>
      <c r="B13" s="2627"/>
      <c r="C13" s="918" t="s">
        <v>618</v>
      </c>
      <c r="D13" s="918"/>
      <c r="E13" s="2627"/>
      <c r="F13" s="2627"/>
      <c r="G13" s="2627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25"/>
      <c r="AL13" s="2926"/>
      <c r="AM13" s="2927">
        <f t="shared" si="2"/>
        <v>0</v>
      </c>
      <c r="AN13" s="2630"/>
      <c r="AO13" s="679"/>
      <c r="AQ13" s="2367">
        <f t="shared" si="3"/>
        <v>0</v>
      </c>
      <c r="AR13" s="2367">
        <f t="shared" si="4"/>
        <v>0</v>
      </c>
      <c r="AS13" s="123" t="str">
        <f t="shared" si="8"/>
        <v>미사용 랙</v>
      </c>
      <c r="AT13" t="str">
        <f t="shared" si="5"/>
        <v/>
      </c>
      <c r="AU13" t="str">
        <f t="shared" si="6"/>
        <v/>
      </c>
      <c r="AZ13" s="123">
        <v>0</v>
      </c>
      <c r="BA13" s="123" t="str">
        <v>B206</v>
      </c>
      <c r="BB13" s="123">
        <v>0</v>
      </c>
      <c r="BC13" s="3103" t="str">
        <v>Sejong Telecom Inc.('23.10.12 투입)</v>
      </c>
      <c r="BD13" s="123">
        <v>2.2000000000000002</v>
      </c>
      <c r="BE13" s="3104" t="str">
        <v>7-DaHall 1-PDU-01-30-48</v>
      </c>
      <c r="BF13" s="3105" t="str">
        <v>7-DaHall 1-PDU-02-30-48</v>
      </c>
      <c r="BG13" s="3112">
        <v>1.7783515337126403</v>
      </c>
      <c r="BH13" s="3106">
        <v>1.9764362063733956</v>
      </c>
      <c r="BI13" s="3107">
        <v>3.7547877400860359</v>
      </c>
      <c r="BJ13" s="3117">
        <v>283.7</v>
      </c>
      <c r="BK13" s="3118">
        <v>311.2</v>
      </c>
      <c r="BL13" s="3119">
        <v>594.9</v>
      </c>
      <c r="BM13" s="671" t="str">
        <v>SJT</v>
      </c>
      <c r="BN13" s="671" t="str">
        <v>'23.10.12 투입</v>
      </c>
    </row>
    <row r="14" spans="1:66" ht="14.25" customHeight="1">
      <c r="A14" s="2924"/>
      <c r="B14" s="2595"/>
      <c r="C14" s="954" t="s">
        <v>617</v>
      </c>
      <c r="D14" s="954"/>
      <c r="E14" s="2624"/>
      <c r="F14" s="2624"/>
      <c r="G14" s="2624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25"/>
      <c r="AL14" s="2926"/>
      <c r="AM14" s="2927">
        <f t="shared" si="2"/>
        <v>0</v>
      </c>
      <c r="AN14" s="1172"/>
      <c r="AO14" s="1173"/>
      <c r="AQ14" s="2367">
        <f t="shared" si="3"/>
        <v>0</v>
      </c>
      <c r="AR14" s="2367">
        <f t="shared" si="4"/>
        <v>0</v>
      </c>
      <c r="AS14" s="123" t="str">
        <f t="shared" si="8"/>
        <v>미사용 랙</v>
      </c>
      <c r="AT14" t="str">
        <f t="shared" si="5"/>
        <v/>
      </c>
      <c r="AU14" t="str">
        <f t="shared" si="6"/>
        <v/>
      </c>
      <c r="AZ14" s="123">
        <v>0</v>
      </c>
      <c r="BA14" s="123" t="str">
        <v>B217</v>
      </c>
      <c r="BB14" s="123">
        <v>0</v>
      </c>
      <c r="BC14" s="3103" t="str">
        <v>Sejong Telecom Inc.</v>
      </c>
      <c r="BD14" s="123">
        <v>0</v>
      </c>
      <c r="BE14" s="3104" t="str">
        <v>7-DaHall 1-A-2-35-47</v>
      </c>
      <c r="BF14" s="3105" t="str">
        <v>7-DaHall 1-B-2-35-47</v>
      </c>
      <c r="BG14" s="3112">
        <v>0</v>
      </c>
      <c r="BH14" s="3106">
        <v>0</v>
      </c>
      <c r="BI14" s="3107">
        <v>0</v>
      </c>
      <c r="BJ14" s="3117">
        <v>0</v>
      </c>
      <c r="BK14" s="3118">
        <v>0</v>
      </c>
      <c r="BL14" s="3119">
        <v>0</v>
      </c>
      <c r="BM14" s="671" t="str">
        <v>SKT/SKB장비</v>
      </c>
      <c r="BN14" s="671" t="str">
        <v>PDP 2개 ??</v>
      </c>
    </row>
    <row r="15" spans="1:66" ht="14.25" customHeight="1">
      <c r="A15" s="2924"/>
      <c r="B15" s="2595"/>
      <c r="C15" s="954" t="s">
        <v>616</v>
      </c>
      <c r="D15" s="954"/>
      <c r="E15" s="2624"/>
      <c r="F15" s="2624"/>
      <c r="G15" s="2624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25"/>
      <c r="AL15" s="2926"/>
      <c r="AM15" s="2927">
        <f t="shared" si="2"/>
        <v>0</v>
      </c>
      <c r="AN15" s="1172"/>
      <c r="AO15" s="1173"/>
      <c r="AQ15" s="2367">
        <f t="shared" si="3"/>
        <v>0</v>
      </c>
      <c r="AR15" s="2367">
        <f t="shared" si="4"/>
        <v>0</v>
      </c>
      <c r="AS15" s="123" t="str">
        <f t="shared" si="8"/>
        <v>미사용 랙</v>
      </c>
      <c r="AT15" t="str">
        <f t="shared" si="5"/>
        <v/>
      </c>
      <c r="AU15" t="str">
        <f t="shared" si="6"/>
        <v/>
      </c>
      <c r="AZ15" s="123">
        <v>0</v>
      </c>
      <c r="BA15" s="123" t="str">
        <v>B218</v>
      </c>
      <c r="BB15" s="123">
        <v>0</v>
      </c>
      <c r="BC15" s="3103" t="str">
        <v>Sejong Telecom Inc.</v>
      </c>
      <c r="BD15" s="123">
        <v>0</v>
      </c>
      <c r="BE15" s="3104" t="str">
        <v>7-DaHall 1-A-2-16-44</v>
      </c>
      <c r="BF15" s="3105" t="str">
        <v>7-DaHall 1-B-2-16-46</v>
      </c>
      <c r="BG15" s="3112">
        <v>0</v>
      </c>
      <c r="BH15" s="3106">
        <v>0</v>
      </c>
      <c r="BI15" s="3107">
        <v>0</v>
      </c>
      <c r="BJ15" s="3117">
        <v>0</v>
      </c>
      <c r="BK15" s="3118">
        <v>0</v>
      </c>
      <c r="BL15" s="3119">
        <v>0</v>
      </c>
      <c r="BM15" s="671" t="str">
        <v>드림라인 장비</v>
      </c>
      <c r="BN15" s="671">
        <v>0</v>
      </c>
    </row>
    <row r="16" spans="1:66" ht="40.049999999999997" customHeight="1">
      <c r="A16" s="2924"/>
      <c r="B16" s="2595" t="s">
        <v>611</v>
      </c>
      <c r="C16" s="2605" t="s">
        <v>612</v>
      </c>
      <c r="D16" s="2600" t="s">
        <v>613</v>
      </c>
      <c r="E16" s="2600"/>
      <c r="F16" s="2595"/>
      <c r="G16" s="2595" t="s">
        <v>27</v>
      </c>
      <c r="H16" s="1866" t="s">
        <v>8759</v>
      </c>
      <c r="I16" s="1867" t="s">
        <v>8760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09" t="s">
        <v>234</v>
      </c>
      <c r="O16" s="1844">
        <v>31</v>
      </c>
      <c r="P16" s="1869">
        <v>48</v>
      </c>
      <c r="Q16" s="1814">
        <v>100</v>
      </c>
      <c r="R16" s="2626" t="s">
        <v>233</v>
      </c>
      <c r="S16" s="1815">
        <v>31</v>
      </c>
      <c r="T16" s="2609" t="s">
        <v>614</v>
      </c>
      <c r="U16" s="2626" t="s">
        <v>615</v>
      </c>
      <c r="V16" s="2928" t="s">
        <v>434</v>
      </c>
      <c r="W16" s="2929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3017"/>
      <c r="AK16" s="3018"/>
      <c r="AL16" s="2917"/>
      <c r="AM16" s="2918">
        <f t="shared" si="2"/>
        <v>0</v>
      </c>
      <c r="AN16" s="2629"/>
      <c r="AO16" s="2631"/>
      <c r="AQ16" s="2367">
        <f t="shared" si="3"/>
        <v>0</v>
      </c>
      <c r="AR16" s="2367">
        <f t="shared" si="4"/>
        <v>0</v>
      </c>
      <c r="AS16" s="123" t="str">
        <f t="shared" si="8"/>
        <v>미사용 랙</v>
      </c>
      <c r="AT16" t="str">
        <f t="shared" si="5"/>
        <v/>
      </c>
      <c r="AU16" t="str">
        <f t="shared" si="6"/>
        <v/>
      </c>
      <c r="AZ16" s="123">
        <v>0</v>
      </c>
      <c r="BA16" s="123" t="str">
        <v>B219</v>
      </c>
      <c r="BB16" s="123">
        <v>0</v>
      </c>
      <c r="BC16" s="3103" t="str">
        <v>Sejong Telecom Inc.</v>
      </c>
      <c r="BD16" s="123">
        <v>0</v>
      </c>
      <c r="BE16" s="3104" t="str">
        <v>7-DaHall 1-A-2-35-58</v>
      </c>
      <c r="BF16" s="3105" t="str">
        <v>7-DaHall 1-B-2-35-58</v>
      </c>
      <c r="BG16" s="3112">
        <v>0</v>
      </c>
      <c r="BH16" s="3106">
        <v>0</v>
      </c>
      <c r="BI16" s="3107">
        <v>0</v>
      </c>
      <c r="BJ16" s="3117">
        <v>0</v>
      </c>
      <c r="BK16" s="3118">
        <v>0</v>
      </c>
      <c r="BL16" s="3119">
        <v>0</v>
      </c>
      <c r="BM16" s="671" t="str">
        <v>SKB장비</v>
      </c>
      <c r="BN16" s="671">
        <v>0</v>
      </c>
    </row>
    <row r="17" spans="1:66" ht="40.049999999999997" customHeight="1">
      <c r="A17" s="2924"/>
      <c r="B17" s="2595" t="s">
        <v>606</v>
      </c>
      <c r="C17" s="2147" t="s">
        <v>607</v>
      </c>
      <c r="D17" s="2595" t="s">
        <v>608</v>
      </c>
      <c r="E17" s="2595"/>
      <c r="F17" s="2595"/>
      <c r="G17" s="2595" t="s">
        <v>27</v>
      </c>
      <c r="H17" s="1866" t="s">
        <v>8761</v>
      </c>
      <c r="I17" s="1867" t="s">
        <v>8762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09" t="s">
        <v>234</v>
      </c>
      <c r="O17" s="1844">
        <v>30</v>
      </c>
      <c r="P17" s="1869">
        <v>48</v>
      </c>
      <c r="Q17" s="1814">
        <v>100</v>
      </c>
      <c r="R17" s="2626" t="s">
        <v>233</v>
      </c>
      <c r="S17" s="1815">
        <v>30</v>
      </c>
      <c r="T17" s="2609" t="s">
        <v>609</v>
      </c>
      <c r="U17" s="2626" t="s">
        <v>610</v>
      </c>
      <c r="V17" s="2928" t="s">
        <v>434</v>
      </c>
      <c r="W17" s="2929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3017"/>
      <c r="AK17" s="3018"/>
      <c r="AL17" s="2917"/>
      <c r="AM17" s="2918">
        <f t="shared" si="2"/>
        <v>0</v>
      </c>
      <c r="AN17" s="2629"/>
      <c r="AO17" s="2631"/>
      <c r="AQ17" s="2367">
        <f t="shared" si="3"/>
        <v>0</v>
      </c>
      <c r="AR17" s="2367">
        <f t="shared" si="4"/>
        <v>0</v>
      </c>
      <c r="AS17" s="123" t="str">
        <f t="shared" si="8"/>
        <v>미사용 랙</v>
      </c>
      <c r="AT17" t="str">
        <f t="shared" si="5"/>
        <v/>
      </c>
      <c r="AU17" t="str">
        <f t="shared" si="6"/>
        <v/>
      </c>
      <c r="AZ17" s="123">
        <v>0</v>
      </c>
      <c r="BA17" s="123" t="str">
        <v>B316</v>
      </c>
      <c r="BB17" s="123" t="str">
        <v>419 BAY</v>
      </c>
      <c r="BC17" s="3103" t="str">
        <v>Sejong Telecom Inc.</v>
      </c>
      <c r="BD17" s="123">
        <v>0</v>
      </c>
      <c r="BE17" s="3104" t="str">
        <v>7-DaHall 1-A-2-35-52</v>
      </c>
      <c r="BF17" s="3105" t="str">
        <v>7-DaHall 1-B-2-35-52</v>
      </c>
      <c r="BG17" s="3112">
        <v>0</v>
      </c>
      <c r="BH17" s="3106">
        <v>0</v>
      </c>
      <c r="BI17" s="3107">
        <v>0</v>
      </c>
      <c r="BJ17" s="3117">
        <v>0</v>
      </c>
      <c r="BK17" s="3118">
        <v>0</v>
      </c>
      <c r="BL17" s="3119">
        <v>0</v>
      </c>
      <c r="BM17" s="671" t="str">
        <v>SKB장비</v>
      </c>
      <c r="BN17" s="671">
        <v>0</v>
      </c>
    </row>
    <row r="18" spans="1:66" ht="54.75" customHeight="1">
      <c r="A18" s="2924"/>
      <c r="B18" s="3217" t="s">
        <v>595</v>
      </c>
      <c r="C18" s="3232" t="s">
        <v>596</v>
      </c>
      <c r="D18" s="2595" t="s">
        <v>597</v>
      </c>
      <c r="E18" s="2595"/>
      <c r="F18" s="2595"/>
      <c r="G18" s="2595" t="s">
        <v>27</v>
      </c>
      <c r="H18" s="1811" t="s">
        <v>8763</v>
      </c>
      <c r="I18" s="1843" t="s">
        <v>8764</v>
      </c>
      <c r="J18" s="1811" t="str">
        <f t="shared" ref="J18:J19" si="10">"7-DaHall 1-"&amp;N18&amp;"-"&amp;M18&amp;"-"&amp;O18</f>
        <v>7-DaHall 1-A-4-100-29</v>
      </c>
      <c r="K18" s="1843" t="str">
        <f t="shared" ref="K18:K19" si="11">"7-DaHall 1-"&amp;R18&amp;"-"&amp;Q18&amp;"-"&amp;S18</f>
        <v>7-DaHall 1-B-4-100-29</v>
      </c>
      <c r="L18" s="1813">
        <v>48</v>
      </c>
      <c r="M18" s="1814">
        <v>100</v>
      </c>
      <c r="N18" s="2626" t="s">
        <v>233</v>
      </c>
      <c r="O18" s="1815">
        <v>29</v>
      </c>
      <c r="P18" s="1853">
        <v>48</v>
      </c>
      <c r="Q18" s="1854">
        <v>100</v>
      </c>
      <c r="R18" s="2609" t="s">
        <v>234</v>
      </c>
      <c r="S18" s="1844">
        <v>29</v>
      </c>
      <c r="T18" s="2626" t="s">
        <v>598</v>
      </c>
      <c r="U18" s="2609" t="s">
        <v>599</v>
      </c>
      <c r="V18" s="2929" t="s">
        <v>237</v>
      </c>
      <c r="W18" s="2928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234"/>
      <c r="AK18" s="3018"/>
      <c r="AL18" s="2917"/>
      <c r="AM18" s="2918">
        <f t="shared" si="2"/>
        <v>0</v>
      </c>
      <c r="AN18" s="2629" t="s">
        <v>600</v>
      </c>
      <c r="AO18" s="2631"/>
      <c r="AQ18" s="2367">
        <f t="shared" si="3"/>
        <v>0</v>
      </c>
      <c r="AR18" s="2367">
        <f t="shared" si="4"/>
        <v>0</v>
      </c>
      <c r="AS18" s="123" t="str">
        <f t="shared" si="8"/>
        <v>미사용 랙</v>
      </c>
      <c r="AT18" t="str">
        <f t="shared" si="5"/>
        <v/>
      </c>
      <c r="AU18" t="str">
        <f t="shared" si="6"/>
        <v/>
      </c>
      <c r="AZ18" s="123">
        <v>0</v>
      </c>
      <c r="BA18" s="123" t="str">
        <v>B323</v>
      </c>
      <c r="BB18" s="123" t="str">
        <v>413 BAY</v>
      </c>
      <c r="BC18" s="3103" t="str">
        <v>Sejong Telecom Inc.</v>
      </c>
      <c r="BD18" s="123">
        <v>0</v>
      </c>
      <c r="BE18" s="3104">
        <v>0</v>
      </c>
      <c r="BF18" s="3105">
        <v>0</v>
      </c>
      <c r="BG18" s="3112">
        <v>0</v>
      </c>
      <c r="BH18" s="3106">
        <v>0</v>
      </c>
      <c r="BI18" s="3107">
        <v>0</v>
      </c>
      <c r="BJ18" s="3117">
        <v>0</v>
      </c>
      <c r="BK18" s="3118">
        <v>0</v>
      </c>
      <c r="BL18" s="3119">
        <v>0</v>
      </c>
      <c r="BM18" s="671" t="str">
        <v>7F-5F UTP PATCH</v>
      </c>
      <c r="BN18" s="671" t="str">
        <v>405Bay에서 1회로 연결 사용 중</v>
      </c>
    </row>
    <row r="19" spans="1:66" ht="54.75" customHeight="1">
      <c r="A19" s="2924"/>
      <c r="B19" s="3218"/>
      <c r="C19" s="3233"/>
      <c r="D19" s="737" t="s">
        <v>601</v>
      </c>
      <c r="E19" s="737"/>
      <c r="F19" s="2595"/>
      <c r="G19" s="2595" t="s">
        <v>27</v>
      </c>
      <c r="H19" s="1811" t="s">
        <v>8765</v>
      </c>
      <c r="I19" s="1843" t="s">
        <v>8766</v>
      </c>
      <c r="J19" s="1811" t="str">
        <f t="shared" si="10"/>
        <v>7-DaHall 1-A-4-35-34</v>
      </c>
      <c r="K19" s="1843" t="str">
        <f t="shared" si="11"/>
        <v>7-DaHall 1-B-4-35-34</v>
      </c>
      <c r="L19" s="1813">
        <v>48</v>
      </c>
      <c r="M19" s="1814">
        <v>35</v>
      </c>
      <c r="N19" s="2626" t="s">
        <v>233</v>
      </c>
      <c r="O19" s="1815">
        <v>34</v>
      </c>
      <c r="P19" s="1853">
        <v>48</v>
      </c>
      <c r="Q19" s="1854">
        <v>35</v>
      </c>
      <c r="R19" s="2609" t="s">
        <v>234</v>
      </c>
      <c r="S19" s="1844">
        <v>34</v>
      </c>
      <c r="T19" s="2626" t="s">
        <v>602</v>
      </c>
      <c r="U19" s="2609" t="s">
        <v>603</v>
      </c>
      <c r="V19" s="2929" t="s">
        <v>237</v>
      </c>
      <c r="W19" s="2928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235"/>
      <c r="AK19" s="3018"/>
      <c r="AL19" s="2917"/>
      <c r="AM19" s="2918">
        <f t="shared" si="2"/>
        <v>0</v>
      </c>
      <c r="AN19" s="2629" t="s">
        <v>604</v>
      </c>
      <c r="AO19" s="738" t="s">
        <v>605</v>
      </c>
      <c r="AQ19" s="2367">
        <f t="shared" si="3"/>
        <v>0</v>
      </c>
      <c r="AR19" s="2367">
        <f t="shared" si="4"/>
        <v>0</v>
      </c>
      <c r="AS19" s="123" t="str">
        <f t="shared" si="8"/>
        <v>미사용 랙</v>
      </c>
      <c r="AT19" t="str">
        <f t="shared" si="5"/>
        <v/>
      </c>
      <c r="AU19" t="str">
        <f t="shared" si="6"/>
        <v/>
      </c>
      <c r="AZ19" s="123">
        <v>0</v>
      </c>
      <c r="BA19" s="123" t="str">
        <v>B411</v>
      </c>
      <c r="BB19" s="123" t="str">
        <v>322 BAY</v>
      </c>
      <c r="BC19" s="3103" t="str">
        <v>Sejong Telecom Inc.</v>
      </c>
      <c r="BD19" s="123">
        <v>0</v>
      </c>
      <c r="BE19" s="3104" t="str">
        <v>7-DaHall 1-PDU-01-30-29</v>
      </c>
      <c r="BF19" s="3105">
        <v>0</v>
      </c>
      <c r="BG19" s="3112">
        <v>0</v>
      </c>
      <c r="BH19" s="3106">
        <v>0</v>
      </c>
      <c r="BI19" s="3107">
        <v>0</v>
      </c>
      <c r="BJ19" s="3117">
        <v>0</v>
      </c>
      <c r="BK19" s="3118">
        <v>0</v>
      </c>
      <c r="BL19" s="3119">
        <v>0</v>
      </c>
      <c r="BM19" s="671" t="str">
        <v>PTN 7200 UTP PATCH 예정</v>
      </c>
      <c r="BN19" s="671">
        <v>0</v>
      </c>
    </row>
    <row r="20" spans="1:66" ht="54.75" customHeight="1">
      <c r="A20" s="2924"/>
      <c r="B20" s="2595" t="s">
        <v>590</v>
      </c>
      <c r="C20" s="2147" t="s">
        <v>591</v>
      </c>
      <c r="D20" s="2595" t="s">
        <v>592</v>
      </c>
      <c r="E20" s="2595"/>
      <c r="F20" s="2595"/>
      <c r="G20" s="2595" t="s">
        <v>27</v>
      </c>
      <c r="H20" s="1811" t="s">
        <v>8767</v>
      </c>
      <c r="I20" s="1843" t="s">
        <v>8768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26" t="s">
        <v>233</v>
      </c>
      <c r="O20" s="1815">
        <v>3</v>
      </c>
      <c r="P20" s="1853">
        <v>48</v>
      </c>
      <c r="Q20" s="1854">
        <v>100</v>
      </c>
      <c r="R20" s="2609" t="s">
        <v>234</v>
      </c>
      <c r="S20" s="1844">
        <v>3</v>
      </c>
      <c r="T20" s="2626" t="s">
        <v>593</v>
      </c>
      <c r="U20" s="2609" t="s">
        <v>594</v>
      </c>
      <c r="V20" s="2929" t="s">
        <v>237</v>
      </c>
      <c r="W20" s="2928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3017"/>
      <c r="AK20" s="3018"/>
      <c r="AL20" s="2917"/>
      <c r="AM20" s="2918">
        <f t="shared" si="2"/>
        <v>0</v>
      </c>
      <c r="AN20" s="2629"/>
      <c r="AO20" s="2631"/>
      <c r="AQ20" s="2367">
        <f t="shared" si="3"/>
        <v>0</v>
      </c>
      <c r="AR20" s="2367">
        <f t="shared" si="4"/>
        <v>0</v>
      </c>
      <c r="AS20" s="123" t="str">
        <f t="shared" si="8"/>
        <v>미사용 랙</v>
      </c>
      <c r="AT20" t="str">
        <f t="shared" si="5"/>
        <v/>
      </c>
      <c r="AU20" t="str">
        <f t="shared" si="6"/>
        <v/>
      </c>
      <c r="AZ20" s="123">
        <v>0</v>
      </c>
      <c r="BA20" s="123" t="str">
        <v>C104</v>
      </c>
      <c r="BB20" s="123" t="str">
        <v>507 BAY</v>
      </c>
      <c r="BC20" s="3103" t="str">
        <v>Sejong Telecom Inc.</v>
      </c>
      <c r="BD20" s="123">
        <v>0</v>
      </c>
      <c r="BE20" s="3104" t="str">
        <v>7-DaHall 1-A-1-50-20</v>
      </c>
      <c r="BF20" s="3105" t="str">
        <v>7-DaHall 1-B-1-50-20</v>
      </c>
      <c r="BG20" s="3112">
        <v>0</v>
      </c>
      <c r="BH20" s="3106">
        <v>0</v>
      </c>
      <c r="BI20" s="3107">
        <v>0</v>
      </c>
      <c r="BJ20" s="3117">
        <v>0</v>
      </c>
      <c r="BK20" s="3118">
        <v>0</v>
      </c>
      <c r="BL20" s="3119">
        <v>0</v>
      </c>
      <c r="BM20" s="671" t="str">
        <v>SKB장비</v>
      </c>
      <c r="BN20" s="671">
        <v>0</v>
      </c>
    </row>
    <row r="21" spans="1:66" ht="54.75" customHeight="1">
      <c r="A21" s="2924"/>
      <c r="B21" s="3217" t="s">
        <v>468</v>
      </c>
      <c r="C21" s="3237" t="s">
        <v>469</v>
      </c>
      <c r="D21" s="3239" t="s">
        <v>9249</v>
      </c>
      <c r="E21" s="2980"/>
      <c r="F21" s="2624"/>
      <c r="G21" s="2624" t="s">
        <v>27</v>
      </c>
      <c r="H21" s="1811" t="s">
        <v>8769</v>
      </c>
      <c r="I21" s="1843" t="s">
        <v>8770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26" t="s">
        <v>233</v>
      </c>
      <c r="O21" s="1815">
        <v>41</v>
      </c>
      <c r="P21" s="1853">
        <v>48</v>
      </c>
      <c r="Q21" s="1854">
        <v>50</v>
      </c>
      <c r="R21" s="2609" t="s">
        <v>234</v>
      </c>
      <c r="S21" s="1844">
        <v>41</v>
      </c>
      <c r="T21" s="2626" t="s">
        <v>470</v>
      </c>
      <c r="U21" s="2609" t="s">
        <v>471</v>
      </c>
      <c r="V21" s="2626" t="s">
        <v>433</v>
      </c>
      <c r="W21" s="2609" t="s">
        <v>434</v>
      </c>
      <c r="X21" s="2626" t="s">
        <v>435</v>
      </c>
      <c r="Y21" s="2609" t="s">
        <v>436</v>
      </c>
      <c r="Z21" s="2626" t="s">
        <v>49</v>
      </c>
      <c r="AA21" s="2609" t="s">
        <v>50</v>
      </c>
      <c r="AB21" s="2626" t="s">
        <v>51</v>
      </c>
      <c r="AC21" s="2609" t="s">
        <v>52</v>
      </c>
      <c r="AD21" s="2626" t="s">
        <v>30</v>
      </c>
      <c r="AE21" s="2609" t="s">
        <v>35</v>
      </c>
      <c r="AF21" s="2626" t="s">
        <v>31</v>
      </c>
      <c r="AG21" s="2609" t="s">
        <v>36</v>
      </c>
      <c r="AH21" s="675"/>
      <c r="AI21" s="676"/>
      <c r="AJ21" s="3017"/>
      <c r="AK21" s="3018"/>
      <c r="AL21" s="2917"/>
      <c r="AM21" s="2918">
        <f t="shared" si="2"/>
        <v>0</v>
      </c>
      <c r="AN21" s="2619"/>
      <c r="AO21" s="2631" t="s">
        <v>472</v>
      </c>
      <c r="AQ21" s="2367">
        <f t="shared" si="3"/>
        <v>0</v>
      </c>
      <c r="AR21" s="2367">
        <f t="shared" si="4"/>
        <v>0</v>
      </c>
      <c r="AS21" s="123" t="str">
        <f t="shared" si="8"/>
        <v>미사용 랙</v>
      </c>
      <c r="AT21" t="str">
        <f t="shared" si="5"/>
        <v/>
      </c>
      <c r="AU21" t="str">
        <f t="shared" si="6"/>
        <v/>
      </c>
      <c r="AZ21" s="123">
        <v>0</v>
      </c>
      <c r="BA21" s="123" t="str">
        <v>C201</v>
      </c>
      <c r="BB21" s="123" t="str">
        <v>410 BAY</v>
      </c>
      <c r="BC21" s="3103" t="str">
        <v>Sejong Telecom Inc.</v>
      </c>
      <c r="BD21" s="123">
        <v>1.6</v>
      </c>
      <c r="BE21" s="3104" t="str">
        <v>7-DaHall 1-RPP-01-30-32</v>
      </c>
      <c r="BF21" s="3105" t="str">
        <v>7-DaHall 1-RPP-02-30-26</v>
      </c>
      <c r="BG21" s="3112">
        <v>0</v>
      </c>
      <c r="BH21" s="3106">
        <v>0.42734076380786234</v>
      </c>
      <c r="BI21" s="3107">
        <v>0.42734076380786234</v>
      </c>
      <c r="BJ21" s="3117">
        <v>0</v>
      </c>
      <c r="BK21" s="3118">
        <v>26.4</v>
      </c>
      <c r="BL21" s="3119">
        <v>26.4</v>
      </c>
      <c r="BM21" s="671" t="str">
        <v>PBX 교환기</v>
      </c>
      <c r="BN21" s="671">
        <v>0</v>
      </c>
    </row>
    <row r="22" spans="1:66" ht="63" thickBot="1">
      <c r="A22" s="2901"/>
      <c r="B22" s="3236"/>
      <c r="C22" s="3238"/>
      <c r="D22" s="3240"/>
      <c r="E22" s="2981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30"/>
      <c r="AL22" s="2914"/>
      <c r="AM22" s="2927">
        <f t="shared" si="2"/>
        <v>0</v>
      </c>
      <c r="AN22" s="2907"/>
      <c r="AO22" s="691" t="s">
        <v>474</v>
      </c>
      <c r="AQ22" s="2367">
        <f t="shared" si="3"/>
        <v>0</v>
      </c>
      <c r="AR22" s="2367">
        <f t="shared" si="4"/>
        <v>0</v>
      </c>
      <c r="AS22" s="123" t="str">
        <f>IF(SIGN(AR22)&gt;=0,IF(AM22=0,"무부하 랙","적정함"),"사용초과")</f>
        <v>무부하 랙</v>
      </c>
      <c r="AT22" t="str">
        <f t="shared" si="5"/>
        <v/>
      </c>
      <c r="AU22" t="str">
        <f t="shared" si="6"/>
        <v/>
      </c>
      <c r="AZ22" s="123">
        <v>0</v>
      </c>
      <c r="BA22" s="123" t="str">
        <v>C202</v>
      </c>
      <c r="BB22" s="123" t="str">
        <v>409 BAY</v>
      </c>
      <c r="BC22" s="3103" t="str">
        <v>Sejong Telecom Inc.</v>
      </c>
      <c r="BD22" s="123">
        <v>1.6</v>
      </c>
      <c r="BE22" s="3104">
        <v>0</v>
      </c>
      <c r="BF22" s="3105">
        <v>0</v>
      </c>
      <c r="BG22" s="3112">
        <v>0</v>
      </c>
      <c r="BH22" s="3106">
        <v>0</v>
      </c>
      <c r="BI22" s="3107">
        <v>0</v>
      </c>
      <c r="BJ22" s="3117">
        <v>0</v>
      </c>
      <c r="BK22" s="3118">
        <v>0</v>
      </c>
      <c r="BL22" s="3119">
        <v>0</v>
      </c>
      <c r="BM22" s="671">
        <v>0</v>
      </c>
      <c r="BN22" s="671" t="str">
        <v>408Bay에서 멀티탭 2개 연결 사용 중</v>
      </c>
    </row>
    <row r="23" spans="1:66" ht="46.8">
      <c r="A23" s="2924"/>
      <c r="B23" s="2595" t="s">
        <v>464</v>
      </c>
      <c r="C23" s="1158" t="s">
        <v>465</v>
      </c>
      <c r="D23" s="2595" t="s">
        <v>9249</v>
      </c>
      <c r="E23" s="3061">
        <v>1.6</v>
      </c>
      <c r="F23" s="2597" t="s">
        <v>27</v>
      </c>
      <c r="G23" s="2597"/>
      <c r="H23" s="1872" t="s">
        <v>8771</v>
      </c>
      <c r="I23" s="1870" t="s">
        <v>8772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8750</v>
      </c>
      <c r="O23" s="1842">
        <v>3</v>
      </c>
      <c r="P23" s="1871">
        <v>220</v>
      </c>
      <c r="Q23" s="1834">
        <v>30</v>
      </c>
      <c r="R23" s="703" t="s">
        <v>8749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09" t="s">
        <v>165</v>
      </c>
      <c r="AC23" s="2626" t="s">
        <v>164</v>
      </c>
      <c r="AD23" s="2609" t="s">
        <v>111</v>
      </c>
      <c r="AE23" s="2626" t="s">
        <v>110</v>
      </c>
      <c r="AF23" s="2609" t="s">
        <v>36</v>
      </c>
      <c r="AG23" s="2626" t="s">
        <v>31</v>
      </c>
      <c r="AH23" s="924">
        <f>SUM('7층_부하량(월간_AVG)'!D65:F65)</f>
        <v>5.1348474714556858</v>
      </c>
      <c r="AI23" s="902">
        <f>SUM('7층_부하량(월간_AVG)'!D32:F32)</f>
        <v>5.5844193378533529</v>
      </c>
      <c r="AJ23" s="1301">
        <f>AI23+AH23</f>
        <v>10.719266809309039</v>
      </c>
      <c r="AK23" s="2913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780.1</v>
      </c>
      <c r="AL23" s="2914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726.1</v>
      </c>
      <c r="AM23" s="2921">
        <f t="shared" si="2"/>
        <v>1506.2</v>
      </c>
      <c r="AN23" s="2629" t="s">
        <v>121</v>
      </c>
      <c r="AO23" s="2631"/>
      <c r="AQ23" s="2367">
        <f t="shared" si="3"/>
        <v>2.0244623655913978</v>
      </c>
      <c r="AR23" s="2367">
        <f t="shared" si="4"/>
        <v>-0.42446236559139772</v>
      </c>
      <c r="AS23" s="123" t="str">
        <f>IF(SIGN(AR23)&gt;=0,IF(AM23=0,"무부하 랙","적정함"),"사용초과")</f>
        <v>사용초과</v>
      </c>
      <c r="AT23" t="str">
        <f t="shared" si="5"/>
        <v>Sejong Telecom Inc.</v>
      </c>
      <c r="AU23" t="str">
        <f t="shared" si="6"/>
        <v>A403</v>
      </c>
      <c r="AZ23" s="123">
        <v>0</v>
      </c>
      <c r="BA23" s="123" t="str">
        <v>C203</v>
      </c>
      <c r="BB23" s="123" t="str">
        <v>408 BAY</v>
      </c>
      <c r="BC23" s="3103" t="str">
        <v>Sejong Telecom Inc.</v>
      </c>
      <c r="BD23" s="123">
        <v>1.6</v>
      </c>
      <c r="BE23" s="3104" t="str">
        <v>7-DaHall 1-RPP-01-30-12</v>
      </c>
      <c r="BF23" s="3105" t="str">
        <v>7-DaHall 1-RPP-02-20-17</v>
      </c>
      <c r="BG23" s="3112">
        <v>4.1870727699500492</v>
      </c>
      <c r="BH23" s="3106">
        <v>3.1085118739641748</v>
      </c>
      <c r="BI23" s="3107">
        <v>7.295584643914224</v>
      </c>
      <c r="BJ23" s="3117">
        <v>608.6</v>
      </c>
      <c r="BK23" s="3118">
        <v>436.9</v>
      </c>
      <c r="BL23" s="3119">
        <v>1045.5</v>
      </c>
      <c r="BM23" s="671">
        <v>0</v>
      </c>
      <c r="BN23" s="671">
        <v>0</v>
      </c>
    </row>
    <row r="24" spans="1:66" ht="62.4">
      <c r="A24" s="2924"/>
      <c r="B24" s="2595" t="s">
        <v>454</v>
      </c>
      <c r="C24" s="1158" t="s">
        <v>455</v>
      </c>
      <c r="D24" s="2595" t="s">
        <v>9249</v>
      </c>
      <c r="E24" s="3062">
        <v>1.6</v>
      </c>
      <c r="F24" s="2595" t="s">
        <v>27</v>
      </c>
      <c r="G24" s="2595"/>
      <c r="H24" s="1831" t="s">
        <v>8773</v>
      </c>
      <c r="I24" s="1839" t="s">
        <v>8774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8775</v>
      </c>
      <c r="O24" s="1835">
        <v>40</v>
      </c>
      <c r="P24" s="1840">
        <v>220</v>
      </c>
      <c r="Q24" s="1841">
        <v>30</v>
      </c>
      <c r="R24" s="687" t="s">
        <v>8776</v>
      </c>
      <c r="S24" s="1842">
        <v>38</v>
      </c>
      <c r="T24" s="703" t="s">
        <v>456</v>
      </c>
      <c r="U24" s="687" t="s">
        <v>457</v>
      </c>
      <c r="V24" s="2626" t="s">
        <v>458</v>
      </c>
      <c r="W24" s="2609" t="s">
        <v>459</v>
      </c>
      <c r="X24" s="2626" t="s">
        <v>450</v>
      </c>
      <c r="Y24" s="2609" t="s">
        <v>460</v>
      </c>
      <c r="Z24" s="2626" t="s">
        <v>451</v>
      </c>
      <c r="AA24" s="2609" t="s">
        <v>461</v>
      </c>
      <c r="AB24" s="2626" t="s">
        <v>452</v>
      </c>
      <c r="AC24" s="2609" t="s">
        <v>462</v>
      </c>
      <c r="AD24" s="2626" t="s">
        <v>30</v>
      </c>
      <c r="AE24" s="2609" t="s">
        <v>35</v>
      </c>
      <c r="AF24" s="2626" t="s">
        <v>31</v>
      </c>
      <c r="AG24" s="2609" t="s">
        <v>36</v>
      </c>
      <c r="AH24" s="681">
        <f>SUM('7층_부하량(월간_AVG)'!N25:P25)</f>
        <v>4.8977299221139692</v>
      </c>
      <c r="AI24" s="682">
        <f>SUM('7층_부하량(월간_AVG)'!N113:P113)</f>
        <v>5.0205564536349216</v>
      </c>
      <c r="AJ24" s="1301">
        <f>AH24+AI24</f>
        <v>9.9182863757488917</v>
      </c>
      <c r="AK24" s="2913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773.3</v>
      </c>
      <c r="AL24" s="2914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4" s="2921">
        <f t="shared" si="2"/>
        <v>1562.1</v>
      </c>
      <c r="AN24" s="2629" t="s">
        <v>463</v>
      </c>
      <c r="AO24" s="689"/>
      <c r="AQ24" s="2367">
        <f t="shared" si="3"/>
        <v>2.0995967741935484</v>
      </c>
      <c r="AR24" s="2367">
        <f t="shared" si="4"/>
        <v>-0.49959677419354831</v>
      </c>
      <c r="AS24" s="123" t="str">
        <f>IF(SIGN(AR24)&gt;=0,IF(AM24=0,"무부하 랙","적정함"),"사용초과")</f>
        <v>사용초과</v>
      </c>
      <c r="AT24" t="str">
        <f t="shared" si="5"/>
        <v>Sejong Telecom Inc.</v>
      </c>
      <c r="AU24" t="str">
        <f t="shared" si="6"/>
        <v>A404</v>
      </c>
      <c r="AZ24" s="123">
        <v>0</v>
      </c>
      <c r="BA24" s="123" t="str">
        <v>C204</v>
      </c>
      <c r="BB24" s="123" t="str">
        <v>407 BAY</v>
      </c>
      <c r="BC24" s="3103" t="str">
        <v>Sejong Telecom Inc.</v>
      </c>
      <c r="BD24" s="123">
        <v>0</v>
      </c>
      <c r="BE24" s="3104" t="str">
        <v>7-DaHall 1-A-1-35-44</v>
      </c>
      <c r="BF24" s="3105" t="str">
        <v>7-DaHall 1-B-1-35-6</v>
      </c>
      <c r="BG24" s="3112">
        <v>0</v>
      </c>
      <c r="BH24" s="3106">
        <v>0</v>
      </c>
      <c r="BI24" s="3107">
        <v>0</v>
      </c>
      <c r="BJ24" s="3117">
        <v>0</v>
      </c>
      <c r="BK24" s="3118">
        <v>0</v>
      </c>
      <c r="BL24" s="3119">
        <v>0</v>
      </c>
      <c r="BM24" s="671">
        <v>0</v>
      </c>
      <c r="BN24" s="671">
        <v>0</v>
      </c>
    </row>
    <row r="25" spans="1:66" ht="40.5" customHeight="1">
      <c r="A25" s="2924"/>
      <c r="B25" s="2595" t="s">
        <v>444</v>
      </c>
      <c r="C25" s="1158" t="s">
        <v>445</v>
      </c>
      <c r="D25" s="2595" t="s">
        <v>9249</v>
      </c>
      <c r="E25" s="3062">
        <v>1.6</v>
      </c>
      <c r="F25" s="2595" t="s">
        <v>27</v>
      </c>
      <c r="G25" s="2595"/>
      <c r="H25" s="1831" t="s">
        <v>8777</v>
      </c>
      <c r="I25" s="1870" t="s">
        <v>8778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8775</v>
      </c>
      <c r="O25" s="1835">
        <v>25</v>
      </c>
      <c r="P25" s="1871">
        <v>220</v>
      </c>
      <c r="Q25" s="1834">
        <v>30</v>
      </c>
      <c r="R25" s="703" t="s">
        <v>8775</v>
      </c>
      <c r="S25" s="1835">
        <v>20</v>
      </c>
      <c r="T25" s="703" t="s">
        <v>446</v>
      </c>
      <c r="U25" s="703" t="s">
        <v>447</v>
      </c>
      <c r="V25" s="2626" t="s">
        <v>448</v>
      </c>
      <c r="W25" s="2626" t="s">
        <v>449</v>
      </c>
      <c r="X25" s="3215" t="s">
        <v>450</v>
      </c>
      <c r="Y25" s="3216"/>
      <c r="Z25" s="3215" t="s">
        <v>451</v>
      </c>
      <c r="AA25" s="3216"/>
      <c r="AB25" s="3215" t="s">
        <v>452</v>
      </c>
      <c r="AC25" s="3216"/>
      <c r="AD25" s="3215" t="s">
        <v>30</v>
      </c>
      <c r="AE25" s="3216"/>
      <c r="AF25" s="3215" t="s">
        <v>31</v>
      </c>
      <c r="AG25" s="3216"/>
      <c r="AH25" s="681">
        <f>SUM('7층_부하량(월간_AVG)'!D18:F18)</f>
        <v>1.5108131554898807</v>
      </c>
      <c r="AI25" s="924">
        <f>SUM('7층_부하량(월간_AVG)'!N15:P15)</f>
        <v>1.4967726087276036</v>
      </c>
      <c r="AJ25" s="1301">
        <f>AH25+AI25</f>
        <v>3.0075857642174846</v>
      </c>
      <c r="AK25" s="2913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242.5</v>
      </c>
      <c r="AL25" s="2914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232.1</v>
      </c>
      <c r="AM25" s="2921">
        <f t="shared" si="2"/>
        <v>474.6</v>
      </c>
      <c r="AN25" s="2629" t="s">
        <v>121</v>
      </c>
      <c r="AO25" s="689" t="s">
        <v>453</v>
      </c>
      <c r="AQ25" s="2367">
        <f t="shared" si="3"/>
        <v>0.63790322580645165</v>
      </c>
      <c r="AR25" s="2367">
        <f t="shared" si="4"/>
        <v>0.96209677419354844</v>
      </c>
      <c r="AS25" s="123" t="str">
        <f>IF(SIGN(AR25)&gt;=0,IF(AM25=0,"무부하 랙","적정함"),"사용초과")</f>
        <v>적정함</v>
      </c>
      <c r="AT25" t="str">
        <f t="shared" si="5"/>
        <v/>
      </c>
      <c r="AU25" t="str">
        <f t="shared" si="6"/>
        <v/>
      </c>
      <c r="AZ25" s="123">
        <v>0</v>
      </c>
      <c r="BA25" s="123" t="str">
        <v>C205</v>
      </c>
      <c r="BB25" s="123" t="str">
        <v>406 BAY</v>
      </c>
      <c r="BC25" s="3103" t="str">
        <v>Sejong Telecom Inc.</v>
      </c>
      <c r="BD25" s="123">
        <v>0</v>
      </c>
      <c r="BE25" s="3104" t="str">
        <v>7-DaHall 1-A-1-35-43</v>
      </c>
      <c r="BF25" s="3105" t="str">
        <v>7-DaHall 1-B-1-35-5</v>
      </c>
      <c r="BG25" s="3112">
        <v>0</v>
      </c>
      <c r="BH25" s="3106">
        <v>0</v>
      </c>
      <c r="BI25" s="3107">
        <v>0</v>
      </c>
      <c r="BJ25" s="3117">
        <v>0</v>
      </c>
      <c r="BK25" s="3118">
        <v>0</v>
      </c>
      <c r="BL25" s="3119">
        <v>0</v>
      </c>
      <c r="BM25" s="671">
        <v>0</v>
      </c>
      <c r="BN25" s="671">
        <v>0</v>
      </c>
    </row>
    <row r="26" spans="1:66" ht="54" customHeight="1">
      <c r="A26" s="2924"/>
      <c r="B26" s="2595" t="s">
        <v>439</v>
      </c>
      <c r="C26" s="2147" t="s">
        <v>440</v>
      </c>
      <c r="D26" s="2595" t="s">
        <v>441</v>
      </c>
      <c r="E26" s="2595"/>
      <c r="F26" s="2595"/>
      <c r="G26" s="2595" t="s">
        <v>27</v>
      </c>
      <c r="H26" s="1866" t="s">
        <v>8779</v>
      </c>
      <c r="I26" s="1867" t="s">
        <v>8780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09" t="s">
        <v>234</v>
      </c>
      <c r="O26" s="1844">
        <v>46</v>
      </c>
      <c r="P26" s="1869">
        <v>48</v>
      </c>
      <c r="Q26" s="1814">
        <v>35</v>
      </c>
      <c r="R26" s="2626" t="s">
        <v>233</v>
      </c>
      <c r="S26" s="1815">
        <v>42</v>
      </c>
      <c r="T26" s="2609" t="s">
        <v>442</v>
      </c>
      <c r="U26" s="2626" t="s">
        <v>443</v>
      </c>
      <c r="V26" s="2609" t="s">
        <v>434</v>
      </c>
      <c r="W26" s="2626" t="s">
        <v>433</v>
      </c>
      <c r="X26" s="2609" t="s">
        <v>436</v>
      </c>
      <c r="Y26" s="2626" t="s">
        <v>435</v>
      </c>
      <c r="Z26" s="2609" t="s">
        <v>50</v>
      </c>
      <c r="AA26" s="2626" t="s">
        <v>49</v>
      </c>
      <c r="AB26" s="2609" t="s">
        <v>52</v>
      </c>
      <c r="AC26" s="2626" t="s">
        <v>51</v>
      </c>
      <c r="AD26" s="2609" t="s">
        <v>35</v>
      </c>
      <c r="AE26" s="2626" t="s">
        <v>30</v>
      </c>
      <c r="AF26" s="2609" t="s">
        <v>36</v>
      </c>
      <c r="AG26" s="2626" t="s">
        <v>31</v>
      </c>
      <c r="AH26" s="902"/>
      <c r="AI26" s="901"/>
      <c r="AJ26" s="3017"/>
      <c r="AK26" s="3018"/>
      <c r="AL26" s="2917"/>
      <c r="AM26" s="2918">
        <f t="shared" si="2"/>
        <v>0</v>
      </c>
      <c r="AN26" s="2629"/>
      <c r="AO26" s="2631"/>
      <c r="AQ26" s="2367">
        <f t="shared" si="3"/>
        <v>0</v>
      </c>
      <c r="AR26" s="2367">
        <f t="shared" si="4"/>
        <v>0</v>
      </c>
      <c r="AS26" s="123" t="str">
        <f t="shared" si="8"/>
        <v>미사용 랙</v>
      </c>
      <c r="AT26" t="str">
        <f t="shared" si="5"/>
        <v/>
      </c>
      <c r="AU26" t="str">
        <f t="shared" si="6"/>
        <v/>
      </c>
      <c r="AZ26" s="123">
        <v>0</v>
      </c>
      <c r="BA26" s="123" t="str">
        <v>C206</v>
      </c>
      <c r="BB26" s="123" t="str">
        <v>405 BAY</v>
      </c>
      <c r="BC26" s="3103" t="str">
        <v>Sejong Telecom Inc.</v>
      </c>
      <c r="BD26" s="123">
        <v>1.6</v>
      </c>
      <c r="BE26" s="3104" t="str">
        <v>7-DaHall 1-PDU-01-30-8</v>
      </c>
      <c r="BF26" s="3105" t="str">
        <v>7-DaHall 1-RPP-02-20-9</v>
      </c>
      <c r="BG26" s="3112">
        <v>1.8066486203581242</v>
      </c>
      <c r="BH26" s="3106">
        <v>1.170950985289744</v>
      </c>
      <c r="BI26" s="3107">
        <v>2.9775996056478684</v>
      </c>
      <c r="BJ26" s="3117">
        <v>267.3</v>
      </c>
      <c r="BK26" s="3118">
        <v>186.3</v>
      </c>
      <c r="BL26" s="3119">
        <v>453.6</v>
      </c>
      <c r="BM26" s="671">
        <v>0</v>
      </c>
      <c r="BN26" s="671">
        <v>0</v>
      </c>
    </row>
    <row r="27" spans="1:66" ht="54" customHeight="1">
      <c r="A27" s="2924"/>
      <c r="B27" s="3217" t="s">
        <v>429</v>
      </c>
      <c r="C27" s="3219" t="s">
        <v>430</v>
      </c>
      <c r="D27" s="3217" t="s">
        <v>9249</v>
      </c>
      <c r="E27" s="2600"/>
      <c r="F27" s="2595"/>
      <c r="G27" s="2595" t="s">
        <v>27</v>
      </c>
      <c r="H27" s="1811" t="s">
        <v>8781</v>
      </c>
      <c r="I27" s="1843" t="s">
        <v>8782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26" t="s">
        <v>233</v>
      </c>
      <c r="O27" s="1815">
        <v>43</v>
      </c>
      <c r="P27" s="1853">
        <v>48</v>
      </c>
      <c r="Q27" s="1854">
        <v>50</v>
      </c>
      <c r="R27" s="2609" t="s">
        <v>234</v>
      </c>
      <c r="S27" s="1844">
        <v>47</v>
      </c>
      <c r="T27" s="2626" t="s">
        <v>431</v>
      </c>
      <c r="U27" s="2609" t="s">
        <v>432</v>
      </c>
      <c r="V27" s="2626" t="s">
        <v>433</v>
      </c>
      <c r="W27" s="2609" t="s">
        <v>434</v>
      </c>
      <c r="X27" s="2626" t="s">
        <v>435</v>
      </c>
      <c r="Y27" s="2609" t="s">
        <v>436</v>
      </c>
      <c r="Z27" s="2626" t="s">
        <v>49</v>
      </c>
      <c r="AA27" s="2609" t="s">
        <v>50</v>
      </c>
      <c r="AB27" s="2626" t="s">
        <v>51</v>
      </c>
      <c r="AC27" s="2609" t="s">
        <v>52</v>
      </c>
      <c r="AD27" s="2626" t="s">
        <v>30</v>
      </c>
      <c r="AE27" s="2609" t="s">
        <v>35</v>
      </c>
      <c r="AF27" s="2626" t="s">
        <v>31</v>
      </c>
      <c r="AG27" s="904" t="s">
        <v>36</v>
      </c>
      <c r="AH27" s="675"/>
      <c r="AI27" s="676"/>
      <c r="AJ27" s="3017"/>
      <c r="AK27" s="3018"/>
      <c r="AL27" s="2917"/>
      <c r="AM27" s="2918">
        <f t="shared" si="2"/>
        <v>0</v>
      </c>
      <c r="AN27" s="2629"/>
      <c r="AO27" s="2631"/>
      <c r="AQ27" s="2367">
        <f t="shared" si="3"/>
        <v>0</v>
      </c>
      <c r="AR27" s="2367">
        <f t="shared" si="4"/>
        <v>0</v>
      </c>
      <c r="AS27" s="123" t="str">
        <f t="shared" si="8"/>
        <v>미사용 랙</v>
      </c>
      <c r="AT27" t="str">
        <f t="shared" si="5"/>
        <v/>
      </c>
      <c r="AU27" t="str">
        <f t="shared" si="6"/>
        <v/>
      </c>
      <c r="AZ27" s="123">
        <v>0</v>
      </c>
      <c r="BA27" s="123" t="str">
        <v>C207</v>
      </c>
      <c r="BB27" s="123" t="str">
        <v>404 BAY</v>
      </c>
      <c r="BC27" s="3103" t="str">
        <v>Sejong Telecom Inc.</v>
      </c>
      <c r="BD27" s="123">
        <v>1.6</v>
      </c>
      <c r="BE27" s="3104">
        <v>0</v>
      </c>
      <c r="BF27" s="3105">
        <v>0</v>
      </c>
      <c r="BG27" s="3112">
        <v>0</v>
      </c>
      <c r="BH27" s="3106">
        <v>0</v>
      </c>
      <c r="BI27" s="3107">
        <v>0</v>
      </c>
      <c r="BJ27" s="3117">
        <v>0</v>
      </c>
      <c r="BK27" s="3118">
        <v>0</v>
      </c>
      <c r="BL27" s="3119">
        <v>0</v>
      </c>
      <c r="BM27" s="671" t="str">
        <v>인터넷팀 장비</v>
      </c>
      <c r="BN27" s="671">
        <v>0</v>
      </c>
    </row>
    <row r="28" spans="1:66" ht="62.4">
      <c r="A28" s="2924"/>
      <c r="B28" s="3218"/>
      <c r="C28" s="3220"/>
      <c r="D28" s="3218"/>
      <c r="E28" s="3062">
        <v>1.6</v>
      </c>
      <c r="F28" s="2595" t="s">
        <v>27</v>
      </c>
      <c r="G28" s="2595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30"/>
      <c r="AL28" s="2914"/>
      <c r="AM28" s="2927">
        <f t="shared" si="2"/>
        <v>0</v>
      </c>
      <c r="AN28" s="2629"/>
      <c r="AO28" s="688" t="s">
        <v>438</v>
      </c>
      <c r="AQ28" s="2367">
        <f t="shared" si="3"/>
        <v>0</v>
      </c>
      <c r="AR28" s="2367">
        <f t="shared" si="4"/>
        <v>1.6</v>
      </c>
      <c r="AS28" s="123" t="str">
        <f>IF(SIGN(AR28)&gt;=0,IF(AM28=0,"무부하 랙","적정함"),"사용초과")</f>
        <v>무부하 랙</v>
      </c>
      <c r="AT28" t="str">
        <f t="shared" si="5"/>
        <v/>
      </c>
      <c r="AU28" t="str">
        <f t="shared" si="6"/>
        <v/>
      </c>
      <c r="AZ28" s="123" t="str">
        <v>4열</v>
      </c>
      <c r="BA28" s="123" t="str">
        <v>C208</v>
      </c>
      <c r="BB28" s="123" t="str">
        <v>403 BAY</v>
      </c>
      <c r="BC28" s="3103" t="str">
        <v>Sejong Telecom Inc.</v>
      </c>
      <c r="BD28" s="123">
        <v>1.6</v>
      </c>
      <c r="BE28" s="3104">
        <v>0</v>
      </c>
      <c r="BF28" s="3105">
        <v>0</v>
      </c>
      <c r="BG28" s="3112">
        <v>0</v>
      </c>
      <c r="BH28" s="3106">
        <v>0</v>
      </c>
      <c r="BI28" s="3107">
        <v>0</v>
      </c>
      <c r="BJ28" s="3117">
        <v>0</v>
      </c>
      <c r="BK28" s="3118">
        <v>0</v>
      </c>
      <c r="BL28" s="3119">
        <v>0</v>
      </c>
      <c r="BM28" s="671" t="str">
        <v>인터넷팀 장비</v>
      </c>
      <c r="BN28" s="671">
        <v>0</v>
      </c>
    </row>
    <row r="29" spans="1:66" ht="54" customHeight="1">
      <c r="A29" s="2924"/>
      <c r="B29" s="3217" t="s">
        <v>424</v>
      </c>
      <c r="C29" s="3219" t="s">
        <v>425</v>
      </c>
      <c r="D29" s="3217" t="s">
        <v>9249</v>
      </c>
      <c r="E29" s="2600"/>
      <c r="F29" s="2595"/>
      <c r="G29" s="2595" t="s">
        <v>27</v>
      </c>
      <c r="H29" s="1811" t="s">
        <v>8783</v>
      </c>
      <c r="I29" s="1843" t="s">
        <v>8784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26" t="s">
        <v>233</v>
      </c>
      <c r="O29" s="1815">
        <v>44</v>
      </c>
      <c r="P29" s="1853">
        <v>48</v>
      </c>
      <c r="Q29" s="1854">
        <v>35</v>
      </c>
      <c r="R29" s="2609" t="s">
        <v>234</v>
      </c>
      <c r="S29" s="1844">
        <v>48</v>
      </c>
      <c r="T29" s="2626" t="s">
        <v>426</v>
      </c>
      <c r="U29" s="2609" t="s">
        <v>427</v>
      </c>
      <c r="V29" s="2929" t="s">
        <v>237</v>
      </c>
      <c r="W29" s="2928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3017"/>
      <c r="AK29" s="3018"/>
      <c r="AL29" s="2917"/>
      <c r="AM29" s="2918">
        <f t="shared" si="2"/>
        <v>0</v>
      </c>
      <c r="AN29" s="2629"/>
      <c r="AO29" s="2631"/>
      <c r="AQ29" s="2367">
        <f t="shared" si="3"/>
        <v>0</v>
      </c>
      <c r="AR29" s="2367">
        <f t="shared" si="4"/>
        <v>0</v>
      </c>
      <c r="AS29" s="123" t="str">
        <f t="shared" si="8"/>
        <v>미사용 랙</v>
      </c>
      <c r="AT29" t="str">
        <f t="shared" si="5"/>
        <v/>
      </c>
      <c r="AU29" t="str">
        <f t="shared" si="6"/>
        <v/>
      </c>
      <c r="AZ29" s="123" t="str">
        <v>3열</v>
      </c>
      <c r="BA29" s="123" t="str">
        <v>C310</v>
      </c>
      <c r="BB29" s="123" t="str">
        <v>301 BAY</v>
      </c>
      <c r="BC29" s="3103" t="str">
        <v>Sejong Telecom Inc.</v>
      </c>
      <c r="BD29" s="123">
        <v>1.6</v>
      </c>
      <c r="BE29" s="3104" t="str">
        <v>7-DaHall 1-PDU-01-30-30</v>
      </c>
      <c r="BF29" s="3105" t="str">
        <v>7-DaHall 1-PDU-02-30-30</v>
      </c>
      <c r="BG29" s="3112">
        <v>0.34999170866740886</v>
      </c>
      <c r="BH29" s="3106">
        <v>0.56678855180643595</v>
      </c>
      <c r="BI29" s="3107">
        <v>0.91678026047384487</v>
      </c>
      <c r="BJ29" s="3117">
        <v>41.8</v>
      </c>
      <c r="BK29" s="3118">
        <v>56.7</v>
      </c>
      <c r="BL29" s="3119">
        <v>98.5</v>
      </c>
      <c r="BM29" s="671">
        <v>0</v>
      </c>
      <c r="BN29" s="671">
        <v>0</v>
      </c>
    </row>
    <row r="30" spans="1:66" ht="46.8">
      <c r="A30" s="2924"/>
      <c r="B30" s="3218"/>
      <c r="C30" s="3220"/>
      <c r="D30" s="3218"/>
      <c r="E30" s="3062">
        <v>1.6</v>
      </c>
      <c r="F30" s="2597" t="s">
        <v>27</v>
      </c>
      <c r="G30" s="2597"/>
      <c r="H30" s="1859"/>
      <c r="I30" s="1839" t="s">
        <v>8785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8750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09" t="s">
        <v>165</v>
      </c>
      <c r="AD30" s="733"/>
      <c r="AE30" s="2609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913"/>
      <c r="AL30" s="2914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921">
        <f t="shared" si="2"/>
        <v>0</v>
      </c>
      <c r="AN30" s="2629"/>
      <c r="AO30" s="2631"/>
      <c r="AQ30" s="2367">
        <f t="shared" si="3"/>
        <v>0</v>
      </c>
      <c r="AR30" s="2367">
        <f t="shared" si="4"/>
        <v>1.6</v>
      </c>
      <c r="AS30" s="123" t="str">
        <f>IF(SIGN(AR30)&gt;=0,IF(AM30=0,"무부하 랙","적정함"),"사용초과")</f>
        <v>무부하 랙</v>
      </c>
      <c r="AT30" t="str">
        <f t="shared" si="5"/>
        <v/>
      </c>
      <c r="AU30" t="str">
        <f t="shared" si="6"/>
        <v/>
      </c>
      <c r="AZ30" s="123">
        <v>0</v>
      </c>
      <c r="BA30" s="123" t="str">
        <v>C401</v>
      </c>
      <c r="BB30" s="123" t="str">
        <v>210 BAY</v>
      </c>
      <c r="BC30" s="3103" t="str">
        <v>Sejong Telecom Inc.</v>
      </c>
      <c r="BD30" s="123">
        <v>1.6</v>
      </c>
      <c r="BE30" s="3104" t="str">
        <v>7-DaHall 1-PDU-01-30-13</v>
      </c>
      <c r="BF30" s="3105" t="str">
        <v>7-DaHall 1-PDU-02-30-13</v>
      </c>
      <c r="BG30" s="3112">
        <v>6.6154733629984976</v>
      </c>
      <c r="BH30" s="3106">
        <v>5.2359115275273327</v>
      </c>
      <c r="BI30" s="3107">
        <v>11.85138489052583</v>
      </c>
      <c r="BJ30" s="3117">
        <v>1042.3</v>
      </c>
      <c r="BK30" s="3118">
        <v>813</v>
      </c>
      <c r="BL30" s="3119">
        <v>1855.3</v>
      </c>
      <c r="BM30" s="671" t="str">
        <v>인터넷팀 장비</v>
      </c>
      <c r="BN30" s="671" t="str">
        <v>AC 콘센트 라벨 : 410Bay-A &amp; 410Bay-B</v>
      </c>
    </row>
    <row r="31" spans="1:66" ht="54" customHeight="1">
      <c r="A31" s="2924"/>
      <c r="B31" s="2595" t="s">
        <v>419</v>
      </c>
      <c r="C31" s="2147" t="s">
        <v>420</v>
      </c>
      <c r="D31" s="2595" t="s">
        <v>421</v>
      </c>
      <c r="E31" s="2595"/>
      <c r="F31" s="2595"/>
      <c r="G31" s="2595" t="s">
        <v>27</v>
      </c>
      <c r="H31" s="1811" t="s">
        <v>8786</v>
      </c>
      <c r="I31" s="1843" t="s">
        <v>8787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26" t="s">
        <v>233</v>
      </c>
      <c r="O31" s="1815">
        <v>50</v>
      </c>
      <c r="P31" s="1853">
        <v>48</v>
      </c>
      <c r="Q31" s="1854">
        <v>35</v>
      </c>
      <c r="R31" s="2609" t="s">
        <v>234</v>
      </c>
      <c r="S31" s="1844">
        <v>50</v>
      </c>
      <c r="T31" s="2626" t="s">
        <v>422</v>
      </c>
      <c r="U31" s="2609" t="s">
        <v>423</v>
      </c>
      <c r="V31" s="2929" t="s">
        <v>237</v>
      </c>
      <c r="W31" s="2928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3017"/>
      <c r="AK31" s="3018"/>
      <c r="AL31" s="2917"/>
      <c r="AM31" s="2918">
        <f t="shared" si="2"/>
        <v>0</v>
      </c>
      <c r="AN31" s="2629"/>
      <c r="AO31" s="2631"/>
      <c r="AQ31" s="2367">
        <f t="shared" si="3"/>
        <v>0</v>
      </c>
      <c r="AR31" s="2367">
        <f t="shared" si="4"/>
        <v>0</v>
      </c>
      <c r="AS31" s="123" t="str">
        <f t="shared" si="8"/>
        <v>미사용 랙</v>
      </c>
      <c r="AT31" t="str">
        <f t="shared" si="5"/>
        <v/>
      </c>
      <c r="AU31" t="str">
        <f t="shared" si="6"/>
        <v/>
      </c>
      <c r="AZ31" s="123">
        <v>0</v>
      </c>
      <c r="BA31" s="123" t="str">
        <v>C402</v>
      </c>
      <c r="BB31" s="123" t="str">
        <v>209 BAY</v>
      </c>
      <c r="BC31" s="3103" t="str">
        <v>Sejong Telecom Inc.</v>
      </c>
      <c r="BD31" s="123">
        <v>1.6</v>
      </c>
      <c r="BE31" s="3104" t="str">
        <v>7-DaHall 1-PDU-01-30-11</v>
      </c>
      <c r="BF31" s="3105" t="str">
        <v>7-DaHall 1-PDU-02-30-11</v>
      </c>
      <c r="BG31" s="3112">
        <v>6.8216466705460546</v>
      </c>
      <c r="BH31" s="3106">
        <v>5.6836857671698908</v>
      </c>
      <c r="BI31" s="3107">
        <v>12.505332437715946</v>
      </c>
      <c r="BJ31" s="3117">
        <v>1003.9</v>
      </c>
      <c r="BK31" s="3118">
        <v>807.7</v>
      </c>
      <c r="BL31" s="3119">
        <v>1811.6</v>
      </c>
      <c r="BM31" s="671" t="str">
        <v>인터넷팀 장비</v>
      </c>
      <c r="BN31" s="671" t="str">
        <v>AC 콘센트 라벨 : 409Bay-A &amp; 409Bay-B</v>
      </c>
    </row>
    <row r="32" spans="1:66" ht="54" customHeight="1">
      <c r="A32" s="2924"/>
      <c r="B32" s="2595" t="s">
        <v>414</v>
      </c>
      <c r="C32" s="2147" t="s">
        <v>415</v>
      </c>
      <c r="D32" s="2595" t="s">
        <v>416</v>
      </c>
      <c r="E32" s="2595"/>
      <c r="F32" s="2595"/>
      <c r="G32" s="2595" t="s">
        <v>27</v>
      </c>
      <c r="H32" s="1811" t="s">
        <v>8788</v>
      </c>
      <c r="I32" s="1843" t="s">
        <v>8789</v>
      </c>
      <c r="J32" s="1811" t="str">
        <f t="shared" ref="J32:J58" si="12">"7-DaHall 1-"&amp;N32&amp;"-"&amp;M32&amp;"-"&amp;O32</f>
        <v>7-DaHall 1-A-4-50-46</v>
      </c>
      <c r="K32" s="1843" t="str">
        <f t="shared" ref="K32:K58" si="13">"7-DaHall 1-"&amp;R32&amp;"-"&amp;Q32&amp;"-"&amp;S32</f>
        <v>7-DaHall 1-B-4-50-49</v>
      </c>
      <c r="L32" s="1813">
        <v>48</v>
      </c>
      <c r="M32" s="1814">
        <v>50</v>
      </c>
      <c r="N32" s="2626" t="s">
        <v>233</v>
      </c>
      <c r="O32" s="1815">
        <v>46</v>
      </c>
      <c r="P32" s="1853">
        <v>48</v>
      </c>
      <c r="Q32" s="1854">
        <v>50</v>
      </c>
      <c r="R32" s="2609" t="s">
        <v>234</v>
      </c>
      <c r="S32" s="1844">
        <v>49</v>
      </c>
      <c r="T32" s="2626" t="s">
        <v>417</v>
      </c>
      <c r="U32" s="2609" t="s">
        <v>418</v>
      </c>
      <c r="V32" s="2929" t="s">
        <v>237</v>
      </c>
      <c r="W32" s="2928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3017"/>
      <c r="AK32" s="3018"/>
      <c r="AL32" s="2917"/>
      <c r="AM32" s="2918">
        <f t="shared" si="2"/>
        <v>0</v>
      </c>
      <c r="AN32" s="2629"/>
      <c r="AO32" s="2631"/>
      <c r="AQ32" s="2367">
        <f t="shared" si="3"/>
        <v>0</v>
      </c>
      <c r="AR32" s="2367">
        <f t="shared" si="4"/>
        <v>0</v>
      </c>
      <c r="AS32" s="123" t="str">
        <f t="shared" si="8"/>
        <v>미사용 랙</v>
      </c>
      <c r="AT32" t="str">
        <f t="shared" si="5"/>
        <v/>
      </c>
      <c r="AU32" t="str">
        <f t="shared" si="6"/>
        <v/>
      </c>
      <c r="AZ32" s="123">
        <v>0</v>
      </c>
      <c r="BA32" s="123" t="str">
        <v>C403</v>
      </c>
      <c r="BB32" s="123" t="str">
        <v>208 BAY</v>
      </c>
      <c r="BC32" s="3103" t="str">
        <v>Sejong Telecom Inc.</v>
      </c>
      <c r="BD32" s="123">
        <v>1.6</v>
      </c>
      <c r="BE32" s="3104" t="str">
        <v>7-DaHall 1-PDU-01-30-17</v>
      </c>
      <c r="BF32" s="3105" t="str">
        <v>7-DaHall 1-PDU-02-30-17</v>
      </c>
      <c r="BG32" s="3112">
        <v>2.9124464214114925</v>
      </c>
      <c r="BH32" s="3106">
        <v>3.3701472780608719</v>
      </c>
      <c r="BI32" s="3107">
        <v>13.379923270045818</v>
      </c>
      <c r="BJ32" s="3117">
        <v>443.6</v>
      </c>
      <c r="BK32" s="3118">
        <v>551.6</v>
      </c>
      <c r="BL32" s="3119">
        <v>995.2</v>
      </c>
      <c r="BM32" s="671" t="str">
        <v>인터넷팀 장비</v>
      </c>
      <c r="BN32" s="671">
        <v>0</v>
      </c>
    </row>
    <row r="33" spans="1:66" ht="27" customHeight="1">
      <c r="A33" s="2924"/>
      <c r="B33" s="2595" t="s">
        <v>409</v>
      </c>
      <c r="C33" s="2147" t="s">
        <v>410</v>
      </c>
      <c r="D33" s="2595" t="s">
        <v>411</v>
      </c>
      <c r="E33" s="2595"/>
      <c r="F33" s="2595"/>
      <c r="G33" s="2595" t="s">
        <v>27</v>
      </c>
      <c r="H33" s="1811" t="s">
        <v>8790</v>
      </c>
      <c r="I33" s="1843" t="s">
        <v>8791</v>
      </c>
      <c r="J33" s="1811" t="str">
        <f t="shared" si="12"/>
        <v>7-DaHall 1-A-4-35-54</v>
      </c>
      <c r="K33" s="1843" t="str">
        <f t="shared" si="13"/>
        <v>7-DaHall 1-B-4-35-54</v>
      </c>
      <c r="L33" s="1813">
        <v>48</v>
      </c>
      <c r="M33" s="1814">
        <v>35</v>
      </c>
      <c r="N33" s="2626" t="s">
        <v>233</v>
      </c>
      <c r="O33" s="1815">
        <v>54</v>
      </c>
      <c r="P33" s="1853">
        <v>48</v>
      </c>
      <c r="Q33" s="1854">
        <v>35</v>
      </c>
      <c r="R33" s="2609" t="s">
        <v>234</v>
      </c>
      <c r="S33" s="1844">
        <v>54</v>
      </c>
      <c r="T33" s="2626" t="s">
        <v>412</v>
      </c>
      <c r="U33" s="2609" t="s">
        <v>413</v>
      </c>
      <c r="V33" s="2929" t="s">
        <v>237</v>
      </c>
      <c r="W33" s="2928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3017"/>
      <c r="AK33" s="3018"/>
      <c r="AL33" s="2917"/>
      <c r="AM33" s="2918">
        <f t="shared" si="2"/>
        <v>0</v>
      </c>
      <c r="AN33" s="2629"/>
      <c r="AO33" s="2631"/>
      <c r="AQ33" s="2367">
        <f t="shared" si="3"/>
        <v>0</v>
      </c>
      <c r="AR33" s="2367">
        <f t="shared" si="4"/>
        <v>0</v>
      </c>
      <c r="AS33" s="123" t="str">
        <f t="shared" si="8"/>
        <v>미사용 랙</v>
      </c>
      <c r="AT33" t="str">
        <f t="shared" si="5"/>
        <v/>
      </c>
      <c r="AU33" t="str">
        <f t="shared" si="6"/>
        <v/>
      </c>
      <c r="AZ33" s="123">
        <v>0</v>
      </c>
      <c r="BA33" s="123" t="str">
        <v>C404</v>
      </c>
      <c r="BB33" s="123" t="str">
        <v>207 BAY</v>
      </c>
      <c r="BC33" s="3103" t="str">
        <v>Sejong Telecom Inc.</v>
      </c>
      <c r="BD33" s="123">
        <v>1.6</v>
      </c>
      <c r="BE33" s="3104" t="str">
        <v>7-DaHall 1-PDU-01-30-19</v>
      </c>
      <c r="BF33" s="3105" t="str">
        <v>7-DaHall 1-PDU-02-30-19</v>
      </c>
      <c r="BG33" s="3112">
        <v>3.9229666391435707</v>
      </c>
      <c r="BH33" s="3106">
        <v>8.9022973311430516</v>
      </c>
      <c r="BI33" s="3107">
        <v>12.825263970286622</v>
      </c>
      <c r="BJ33" s="3117">
        <v>601.6</v>
      </c>
      <c r="BK33" s="3118">
        <v>1369.7</v>
      </c>
      <c r="BL33" s="3119">
        <v>1971.3000000000002</v>
      </c>
      <c r="BM33" s="671" t="str">
        <v>인터넷팀 장비</v>
      </c>
      <c r="BN33" s="671">
        <v>0</v>
      </c>
    </row>
    <row r="34" spans="1:66" ht="33" customHeight="1" thickBot="1">
      <c r="A34" s="2901"/>
      <c r="B34" s="2627" t="s">
        <v>279</v>
      </c>
      <c r="C34" s="2148" t="s">
        <v>280</v>
      </c>
      <c r="D34" s="2627" t="s">
        <v>281</v>
      </c>
      <c r="E34" s="2627"/>
      <c r="F34" s="2627"/>
      <c r="G34" s="2627" t="s">
        <v>27</v>
      </c>
      <c r="H34" s="1819" t="s">
        <v>8792</v>
      </c>
      <c r="I34" s="1855" t="s">
        <v>8793</v>
      </c>
      <c r="J34" s="1819" t="str">
        <f t="shared" si="12"/>
        <v>7-DaHall 1-A-4-50-26</v>
      </c>
      <c r="K34" s="1855" t="str">
        <f t="shared" si="13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29" t="s">
        <v>237</v>
      </c>
      <c r="W34" s="2928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3018"/>
      <c r="AL34" s="2917"/>
      <c r="AM34" s="2918">
        <f t="shared" si="2"/>
        <v>0</v>
      </c>
      <c r="AN34" s="2630"/>
      <c r="AO34" s="679"/>
      <c r="AQ34" s="2367">
        <f t="shared" si="3"/>
        <v>0</v>
      </c>
      <c r="AR34" s="2367">
        <f t="shared" si="4"/>
        <v>0</v>
      </c>
      <c r="AS34" s="123" t="str">
        <f t="shared" si="8"/>
        <v>미사용 랙</v>
      </c>
      <c r="AT34" t="str">
        <f t="shared" si="5"/>
        <v/>
      </c>
      <c r="AU34" t="str">
        <f t="shared" si="6"/>
        <v/>
      </c>
      <c r="AZ34" s="123">
        <v>0</v>
      </c>
      <c r="BA34" s="123" t="str">
        <v>C405</v>
      </c>
      <c r="BB34" s="123" t="str">
        <v>206 BAY</v>
      </c>
      <c r="BC34" s="3103" t="str">
        <v>Sejong Telecom Inc.</v>
      </c>
      <c r="BD34" s="123">
        <v>1.6</v>
      </c>
      <c r="BE34" s="3104" t="str">
        <v>7-DaHall 1-PDU-01-30-21</v>
      </c>
      <c r="BF34" s="3105" t="str">
        <v>7-DaHall 1-PDU-02-30-21</v>
      </c>
      <c r="BG34" s="3112">
        <v>3.948377786713444</v>
      </c>
      <c r="BH34" s="3106">
        <v>4.0772155493752953</v>
      </c>
      <c r="BI34" s="3107">
        <v>8.0255933360887397</v>
      </c>
      <c r="BJ34" s="3117">
        <v>606</v>
      </c>
      <c r="BK34" s="3118">
        <v>630.70000000000005</v>
      </c>
      <c r="BL34" s="3119">
        <v>1236.7</v>
      </c>
      <c r="BM34" s="671" t="str">
        <v>인터넷팀 장비</v>
      </c>
      <c r="BN34" s="671">
        <v>0</v>
      </c>
    </row>
    <row r="35" spans="1:66" ht="33.75" customHeight="1">
      <c r="A35" s="2924"/>
      <c r="B35" s="2595" t="s">
        <v>274</v>
      </c>
      <c r="C35" s="2147" t="s">
        <v>275</v>
      </c>
      <c r="D35" s="2595" t="s">
        <v>276</v>
      </c>
      <c r="E35" s="2595"/>
      <c r="F35" s="2595"/>
      <c r="G35" s="2595" t="s">
        <v>27</v>
      </c>
      <c r="H35" s="1811" t="s">
        <v>8794</v>
      </c>
      <c r="I35" s="1843" t="s">
        <v>8795</v>
      </c>
      <c r="J35" s="1811" t="str">
        <f t="shared" si="12"/>
        <v>7-DaHall 1-A-4-50-28</v>
      </c>
      <c r="K35" s="1843" t="str">
        <f t="shared" si="13"/>
        <v>7-DaHall 1-B-4-50-28</v>
      </c>
      <c r="L35" s="1813">
        <v>48</v>
      </c>
      <c r="M35" s="1814">
        <v>50</v>
      </c>
      <c r="N35" s="2626" t="s">
        <v>233</v>
      </c>
      <c r="O35" s="1815">
        <v>28</v>
      </c>
      <c r="P35" s="1853">
        <v>48</v>
      </c>
      <c r="Q35" s="1854">
        <v>50</v>
      </c>
      <c r="R35" s="2609" t="s">
        <v>234</v>
      </c>
      <c r="S35" s="1844">
        <v>28</v>
      </c>
      <c r="T35" s="2626" t="s">
        <v>277</v>
      </c>
      <c r="U35" s="2609" t="s">
        <v>278</v>
      </c>
      <c r="V35" s="2929" t="s">
        <v>237</v>
      </c>
      <c r="W35" s="2928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3017"/>
      <c r="AK35" s="3018"/>
      <c r="AL35" s="2917"/>
      <c r="AM35" s="2918">
        <f t="shared" si="2"/>
        <v>0</v>
      </c>
      <c r="AN35" s="2629"/>
      <c r="AO35" s="2631"/>
      <c r="AQ35" s="2367">
        <f t="shared" si="3"/>
        <v>0</v>
      </c>
      <c r="AR35" s="2367">
        <f t="shared" si="4"/>
        <v>0</v>
      </c>
      <c r="AS35" s="123" t="str">
        <f t="shared" si="8"/>
        <v>미사용 랙</v>
      </c>
      <c r="AT35" t="str">
        <f t="shared" si="5"/>
        <v/>
      </c>
      <c r="AU35" t="str">
        <f t="shared" si="6"/>
        <v/>
      </c>
      <c r="AZ35" s="123">
        <v>0</v>
      </c>
      <c r="BA35" s="123" t="str">
        <v>C406</v>
      </c>
      <c r="BB35" s="123" t="str">
        <v>205 BAY</v>
      </c>
      <c r="BC35" s="3103" t="str">
        <v>Sejong Telecom Inc.</v>
      </c>
      <c r="BD35" s="123">
        <v>1.6</v>
      </c>
      <c r="BE35" s="3104" t="str">
        <v>7-DaHall 1-PDU-01-30-23</v>
      </c>
      <c r="BF35" s="3105" t="str">
        <v>7-DaHall 1-PDU-02-30-23</v>
      </c>
      <c r="BG35" s="3112">
        <v>1.8260453557245937</v>
      </c>
      <c r="BH35" s="3106">
        <v>2.6367674980235698</v>
      </c>
      <c r="BI35" s="3107">
        <v>4.4628128537481633</v>
      </c>
      <c r="BJ35" s="3117">
        <v>274.2</v>
      </c>
      <c r="BK35" s="3118">
        <v>397.5</v>
      </c>
      <c r="BL35" s="3119">
        <v>671.7</v>
      </c>
      <c r="BM35" s="671" t="str">
        <v>인터넷팀 장비</v>
      </c>
      <c r="BN35" s="671">
        <v>0</v>
      </c>
    </row>
    <row r="36" spans="1:66" ht="46.8">
      <c r="A36" s="2924"/>
      <c r="B36" s="2595" t="s">
        <v>270</v>
      </c>
      <c r="C36" s="1158" t="s">
        <v>271</v>
      </c>
      <c r="D36" s="2595" t="s">
        <v>9249</v>
      </c>
      <c r="E36" s="3062">
        <v>1.6</v>
      </c>
      <c r="F36" s="2595" t="s">
        <v>27</v>
      </c>
      <c r="G36" s="2595"/>
      <c r="H36" s="1831" t="s">
        <v>8796</v>
      </c>
      <c r="I36" s="1839" t="s">
        <v>8797</v>
      </c>
      <c r="J36" s="1831" t="str">
        <f t="shared" si="12"/>
        <v>7-DaHall 1-PDU-01-30-9</v>
      </c>
      <c r="K36" s="1839" t="str">
        <f t="shared" si="13"/>
        <v>7-DaHall 1-PDU-02-30-9</v>
      </c>
      <c r="L36" s="1833">
        <v>220</v>
      </c>
      <c r="M36" s="1834">
        <v>30</v>
      </c>
      <c r="N36" s="703" t="s">
        <v>8749</v>
      </c>
      <c r="O36" s="1835">
        <v>9</v>
      </c>
      <c r="P36" s="1840">
        <v>220</v>
      </c>
      <c r="Q36" s="1841">
        <v>30</v>
      </c>
      <c r="R36" s="687" t="s">
        <v>8750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5.884965607650174</v>
      </c>
      <c r="AI36" s="682">
        <f>SUM('7층_부하량(월간_AVG)'!D35:F35)</f>
        <v>5.8741569521923287</v>
      </c>
      <c r="AJ36" s="1301">
        <f t="shared" ref="AJ36:AJ37" si="14">AH36+AI36</f>
        <v>11.759122559842503</v>
      </c>
      <c r="AK36" s="2913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948.4</v>
      </c>
      <c r="AL36" s="2914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947.3</v>
      </c>
      <c r="AM36" s="2921">
        <f t="shared" si="2"/>
        <v>1895.6999999999998</v>
      </c>
      <c r="AN36" s="2629" t="s">
        <v>121</v>
      </c>
      <c r="AO36" s="2631"/>
      <c r="AQ36" s="2367">
        <f t="shared" si="3"/>
        <v>2.5479838709677418</v>
      </c>
      <c r="AR36" s="2367">
        <f t="shared" si="4"/>
        <v>-0.94798387096774173</v>
      </c>
      <c r="AS36" s="123" t="str">
        <f>IF(SIGN(AR36)&gt;=0,IF(AM36=0,"무부하 랙","적정함"),"사용초과")</f>
        <v>사용초과</v>
      </c>
      <c r="AT36" t="str">
        <f t="shared" si="5"/>
        <v>Sejong Telecom Inc.</v>
      </c>
      <c r="AU36" t="str">
        <f t="shared" si="6"/>
        <v>A504</v>
      </c>
      <c r="AZ36" s="123">
        <v>0</v>
      </c>
      <c r="BA36" s="123" t="str">
        <v>C407</v>
      </c>
      <c r="BB36" s="123" t="str">
        <v>204 BAY</v>
      </c>
      <c r="BC36" s="3103" t="str">
        <v>Sejong Telecom Inc.</v>
      </c>
      <c r="BD36" s="123">
        <v>1.6</v>
      </c>
      <c r="BE36" s="3104" t="str">
        <v>7-DaHall 1-PDU-01-30-25</v>
      </c>
      <c r="BF36" s="3105" t="str">
        <v>7-DaHall 1-PDU-02-30-25</v>
      </c>
      <c r="BG36" s="3112">
        <v>1.8648915152585053</v>
      </c>
      <c r="BH36" s="3106">
        <v>2.1204284058600513</v>
      </c>
      <c r="BI36" s="3107">
        <v>3.9853199211185566</v>
      </c>
      <c r="BJ36" s="3117">
        <v>289.3</v>
      </c>
      <c r="BK36" s="3118">
        <v>317</v>
      </c>
      <c r="BL36" s="3119">
        <v>606.29999999999995</v>
      </c>
      <c r="BM36" s="671" t="str">
        <v>인터넷팀 장비</v>
      </c>
      <c r="BN36" s="671">
        <v>0</v>
      </c>
    </row>
    <row r="37" spans="1:66" ht="27" customHeight="1">
      <c r="A37" s="2924"/>
      <c r="B37" s="2595" t="s">
        <v>266</v>
      </c>
      <c r="C37" s="1158" t="s">
        <v>267</v>
      </c>
      <c r="D37" s="2595" t="s">
        <v>9249</v>
      </c>
      <c r="E37" s="3062">
        <v>1.6</v>
      </c>
      <c r="F37" s="2595" t="s">
        <v>27</v>
      </c>
      <c r="G37" s="2595"/>
      <c r="H37" s="1831" t="s">
        <v>8798</v>
      </c>
      <c r="I37" s="1839" t="s">
        <v>8799</v>
      </c>
      <c r="J37" s="1831" t="str">
        <f t="shared" si="12"/>
        <v>7-DaHall 1-PDU-01-30-7</v>
      </c>
      <c r="K37" s="1839" t="str">
        <f t="shared" si="13"/>
        <v>7-DaHall 1-PDU-02-30-7</v>
      </c>
      <c r="L37" s="1833">
        <v>220</v>
      </c>
      <c r="M37" s="1834">
        <v>30</v>
      </c>
      <c r="N37" s="703" t="s">
        <v>8749</v>
      </c>
      <c r="O37" s="1835">
        <v>7</v>
      </c>
      <c r="P37" s="1840">
        <v>220</v>
      </c>
      <c r="Q37" s="1841">
        <v>30</v>
      </c>
      <c r="R37" s="687" t="s">
        <v>8750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5.9765293166114972</v>
      </c>
      <c r="AI37" s="682">
        <f>SUM('7층_부하량(월간_AVG)'!D34:F34)</f>
        <v>5.7291048451715589</v>
      </c>
      <c r="AJ37" s="1301">
        <f t="shared" si="14"/>
        <v>11.705634161783056</v>
      </c>
      <c r="AK37" s="2913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951.5</v>
      </c>
      <c r="AL37" s="2914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909.2</v>
      </c>
      <c r="AM37" s="2921">
        <f t="shared" si="2"/>
        <v>1860.7</v>
      </c>
      <c r="AN37" s="2629" t="s">
        <v>121</v>
      </c>
      <c r="AO37" s="2631"/>
      <c r="AQ37" s="2367">
        <f t="shared" si="3"/>
        <v>2.5009408602150538</v>
      </c>
      <c r="AR37" s="2367">
        <f t="shared" si="4"/>
        <v>-0.90094086021505371</v>
      </c>
      <c r="AS37" s="123" t="str">
        <f>IF(SIGN(AR37)&gt;=0,IF(AM37=0,"무부하 랙","적정함"),"사용초과")</f>
        <v>사용초과</v>
      </c>
      <c r="AT37" t="str">
        <f t="shared" si="5"/>
        <v>Sejong Telecom Inc.</v>
      </c>
      <c r="AU37" t="str">
        <f t="shared" si="6"/>
        <v>A505</v>
      </c>
      <c r="AZ37" s="123">
        <v>0</v>
      </c>
      <c r="BA37" s="123" t="str">
        <v>C408</v>
      </c>
      <c r="BB37" s="123" t="str">
        <v>203 BAY</v>
      </c>
      <c r="BC37" s="3103" t="str">
        <v>Sejong Telecom Inc.</v>
      </c>
      <c r="BD37" s="123">
        <v>1.6</v>
      </c>
      <c r="BE37" s="3104" t="str">
        <v>7-DaHall 1-PDU-01-30-32</v>
      </c>
      <c r="BF37" s="3105" t="str">
        <v>7-DaHall 1-PDU-02-30-32</v>
      </c>
      <c r="BG37" s="3112">
        <v>2.1103717380149996</v>
      </c>
      <c r="BH37" s="3106">
        <v>1.9005430965946679</v>
      </c>
      <c r="BI37" s="3107">
        <v>4.0109148346096672</v>
      </c>
      <c r="BJ37" s="3117">
        <v>292.8</v>
      </c>
      <c r="BK37" s="3118">
        <v>246.4</v>
      </c>
      <c r="BL37" s="3119">
        <v>539.20000000000005</v>
      </c>
      <c r="BM37" s="671" t="str">
        <v>세종 긴급청약</v>
      </c>
      <c r="BN37" s="671" t="str">
        <v>22.07.14 구성 및 전기투입</v>
      </c>
    </row>
    <row r="38" spans="1:66" ht="54" customHeight="1">
      <c r="A38" s="2924"/>
      <c r="B38" s="3217" t="s">
        <v>259</v>
      </c>
      <c r="C38" s="3232" t="s">
        <v>260</v>
      </c>
      <c r="D38" s="3217" t="s">
        <v>261</v>
      </c>
      <c r="E38" s="2600"/>
      <c r="F38" s="2595"/>
      <c r="G38" s="2595" t="s">
        <v>27</v>
      </c>
      <c r="H38" s="1811" t="s">
        <v>8800</v>
      </c>
      <c r="I38" s="1843" t="s">
        <v>8801</v>
      </c>
      <c r="J38" s="1811" t="str">
        <f t="shared" si="12"/>
        <v>7-DaHall 1-A-4-50-27</v>
      </c>
      <c r="K38" s="1843" t="str">
        <f t="shared" si="13"/>
        <v>7-DaHall 1-B-4-50-57</v>
      </c>
      <c r="L38" s="1813">
        <v>48</v>
      </c>
      <c r="M38" s="1814">
        <v>50</v>
      </c>
      <c r="N38" s="2626" t="s">
        <v>233</v>
      </c>
      <c r="O38" s="1815">
        <v>27</v>
      </c>
      <c r="P38" s="1853">
        <v>48</v>
      </c>
      <c r="Q38" s="1854">
        <v>50</v>
      </c>
      <c r="R38" s="2609" t="s">
        <v>234</v>
      </c>
      <c r="S38" s="1844">
        <v>57</v>
      </c>
      <c r="T38" s="2626" t="s">
        <v>262</v>
      </c>
      <c r="U38" s="2609" t="s">
        <v>263</v>
      </c>
      <c r="V38" s="2929" t="s">
        <v>237</v>
      </c>
      <c r="W38" s="2928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3017"/>
      <c r="AK38" s="3018"/>
      <c r="AL38" s="2917"/>
      <c r="AM38" s="2918">
        <f t="shared" si="2"/>
        <v>0</v>
      </c>
      <c r="AN38" s="2629"/>
      <c r="AO38" s="2931" t="s">
        <v>197</v>
      </c>
      <c r="AQ38" s="2367">
        <f t="shared" si="3"/>
        <v>0</v>
      </c>
      <c r="AR38" s="2367">
        <f t="shared" si="4"/>
        <v>0</v>
      </c>
      <c r="AS38" s="123" t="str">
        <f t="shared" si="8"/>
        <v>미사용 랙</v>
      </c>
      <c r="AT38" t="str">
        <f t="shared" si="5"/>
        <v/>
      </c>
      <c r="AU38" t="str">
        <f t="shared" si="6"/>
        <v/>
      </c>
      <c r="AZ38" s="123" t="str">
        <v>2열</v>
      </c>
      <c r="BA38" s="123" t="str">
        <v>C409</v>
      </c>
      <c r="BB38" s="123" t="str">
        <v>202 BAY</v>
      </c>
      <c r="BC38" s="3103" t="str">
        <v>Sejong Telecom Inc.</v>
      </c>
      <c r="BD38" s="123">
        <v>2.2000000000000002</v>
      </c>
      <c r="BE38" s="3104" t="str">
        <v>7-DaHall 1-PDU-01-30-41</v>
      </c>
      <c r="BF38" s="3105" t="str">
        <v>7-DaHall 1-PDU-02-30-41</v>
      </c>
      <c r="BG38" s="3112">
        <v>1.0604050541930996</v>
      </c>
      <c r="BH38" s="3106">
        <v>0</v>
      </c>
      <c r="BI38" s="3107">
        <v>1.0604050541930996</v>
      </c>
      <c r="BJ38" s="3117">
        <v>128.30000000000001</v>
      </c>
      <c r="BK38" s="3118">
        <v>0</v>
      </c>
      <c r="BL38" s="3119">
        <v>128.30000000000001</v>
      </c>
      <c r="BM38" s="671">
        <v>0</v>
      </c>
      <c r="BN38" s="671" t="str">
        <v>'23.07. 31  전기투입/세종요청 1랙 증설</v>
      </c>
    </row>
    <row r="39" spans="1:66" ht="54" customHeight="1">
      <c r="A39" s="2924"/>
      <c r="B39" s="3218"/>
      <c r="C39" s="3233"/>
      <c r="D39" s="3218"/>
      <c r="E39" s="2601"/>
      <c r="F39" s="2595"/>
      <c r="G39" s="2595" t="s">
        <v>27</v>
      </c>
      <c r="H39" s="1811" t="s">
        <v>8802</v>
      </c>
      <c r="I39" s="1843" t="s">
        <v>8803</v>
      </c>
      <c r="J39" s="1811" t="str">
        <f t="shared" si="12"/>
        <v>7-DaHall 1-A-4-50-33</v>
      </c>
      <c r="K39" s="1843" t="str">
        <f t="shared" si="13"/>
        <v>7-DaHall 1-B-4-50-33</v>
      </c>
      <c r="L39" s="1813">
        <v>48</v>
      </c>
      <c r="M39" s="1814">
        <v>50</v>
      </c>
      <c r="N39" s="2626" t="s">
        <v>233</v>
      </c>
      <c r="O39" s="1815">
        <v>33</v>
      </c>
      <c r="P39" s="1853">
        <v>48</v>
      </c>
      <c r="Q39" s="1854">
        <v>50</v>
      </c>
      <c r="R39" s="2609" t="s">
        <v>234</v>
      </c>
      <c r="S39" s="1844">
        <v>33</v>
      </c>
      <c r="T39" s="2626" t="s">
        <v>264</v>
      </c>
      <c r="U39" s="2609" t="s">
        <v>265</v>
      </c>
      <c r="V39" s="2929" t="s">
        <v>237</v>
      </c>
      <c r="W39" s="2928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3017"/>
      <c r="AK39" s="3018"/>
      <c r="AL39" s="2917"/>
      <c r="AM39" s="2918">
        <f t="shared" si="2"/>
        <v>0</v>
      </c>
      <c r="AN39" s="2629"/>
      <c r="AO39" s="2932"/>
      <c r="AQ39" s="2367">
        <f t="shared" si="3"/>
        <v>0</v>
      </c>
      <c r="AR39" s="2367">
        <f t="shared" si="4"/>
        <v>0</v>
      </c>
      <c r="AS39" s="123" t="str">
        <f t="shared" si="8"/>
        <v>미사용 랙</v>
      </c>
      <c r="AT39" t="str">
        <f t="shared" si="5"/>
        <v/>
      </c>
      <c r="AU39" t="str">
        <f t="shared" si="6"/>
        <v/>
      </c>
      <c r="AZ39" s="123">
        <v>0</v>
      </c>
      <c r="BA39" s="123" t="str">
        <v>C909</v>
      </c>
      <c r="BB39" s="123" t="str">
        <v>C02</v>
      </c>
      <c r="BC39" s="3103" t="str">
        <v>Sejong Telecom Inc.</v>
      </c>
      <c r="BD39" s="123">
        <v>2.2000000000000002</v>
      </c>
      <c r="BE39" s="3104" t="str">
        <v>7-DaHall 1-PDU-01-30-34</v>
      </c>
      <c r="BF39" s="3105" t="str">
        <v>7-DaHall 1-PDU-02-30-34</v>
      </c>
      <c r="BG39" s="3112">
        <v>0</v>
      </c>
      <c r="BH39" s="3106">
        <v>0</v>
      </c>
      <c r="BI39" s="3107">
        <v>0</v>
      </c>
      <c r="BJ39" s="3117">
        <v>0</v>
      </c>
      <c r="BK39" s="3118">
        <v>0</v>
      </c>
      <c r="BL39" s="3119">
        <v>0</v>
      </c>
      <c r="BM39" s="671" t="str">
        <v>IDC 고객(타타커뮤니케이션즈)</v>
      </c>
      <c r="BN39" s="671">
        <v>0</v>
      </c>
    </row>
    <row r="40" spans="1:66" ht="54" customHeight="1">
      <c r="A40" s="2924"/>
      <c r="B40" s="3217" t="s">
        <v>249</v>
      </c>
      <c r="C40" s="3232" t="s">
        <v>250</v>
      </c>
      <c r="D40" s="3217" t="s">
        <v>251</v>
      </c>
      <c r="E40" s="2600"/>
      <c r="F40" s="2595"/>
      <c r="G40" s="2595" t="s">
        <v>27</v>
      </c>
      <c r="H40" s="1811" t="s">
        <v>8804</v>
      </c>
      <c r="I40" s="1843" t="s">
        <v>8805</v>
      </c>
      <c r="J40" s="1811" t="str">
        <f t="shared" si="12"/>
        <v>7-DaHall 1-A-4-50-10</v>
      </c>
      <c r="K40" s="1843" t="str">
        <f t="shared" si="13"/>
        <v>7-DaHall 1-B-4-50-43</v>
      </c>
      <c r="L40" s="1813">
        <v>48</v>
      </c>
      <c r="M40" s="1814">
        <v>50</v>
      </c>
      <c r="N40" s="2626" t="s">
        <v>233</v>
      </c>
      <c r="O40" s="1815">
        <v>10</v>
      </c>
      <c r="P40" s="1853">
        <v>48</v>
      </c>
      <c r="Q40" s="1854">
        <v>50</v>
      </c>
      <c r="R40" s="2609" t="s">
        <v>234</v>
      </c>
      <c r="S40" s="1844">
        <v>43</v>
      </c>
      <c r="T40" s="2626" t="s">
        <v>252</v>
      </c>
      <c r="U40" s="2609" t="s">
        <v>253</v>
      </c>
      <c r="V40" s="2929" t="s">
        <v>237</v>
      </c>
      <c r="W40" s="2928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3017"/>
      <c r="AK40" s="3018"/>
      <c r="AL40" s="2917"/>
      <c r="AM40" s="2918">
        <f t="shared" si="2"/>
        <v>0</v>
      </c>
      <c r="AN40" s="2629"/>
      <c r="AO40" s="2931" t="s">
        <v>254</v>
      </c>
      <c r="AQ40" s="2367">
        <f t="shared" si="3"/>
        <v>0</v>
      </c>
      <c r="AR40" s="2367">
        <f t="shared" si="4"/>
        <v>0</v>
      </c>
      <c r="AS40" s="123" t="str">
        <f t="shared" si="8"/>
        <v>미사용 랙</v>
      </c>
      <c r="AT40" t="str">
        <f t="shared" si="5"/>
        <v/>
      </c>
      <c r="AU40" t="str">
        <f t="shared" si="6"/>
        <v/>
      </c>
      <c r="AZ40" s="123">
        <v>0</v>
      </c>
      <c r="BA40" s="123" t="str">
        <v>C910</v>
      </c>
      <c r="BB40" s="123" t="str">
        <v>C01</v>
      </c>
      <c r="BC40" s="3103" t="str">
        <v>Sejong Telecom Inc.</v>
      </c>
      <c r="BD40" s="123">
        <v>0</v>
      </c>
      <c r="BE40" s="3104" t="str">
        <v>7-DaHall 1-B-5-100-48</v>
      </c>
      <c r="BF40" s="3105" t="str">
        <v>7-DaHall 1-B-1-100-41</v>
      </c>
      <c r="BG40" s="3112">
        <v>0</v>
      </c>
      <c r="BH40" s="3106">
        <v>0</v>
      </c>
      <c r="BI40" s="3107">
        <v>0</v>
      </c>
      <c r="BJ40" s="3117">
        <v>0</v>
      </c>
      <c r="BK40" s="3118">
        <v>0</v>
      </c>
      <c r="BL40" s="3119">
        <v>0</v>
      </c>
      <c r="BM40" s="671" t="str">
        <v>IDC 고객(타타커뮤니케이션즈)</v>
      </c>
      <c r="BN40" s="671" t="str">
        <v>DC전원 장비직결</v>
      </c>
    </row>
    <row r="41" spans="1:66" ht="54" customHeight="1">
      <c r="A41" s="2924"/>
      <c r="B41" s="3249"/>
      <c r="C41" s="3260"/>
      <c r="D41" s="3249"/>
      <c r="E41" s="2604"/>
      <c r="F41" s="2595"/>
      <c r="G41" s="2595" t="s">
        <v>27</v>
      </c>
      <c r="H41" s="1811" t="s">
        <v>8806</v>
      </c>
      <c r="I41" s="1843" t="s">
        <v>8807</v>
      </c>
      <c r="J41" s="1811" t="str">
        <f t="shared" si="12"/>
        <v>7-DaHall 1-A-4-50-11</v>
      </c>
      <c r="K41" s="1843" t="str">
        <f t="shared" si="13"/>
        <v>7-DaHall 1-B-4-50-44</v>
      </c>
      <c r="L41" s="1813">
        <v>48</v>
      </c>
      <c r="M41" s="1814">
        <v>50</v>
      </c>
      <c r="N41" s="2626" t="s">
        <v>233</v>
      </c>
      <c r="O41" s="1815">
        <v>11</v>
      </c>
      <c r="P41" s="1853">
        <v>48</v>
      </c>
      <c r="Q41" s="1854">
        <v>50</v>
      </c>
      <c r="R41" s="2609" t="s">
        <v>234</v>
      </c>
      <c r="S41" s="1844">
        <v>44</v>
      </c>
      <c r="T41" s="2626" t="s">
        <v>255</v>
      </c>
      <c r="U41" s="2609" t="s">
        <v>256</v>
      </c>
      <c r="V41" s="2929" t="s">
        <v>237</v>
      </c>
      <c r="W41" s="2928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3017"/>
      <c r="AK41" s="3018"/>
      <c r="AL41" s="2917"/>
      <c r="AM41" s="2918">
        <f t="shared" si="2"/>
        <v>0</v>
      </c>
      <c r="AN41" s="2629"/>
      <c r="AO41" s="2933"/>
      <c r="AQ41" s="2367">
        <f t="shared" si="3"/>
        <v>0</v>
      </c>
      <c r="AR41" s="2367">
        <f t="shared" si="4"/>
        <v>0</v>
      </c>
      <c r="AS41" s="123" t="str">
        <f t="shared" si="8"/>
        <v>미사용 랙</v>
      </c>
      <c r="AT41" t="str">
        <f t="shared" si="5"/>
        <v/>
      </c>
      <c r="AU41" t="str">
        <f t="shared" si="6"/>
        <v/>
      </c>
      <c r="AZ41" s="123">
        <v>0</v>
      </c>
      <c r="BA41" s="123" t="str">
        <v>C1002</v>
      </c>
      <c r="BB41" s="123" t="str">
        <v>B08</v>
      </c>
      <c r="BC41" s="3103" t="str">
        <v>Sejong Telecom Inc.</v>
      </c>
      <c r="BD41" s="123">
        <v>1.6</v>
      </c>
      <c r="BE41" s="3104" t="str">
        <v>7-DaHall 1-PDU-01-30-35</v>
      </c>
      <c r="BF41" s="3105" t="str">
        <v>7-DaHall 1-PDU-02-30-35</v>
      </c>
      <c r="BG41" s="3112">
        <v>6.7686223868756317</v>
      </c>
      <c r="BH41" s="3106">
        <v>6.5156386329948575</v>
      </c>
      <c r="BI41" s="3107">
        <v>13.284261019870488</v>
      </c>
      <c r="BJ41" s="3117">
        <v>1086.2</v>
      </c>
      <c r="BK41" s="3118">
        <v>1049.4000000000001</v>
      </c>
      <c r="BL41" s="3119">
        <v>2135.6000000000004</v>
      </c>
      <c r="BM41" s="671" t="str">
        <v>세종 인터넷(클라우드이음)</v>
      </c>
      <c r="BN41" s="671" t="str">
        <v>신규 구성중</v>
      </c>
    </row>
    <row r="42" spans="1:66" ht="54" customHeight="1">
      <c r="A42" s="2924"/>
      <c r="B42" s="3218"/>
      <c r="C42" s="3233"/>
      <c r="D42" s="3218"/>
      <c r="E42" s="2601"/>
      <c r="F42" s="2595"/>
      <c r="G42" s="2595" t="s">
        <v>27</v>
      </c>
      <c r="H42" s="1811" t="s">
        <v>8808</v>
      </c>
      <c r="I42" s="1843" t="s">
        <v>8809</v>
      </c>
      <c r="J42" s="1811" t="str">
        <f t="shared" si="12"/>
        <v>7-DaHall 1-A-4-50-18</v>
      </c>
      <c r="K42" s="1843" t="str">
        <f t="shared" si="13"/>
        <v>7-DaHall 1-B-4-50-45</v>
      </c>
      <c r="L42" s="1813">
        <v>48</v>
      </c>
      <c r="M42" s="1814">
        <v>50</v>
      </c>
      <c r="N42" s="2626" t="s">
        <v>233</v>
      </c>
      <c r="O42" s="1815">
        <v>18</v>
      </c>
      <c r="P42" s="1853">
        <v>48</v>
      </c>
      <c r="Q42" s="1854">
        <v>50</v>
      </c>
      <c r="R42" s="2609" t="s">
        <v>234</v>
      </c>
      <c r="S42" s="1844">
        <v>45</v>
      </c>
      <c r="T42" s="2626" t="s">
        <v>257</v>
      </c>
      <c r="U42" s="2609" t="s">
        <v>258</v>
      </c>
      <c r="V42" s="2929" t="s">
        <v>237</v>
      </c>
      <c r="W42" s="2928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3017"/>
      <c r="AK42" s="3018"/>
      <c r="AL42" s="2917"/>
      <c r="AM42" s="2918">
        <f t="shared" si="2"/>
        <v>0</v>
      </c>
      <c r="AN42" s="2629"/>
      <c r="AO42" s="2932"/>
      <c r="AQ42" s="2367">
        <f t="shared" si="3"/>
        <v>0</v>
      </c>
      <c r="AR42" s="2367">
        <f t="shared" si="4"/>
        <v>0</v>
      </c>
      <c r="AS42" s="123" t="str">
        <f t="shared" si="8"/>
        <v>미사용 랙</v>
      </c>
      <c r="AT42" t="str">
        <f t="shared" si="5"/>
        <v/>
      </c>
      <c r="AU42" t="str">
        <f t="shared" si="6"/>
        <v/>
      </c>
      <c r="AZ42" s="123">
        <v>0</v>
      </c>
      <c r="BA42" s="123" t="str">
        <v>C1003</v>
      </c>
      <c r="BB42" s="123" t="str">
        <v>B07</v>
      </c>
      <c r="BC42" s="3103" t="str">
        <v>Sejong Telecom Inc.</v>
      </c>
      <c r="BD42" s="123">
        <v>1.6</v>
      </c>
      <c r="BE42" s="3104" t="str">
        <v>7-DaHall 1-PDU-01-30-33</v>
      </c>
      <c r="BF42" s="3105" t="str">
        <v>7-DaHall 1-PDU-02-30-33</v>
      </c>
      <c r="BG42" s="3112">
        <v>8.6385174254821546</v>
      </c>
      <c r="BH42" s="3106">
        <v>8.36821985924621</v>
      </c>
      <c r="BI42" s="3107">
        <v>17.006737284728366</v>
      </c>
      <c r="BJ42" s="3117">
        <v>1390.8</v>
      </c>
      <c r="BK42" s="3118">
        <v>1351.9</v>
      </c>
      <c r="BL42" s="3119">
        <v>2742.7</v>
      </c>
      <c r="BM42" s="671" t="str">
        <v>세종 인터넷(클라우드이음)</v>
      </c>
      <c r="BN42" s="671" t="str">
        <v>신규 구성중</v>
      </c>
    </row>
    <row r="43" spans="1:66" ht="54" customHeight="1">
      <c r="A43" s="2924"/>
      <c r="B43" s="2595" t="s">
        <v>244</v>
      </c>
      <c r="C43" s="2147" t="s">
        <v>245</v>
      </c>
      <c r="D43" s="2595" t="s">
        <v>246</v>
      </c>
      <c r="E43" s="2595"/>
      <c r="F43" s="2595"/>
      <c r="G43" s="2595" t="s">
        <v>27</v>
      </c>
      <c r="H43" s="1811" t="s">
        <v>8810</v>
      </c>
      <c r="I43" s="1843" t="s">
        <v>8811</v>
      </c>
      <c r="J43" s="1811" t="str">
        <f t="shared" si="12"/>
        <v>7-DaHall 1-A-4-50-45</v>
      </c>
      <c r="K43" s="1843" t="str">
        <f t="shared" si="13"/>
        <v>7-DaHall 1-B-4-50-51</v>
      </c>
      <c r="L43" s="1813">
        <v>48</v>
      </c>
      <c r="M43" s="1814">
        <v>50</v>
      </c>
      <c r="N43" s="2626" t="s">
        <v>233</v>
      </c>
      <c r="O43" s="1815">
        <v>45</v>
      </c>
      <c r="P43" s="1853">
        <v>48</v>
      </c>
      <c r="Q43" s="1854">
        <v>50</v>
      </c>
      <c r="R43" s="2609" t="s">
        <v>234</v>
      </c>
      <c r="S43" s="1844">
        <v>51</v>
      </c>
      <c r="T43" s="2626" t="s">
        <v>247</v>
      </c>
      <c r="U43" s="2609" t="s">
        <v>248</v>
      </c>
      <c r="V43" s="2929" t="s">
        <v>237</v>
      </c>
      <c r="W43" s="2928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3017"/>
      <c r="AK43" s="3018"/>
      <c r="AL43" s="2917"/>
      <c r="AM43" s="2918">
        <f t="shared" si="2"/>
        <v>0</v>
      </c>
      <c r="AN43" s="2629"/>
      <c r="AO43" s="2631"/>
      <c r="AQ43" s="2367">
        <f t="shared" si="3"/>
        <v>0</v>
      </c>
      <c r="AR43" s="2367">
        <f t="shared" si="4"/>
        <v>0</v>
      </c>
      <c r="AS43" s="123" t="str">
        <f t="shared" si="8"/>
        <v>미사용 랙</v>
      </c>
      <c r="AT43" t="str">
        <f t="shared" si="5"/>
        <v/>
      </c>
      <c r="AU43" t="str">
        <f t="shared" si="6"/>
        <v/>
      </c>
      <c r="AZ43" s="123">
        <v>0</v>
      </c>
      <c r="BA43" s="123" t="str">
        <v>C1004</v>
      </c>
      <c r="BB43" s="123" t="str">
        <v>B06</v>
      </c>
      <c r="BC43" s="3103" t="str">
        <v>Sejong Telecom Inc.</v>
      </c>
      <c r="BD43" s="123">
        <v>1.6</v>
      </c>
      <c r="BE43" s="3104" t="str">
        <v>7-DaHall 1-PDU-01-30-31</v>
      </c>
      <c r="BF43" s="3105" t="str">
        <v>7-DaHall 1-PDU-02-30-31</v>
      </c>
      <c r="BG43" s="3112">
        <v>4.5078405440625886</v>
      </c>
      <c r="BH43" s="3106">
        <v>3.7013590801928586</v>
      </c>
      <c r="BI43" s="3107">
        <v>8.2091996242554472</v>
      </c>
      <c r="BJ43" s="3117">
        <v>685.7</v>
      </c>
      <c r="BK43" s="3118">
        <v>524.9</v>
      </c>
      <c r="BL43" s="3119">
        <v>1210.5999999999999</v>
      </c>
      <c r="BM43" s="671" t="str">
        <v>세종 인터넷(클라우드이음)</v>
      </c>
      <c r="BN43" s="671" t="str">
        <v>신규 구성중</v>
      </c>
    </row>
    <row r="44" spans="1:66" ht="54" customHeight="1">
      <c r="A44" s="2924"/>
      <c r="B44" s="2595" t="s">
        <v>239</v>
      </c>
      <c r="C44" s="2147" t="s">
        <v>240</v>
      </c>
      <c r="D44" s="2595" t="s">
        <v>241</v>
      </c>
      <c r="E44" s="2595"/>
      <c r="F44" s="2595"/>
      <c r="G44" s="2595" t="s">
        <v>27</v>
      </c>
      <c r="H44" s="1811" t="s">
        <v>8812</v>
      </c>
      <c r="I44" s="1843" t="s">
        <v>8813</v>
      </c>
      <c r="J44" s="1811" t="str">
        <f t="shared" si="12"/>
        <v>7-DaHall 1-A-4-35-52</v>
      </c>
      <c r="K44" s="1843" t="str">
        <f t="shared" si="13"/>
        <v>7-DaHall 1-B-4-35-52</v>
      </c>
      <c r="L44" s="1813">
        <v>48</v>
      </c>
      <c r="M44" s="1814">
        <v>35</v>
      </c>
      <c r="N44" s="2626" t="s">
        <v>233</v>
      </c>
      <c r="O44" s="1815">
        <v>52</v>
      </c>
      <c r="P44" s="1853">
        <v>48</v>
      </c>
      <c r="Q44" s="1854">
        <v>35</v>
      </c>
      <c r="R44" s="2609" t="s">
        <v>234</v>
      </c>
      <c r="S44" s="1844">
        <v>52</v>
      </c>
      <c r="T44" s="2626" t="s">
        <v>242</v>
      </c>
      <c r="U44" s="2609" t="s">
        <v>243</v>
      </c>
      <c r="V44" s="2929" t="s">
        <v>237</v>
      </c>
      <c r="W44" s="2928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3017"/>
      <c r="AK44" s="3018"/>
      <c r="AL44" s="2917"/>
      <c r="AM44" s="2918">
        <f t="shared" si="2"/>
        <v>0</v>
      </c>
      <c r="AN44" s="2629"/>
      <c r="AO44" s="2631"/>
      <c r="AQ44" s="2367">
        <f t="shared" si="3"/>
        <v>0</v>
      </c>
      <c r="AR44" s="2367">
        <f t="shared" si="4"/>
        <v>0</v>
      </c>
      <c r="AS44" s="123" t="str">
        <f t="shared" si="8"/>
        <v>미사용 랙</v>
      </c>
      <c r="AT44" t="str">
        <f t="shared" si="5"/>
        <v/>
      </c>
      <c r="AU44" t="str">
        <f t="shared" si="6"/>
        <v/>
      </c>
      <c r="AZ44" s="123">
        <v>0</v>
      </c>
      <c r="BA44" s="123" t="str">
        <v>C1005</v>
      </c>
      <c r="BB44" s="123" t="str">
        <v>B05</v>
      </c>
      <c r="BC44" s="3103" t="str">
        <v>Sejong Telecom Inc.</v>
      </c>
      <c r="BD44" s="123">
        <v>2.2000000000000002</v>
      </c>
      <c r="BE44" s="3104" t="str">
        <v>7-DaHall 1-PDU-01-30-39</v>
      </c>
      <c r="BF44" s="3105" t="str">
        <v>7-DaHall 1-PDU-02-30-39</v>
      </c>
      <c r="BG44" s="3112">
        <v>1.0428070100126572</v>
      </c>
      <c r="BH44" s="3106">
        <v>1.8575097675227878</v>
      </c>
      <c r="BI44" s="3107">
        <v>2.900316777535445</v>
      </c>
      <c r="BJ44" s="3117">
        <v>140.80000000000001</v>
      </c>
      <c r="BK44" s="3118">
        <v>262.60000000000002</v>
      </c>
      <c r="BL44" s="3119">
        <v>403.40000000000003</v>
      </c>
      <c r="BM44" s="671" t="str">
        <v>세종 인터넷(클라우드이음)</v>
      </c>
      <c r="BN44" s="671">
        <v>0</v>
      </c>
    </row>
    <row r="45" spans="1:66" ht="54" customHeight="1">
      <c r="A45" s="2924"/>
      <c r="B45" s="2595" t="s">
        <v>230</v>
      </c>
      <c r="C45" s="2147" t="s">
        <v>231</v>
      </c>
      <c r="D45" s="2595" t="s">
        <v>232</v>
      </c>
      <c r="E45" s="2595"/>
      <c r="F45" s="2595"/>
      <c r="G45" s="2595" t="s">
        <v>27</v>
      </c>
      <c r="H45" s="1811" t="s">
        <v>8814</v>
      </c>
      <c r="I45" s="1843" t="s">
        <v>8815</v>
      </c>
      <c r="J45" s="1811" t="str">
        <f t="shared" si="12"/>
        <v>7-DaHall 1-A-4-35-53</v>
      </c>
      <c r="K45" s="1843" t="str">
        <f t="shared" si="13"/>
        <v>7-DaHall 1-B-4-35-53</v>
      </c>
      <c r="L45" s="1813">
        <v>48</v>
      </c>
      <c r="M45" s="1814">
        <v>35</v>
      </c>
      <c r="N45" s="2626" t="s">
        <v>233</v>
      </c>
      <c r="O45" s="1815">
        <v>53</v>
      </c>
      <c r="P45" s="1853">
        <v>48</v>
      </c>
      <c r="Q45" s="1854">
        <v>35</v>
      </c>
      <c r="R45" s="2609" t="s">
        <v>234</v>
      </c>
      <c r="S45" s="1844">
        <v>53</v>
      </c>
      <c r="T45" s="2626" t="s">
        <v>235</v>
      </c>
      <c r="U45" s="2609" t="s">
        <v>236</v>
      </c>
      <c r="V45" s="2929" t="s">
        <v>237</v>
      </c>
      <c r="W45" s="2928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3017"/>
      <c r="AK45" s="3018"/>
      <c r="AL45" s="2917"/>
      <c r="AM45" s="2918">
        <f t="shared" si="2"/>
        <v>0</v>
      </c>
      <c r="AN45" s="2629"/>
      <c r="AO45" s="2631"/>
      <c r="AQ45" s="2367">
        <f t="shared" si="3"/>
        <v>0</v>
      </c>
      <c r="AR45" s="2367">
        <f t="shared" si="4"/>
        <v>0</v>
      </c>
      <c r="AS45" s="123" t="str">
        <f t="shared" si="8"/>
        <v>미사용 랙</v>
      </c>
      <c r="AT45" t="str">
        <f t="shared" si="5"/>
        <v/>
      </c>
      <c r="AU45" t="str">
        <f t="shared" si="6"/>
        <v/>
      </c>
      <c r="AZ45" s="123"/>
      <c r="BA45" s="123"/>
      <c r="BB45" s="123"/>
      <c r="BC45" s="3103"/>
      <c r="BD45" s="123"/>
      <c r="BE45" s="3104"/>
      <c r="BF45" s="3105"/>
      <c r="BG45" s="3112"/>
      <c r="BH45" s="3106"/>
      <c r="BI45" s="3107"/>
      <c r="BJ45" s="3108"/>
      <c r="BK45" s="3109"/>
      <c r="BL45" s="3110"/>
    </row>
    <row r="46" spans="1:66" ht="54" customHeight="1">
      <c r="A46" s="2924"/>
      <c r="B46" s="2595" t="s">
        <v>9303</v>
      </c>
      <c r="C46" s="2595"/>
      <c r="D46" s="3153" t="s">
        <v>9300</v>
      </c>
      <c r="E46" s="2595"/>
      <c r="F46" s="2595"/>
      <c r="G46" s="2595"/>
      <c r="H46" s="1831"/>
      <c r="I46" s="1839"/>
      <c r="J46" s="1831"/>
      <c r="K46" s="1839"/>
      <c r="L46" s="1833"/>
      <c r="M46" s="3155"/>
      <c r="N46" s="703"/>
      <c r="O46" s="1835"/>
      <c r="P46" s="1840"/>
      <c r="Q46" s="3156"/>
      <c r="R46" s="687"/>
      <c r="S46" s="1842"/>
      <c r="T46" s="703"/>
      <c r="U46" s="687"/>
      <c r="V46" s="3157"/>
      <c r="W46" s="3158"/>
      <c r="X46" s="3159"/>
      <c r="Y46" s="3160"/>
      <c r="Z46" s="3159"/>
      <c r="AA46" s="3160"/>
      <c r="AB46" s="3159"/>
      <c r="AC46" s="3160"/>
      <c r="AD46" s="3159"/>
      <c r="AE46" s="3160"/>
      <c r="AF46" s="3161"/>
      <c r="AG46" s="3162"/>
      <c r="AH46" s="3163"/>
      <c r="AI46" s="2118"/>
      <c r="AJ46" s="3164"/>
      <c r="AK46" s="3165"/>
      <c r="AL46" s="2926"/>
      <c r="AM46" s="2927"/>
      <c r="AN46" s="2629"/>
      <c r="AO46" s="2631"/>
      <c r="AQ46" s="2367"/>
      <c r="AR46" s="2367"/>
      <c r="AS46" s="123"/>
      <c r="AT46" t="str">
        <f t="shared" si="5"/>
        <v/>
      </c>
      <c r="AU46" t="str">
        <f t="shared" si="6"/>
        <v/>
      </c>
      <c r="AZ46" s="123"/>
      <c r="BA46" s="123"/>
      <c r="BB46" s="123"/>
      <c r="BC46" s="3103"/>
      <c r="BD46" s="123"/>
      <c r="BE46" s="3104"/>
      <c r="BF46" s="3105"/>
      <c r="BG46" s="3112"/>
      <c r="BH46" s="3106"/>
      <c r="BI46" s="3107"/>
      <c r="BJ46" s="3108"/>
      <c r="BK46" s="3109"/>
      <c r="BL46" s="3110"/>
    </row>
    <row r="47" spans="1:66" ht="54" customHeight="1">
      <c r="A47" s="2924"/>
      <c r="B47" s="2595" t="s">
        <v>9304</v>
      </c>
      <c r="C47" s="2595"/>
      <c r="D47" s="3153" t="s">
        <v>9300</v>
      </c>
      <c r="E47" s="2595"/>
      <c r="F47" s="2595"/>
      <c r="G47" s="2595"/>
      <c r="H47" s="1831"/>
      <c r="I47" s="1839"/>
      <c r="J47" s="1831"/>
      <c r="K47" s="1839"/>
      <c r="L47" s="1833"/>
      <c r="M47" s="3155"/>
      <c r="N47" s="703"/>
      <c r="O47" s="1835"/>
      <c r="P47" s="1840"/>
      <c r="Q47" s="3156"/>
      <c r="R47" s="687"/>
      <c r="S47" s="1842"/>
      <c r="T47" s="703"/>
      <c r="U47" s="687"/>
      <c r="V47" s="3157"/>
      <c r="W47" s="3158"/>
      <c r="X47" s="3159"/>
      <c r="Y47" s="3160"/>
      <c r="Z47" s="3159"/>
      <c r="AA47" s="3160"/>
      <c r="AB47" s="3159"/>
      <c r="AC47" s="3160"/>
      <c r="AD47" s="3159"/>
      <c r="AE47" s="3160"/>
      <c r="AF47" s="3161"/>
      <c r="AG47" s="3162"/>
      <c r="AH47" s="3163"/>
      <c r="AI47" s="2118"/>
      <c r="AJ47" s="3164"/>
      <c r="AK47" s="3165"/>
      <c r="AL47" s="2926"/>
      <c r="AM47" s="2927"/>
      <c r="AN47" s="2629"/>
      <c r="AO47" s="2631"/>
      <c r="AQ47" s="2367"/>
      <c r="AR47" s="2367"/>
      <c r="AS47" s="123"/>
      <c r="AT47" t="str">
        <f t="shared" si="5"/>
        <v/>
      </c>
      <c r="AU47" t="str">
        <f t="shared" si="6"/>
        <v/>
      </c>
      <c r="AZ47" s="123"/>
      <c r="BA47" s="123"/>
      <c r="BB47" s="123"/>
      <c r="BC47" s="3103"/>
      <c r="BD47" s="123"/>
      <c r="BE47" s="3104"/>
      <c r="BF47" s="3105"/>
      <c r="BG47" s="3112"/>
      <c r="BH47" s="3106"/>
      <c r="BI47" s="3107"/>
      <c r="BJ47" s="3108"/>
      <c r="BK47" s="3109"/>
      <c r="BL47" s="3110"/>
    </row>
    <row r="48" spans="1:66" ht="54" customHeight="1">
      <c r="A48" s="2924"/>
      <c r="B48" s="2595" t="s">
        <v>735</v>
      </c>
      <c r="C48" s="2147" t="s">
        <v>736</v>
      </c>
      <c r="D48" s="2601" t="s">
        <v>737</v>
      </c>
      <c r="E48" s="2595"/>
      <c r="F48" s="2595"/>
      <c r="G48" s="2595" t="s">
        <v>27</v>
      </c>
      <c r="H48" s="1811" t="s">
        <v>8816</v>
      </c>
      <c r="I48" s="1843" t="s">
        <v>8817</v>
      </c>
      <c r="J48" s="1811" t="str">
        <f t="shared" si="12"/>
        <v>7-DaHall 1-A-3-50-47</v>
      </c>
      <c r="K48" s="1843" t="str">
        <f t="shared" si="13"/>
        <v>7-DaHall 1-B-3-50-47</v>
      </c>
      <c r="L48" s="1813">
        <v>48</v>
      </c>
      <c r="M48" s="1814">
        <v>50</v>
      </c>
      <c r="N48" s="2626" t="s">
        <v>181</v>
      </c>
      <c r="O48" s="1815">
        <v>47</v>
      </c>
      <c r="P48" s="1853">
        <v>48</v>
      </c>
      <c r="Q48" s="1854">
        <v>50</v>
      </c>
      <c r="R48" s="2609" t="s">
        <v>182</v>
      </c>
      <c r="S48" s="1844">
        <v>47</v>
      </c>
      <c r="T48" s="2626" t="s">
        <v>738</v>
      </c>
      <c r="U48" s="2609" t="s">
        <v>739</v>
      </c>
      <c r="V48" s="2922" t="s">
        <v>185</v>
      </c>
      <c r="W48" s="2923" t="s">
        <v>186</v>
      </c>
      <c r="X48" s="2922" t="s">
        <v>435</v>
      </c>
      <c r="Y48" s="2923" t="s">
        <v>436</v>
      </c>
      <c r="Z48" s="2922" t="s">
        <v>49</v>
      </c>
      <c r="AA48" s="2923" t="s">
        <v>50</v>
      </c>
      <c r="AB48" s="2922" t="s">
        <v>51</v>
      </c>
      <c r="AC48" s="2923" t="s">
        <v>52</v>
      </c>
      <c r="AD48" s="2922" t="s">
        <v>30</v>
      </c>
      <c r="AE48" s="2923" t="s">
        <v>35</v>
      </c>
      <c r="AF48" s="2152" t="s">
        <v>31</v>
      </c>
      <c r="AG48" s="904" t="s">
        <v>36</v>
      </c>
      <c r="AH48" s="681"/>
      <c r="AI48" s="676"/>
      <c r="AJ48" s="3017"/>
      <c r="AK48" s="3018"/>
      <c r="AL48" s="2917"/>
      <c r="AM48" s="2918">
        <f t="shared" si="2"/>
        <v>0</v>
      </c>
      <c r="AN48" s="2629"/>
      <c r="AO48" s="2631"/>
      <c r="AQ48" s="2367">
        <f t="shared" si="3"/>
        <v>0</v>
      </c>
      <c r="AR48" s="2367">
        <f t="shared" si="4"/>
        <v>0</v>
      </c>
      <c r="AS48" s="123" t="str">
        <f t="shared" si="8"/>
        <v>미사용 랙</v>
      </c>
      <c r="AT48" t="str">
        <f t="shared" si="5"/>
        <v/>
      </c>
      <c r="AU48" t="str">
        <f t="shared" si="6"/>
        <v/>
      </c>
      <c r="AZ48" s="123"/>
      <c r="BA48" s="123"/>
      <c r="BB48" s="123"/>
      <c r="BC48" s="3103"/>
      <c r="BD48" s="123"/>
      <c r="BE48" s="3104"/>
      <c r="BF48" s="3105"/>
      <c r="BG48" s="3112"/>
      <c r="BH48" s="3106"/>
      <c r="BI48" s="3107"/>
      <c r="BJ48" s="3108"/>
      <c r="BK48" s="3109"/>
      <c r="BL48" s="3110"/>
    </row>
    <row r="49" spans="1:64" ht="54" customHeight="1">
      <c r="A49" s="2924"/>
      <c r="B49" s="2595" t="s">
        <v>730</v>
      </c>
      <c r="C49" s="2147" t="s">
        <v>731</v>
      </c>
      <c r="D49" s="2595" t="s">
        <v>732</v>
      </c>
      <c r="E49" s="2595"/>
      <c r="F49" s="2595"/>
      <c r="G49" s="2595" t="s">
        <v>27</v>
      </c>
      <c r="H49" s="1811" t="s">
        <v>8818</v>
      </c>
      <c r="I49" s="1843" t="s">
        <v>8819</v>
      </c>
      <c r="J49" s="1811" t="str">
        <f t="shared" si="12"/>
        <v>7-DaHall 1-A-3-50-46</v>
      </c>
      <c r="K49" s="1843" t="str">
        <f t="shared" si="13"/>
        <v>7-DaHall 1-B-3-50-46</v>
      </c>
      <c r="L49" s="1813">
        <v>48</v>
      </c>
      <c r="M49" s="1814">
        <v>50</v>
      </c>
      <c r="N49" s="2626" t="s">
        <v>181</v>
      </c>
      <c r="O49" s="1815">
        <v>46</v>
      </c>
      <c r="P49" s="1853">
        <v>48</v>
      </c>
      <c r="Q49" s="1854">
        <v>50</v>
      </c>
      <c r="R49" s="2609" t="s">
        <v>182</v>
      </c>
      <c r="S49" s="1844">
        <v>46</v>
      </c>
      <c r="T49" s="2626" t="s">
        <v>733</v>
      </c>
      <c r="U49" s="2609" t="s">
        <v>734</v>
      </c>
      <c r="V49" s="2922" t="s">
        <v>185</v>
      </c>
      <c r="W49" s="2923" t="s">
        <v>186</v>
      </c>
      <c r="X49" s="2922" t="s">
        <v>435</v>
      </c>
      <c r="Y49" s="2923" t="s">
        <v>436</v>
      </c>
      <c r="Z49" s="2922" t="s">
        <v>49</v>
      </c>
      <c r="AA49" s="2923" t="s">
        <v>50</v>
      </c>
      <c r="AB49" s="2922" t="s">
        <v>51</v>
      </c>
      <c r="AC49" s="2923" t="s">
        <v>52</v>
      </c>
      <c r="AD49" s="2922" t="s">
        <v>30</v>
      </c>
      <c r="AE49" s="2923" t="s">
        <v>35</v>
      </c>
      <c r="AF49" s="2152" t="s">
        <v>31</v>
      </c>
      <c r="AG49" s="904" t="s">
        <v>36</v>
      </c>
      <c r="AH49" s="681"/>
      <c r="AI49" s="676"/>
      <c r="AJ49" s="3017"/>
      <c r="AK49" s="3018"/>
      <c r="AL49" s="2917"/>
      <c r="AM49" s="2918">
        <f t="shared" si="2"/>
        <v>0</v>
      </c>
      <c r="AN49" s="2629"/>
      <c r="AO49" s="2631"/>
      <c r="AQ49" s="2367">
        <f t="shared" si="3"/>
        <v>0</v>
      </c>
      <c r="AR49" s="2367">
        <f t="shared" si="4"/>
        <v>0</v>
      </c>
      <c r="AS49" s="123" t="str">
        <f t="shared" si="8"/>
        <v>미사용 랙</v>
      </c>
      <c r="AT49" t="str">
        <f t="shared" si="5"/>
        <v/>
      </c>
      <c r="AU49" t="str">
        <f t="shared" si="6"/>
        <v/>
      </c>
      <c r="AZ49" s="123"/>
      <c r="BA49" s="123"/>
      <c r="BB49" s="123"/>
      <c r="BC49" s="3103"/>
      <c r="BD49" s="123"/>
      <c r="BE49" s="3104"/>
      <c r="BF49" s="3105"/>
      <c r="BG49" s="3112"/>
      <c r="BH49" s="3106"/>
      <c r="BI49" s="3107"/>
      <c r="BJ49" s="3108"/>
      <c r="BK49" s="3109"/>
      <c r="BL49" s="3110"/>
    </row>
    <row r="50" spans="1:64" ht="32.1" customHeight="1">
      <c r="A50" s="2924"/>
      <c r="B50" s="2595" t="s">
        <v>725</v>
      </c>
      <c r="C50" s="2147" t="s">
        <v>726</v>
      </c>
      <c r="D50" s="2595" t="s">
        <v>727</v>
      </c>
      <c r="E50" s="2595"/>
      <c r="F50" s="2595"/>
      <c r="G50" s="2595" t="s">
        <v>27</v>
      </c>
      <c r="H50" s="1811" t="s">
        <v>8820</v>
      </c>
      <c r="I50" s="1843" t="s">
        <v>8821</v>
      </c>
      <c r="J50" s="1811" t="str">
        <f t="shared" si="12"/>
        <v>7-DaHall 1-A-3-50-44</v>
      </c>
      <c r="K50" s="1843" t="str">
        <f t="shared" si="13"/>
        <v>7-DaHall 1-B-3-50-44</v>
      </c>
      <c r="L50" s="1813">
        <v>48</v>
      </c>
      <c r="M50" s="1814">
        <v>50</v>
      </c>
      <c r="N50" s="2626" t="s">
        <v>181</v>
      </c>
      <c r="O50" s="1815">
        <v>44</v>
      </c>
      <c r="P50" s="1853">
        <v>48</v>
      </c>
      <c r="Q50" s="1854">
        <v>50</v>
      </c>
      <c r="R50" s="2609" t="s">
        <v>182</v>
      </c>
      <c r="S50" s="1844">
        <v>44</v>
      </c>
      <c r="T50" s="2626" t="s">
        <v>728</v>
      </c>
      <c r="U50" s="2609" t="s">
        <v>729</v>
      </c>
      <c r="V50" s="2922" t="s">
        <v>185</v>
      </c>
      <c r="W50" s="2923" t="s">
        <v>186</v>
      </c>
      <c r="X50" s="2922" t="s">
        <v>435</v>
      </c>
      <c r="Y50" s="2923" t="s">
        <v>436</v>
      </c>
      <c r="Z50" s="2922" t="s">
        <v>49</v>
      </c>
      <c r="AA50" s="2923" t="s">
        <v>50</v>
      </c>
      <c r="AB50" s="2922" t="s">
        <v>51</v>
      </c>
      <c r="AC50" s="2923" t="s">
        <v>52</v>
      </c>
      <c r="AD50" s="2922" t="s">
        <v>30</v>
      </c>
      <c r="AE50" s="2923" t="s">
        <v>35</v>
      </c>
      <c r="AF50" s="2152" t="s">
        <v>31</v>
      </c>
      <c r="AG50" s="904" t="s">
        <v>36</v>
      </c>
      <c r="AH50" s="681"/>
      <c r="AI50" s="676"/>
      <c r="AJ50" s="3017"/>
      <c r="AK50" s="3018"/>
      <c r="AL50" s="2917"/>
      <c r="AM50" s="2918">
        <f t="shared" si="2"/>
        <v>0</v>
      </c>
      <c r="AN50" s="2629"/>
      <c r="AO50" s="2631"/>
      <c r="AQ50" s="2367">
        <f t="shared" si="3"/>
        <v>0</v>
      </c>
      <c r="AR50" s="2367">
        <f t="shared" si="4"/>
        <v>0</v>
      </c>
      <c r="AS50" s="123" t="str">
        <f t="shared" si="8"/>
        <v>미사용 랙</v>
      </c>
      <c r="AT50" t="str">
        <f t="shared" si="5"/>
        <v/>
      </c>
      <c r="AU50" t="str">
        <f t="shared" si="6"/>
        <v/>
      </c>
      <c r="AZ50" s="123"/>
      <c r="BA50" s="123"/>
      <c r="BB50" s="123"/>
      <c r="BC50" s="3103"/>
      <c r="BD50" s="123"/>
      <c r="BE50" s="3104"/>
      <c r="BF50" s="3105"/>
      <c r="BG50" s="3112"/>
      <c r="BH50" s="3106"/>
      <c r="BI50" s="3107"/>
      <c r="BJ50" s="3108"/>
      <c r="BK50" s="3109"/>
      <c r="BL50" s="3110"/>
    </row>
    <row r="51" spans="1:64" ht="46.8">
      <c r="A51" s="2924"/>
      <c r="B51" s="2149" t="s">
        <v>1961</v>
      </c>
      <c r="C51" s="2149"/>
      <c r="D51" s="3057" t="s">
        <v>9250</v>
      </c>
      <c r="E51" s="3062">
        <v>2.2000000000000002</v>
      </c>
      <c r="F51" s="2595" t="s">
        <v>27</v>
      </c>
      <c r="G51" s="2595"/>
      <c r="H51" s="1831" t="s">
        <v>8822</v>
      </c>
      <c r="I51" s="1839" t="s">
        <v>8823</v>
      </c>
      <c r="J51" s="1831" t="str">
        <f t="shared" si="12"/>
        <v>7-DaHall 1-PDU-01-30-48</v>
      </c>
      <c r="K51" s="1839" t="str">
        <f t="shared" si="13"/>
        <v>7-DaHall 1-PDU-02-30-48</v>
      </c>
      <c r="L51" s="1833">
        <v>220</v>
      </c>
      <c r="M51" s="1834">
        <v>30</v>
      </c>
      <c r="N51" s="703" t="s">
        <v>8749</v>
      </c>
      <c r="O51" s="1835">
        <v>48</v>
      </c>
      <c r="P51" s="1840">
        <v>220</v>
      </c>
      <c r="Q51" s="1841">
        <v>30</v>
      </c>
      <c r="R51" s="687" t="s">
        <v>8750</v>
      </c>
      <c r="S51" s="1842">
        <v>48</v>
      </c>
      <c r="T51" s="703" t="s">
        <v>8824</v>
      </c>
      <c r="U51" s="2934" t="s">
        <v>8825</v>
      </c>
      <c r="V51" s="2935"/>
      <c r="W51" s="2936"/>
      <c r="X51" s="2935"/>
      <c r="Y51" s="2936"/>
      <c r="Z51" s="2935"/>
      <c r="AA51" s="2936"/>
      <c r="AB51" s="2589" t="s">
        <v>8826</v>
      </c>
      <c r="AC51" s="2591" t="s">
        <v>165</v>
      </c>
      <c r="AD51" s="2589" t="s">
        <v>110</v>
      </c>
      <c r="AE51" s="2591" t="s">
        <v>111</v>
      </c>
      <c r="AF51" s="2152" t="s">
        <v>31</v>
      </c>
      <c r="AG51" s="904" t="s">
        <v>36</v>
      </c>
      <c r="AH51" s="681">
        <f>SUM('7층_부하량(월간_AVG)'!N86:P86)</f>
        <v>1.7783515337126403</v>
      </c>
      <c r="AI51" s="676">
        <f>SUM('7층_부하량(월간_AVG)'!N54:P54)</f>
        <v>1.9764362063733956</v>
      </c>
      <c r="AJ51" s="1301">
        <f t="shared" ref="AJ51" si="15">AH51+AI51</f>
        <v>3.7547877400860359</v>
      </c>
      <c r="AK51" s="2913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283.7</v>
      </c>
      <c r="AL51" s="2914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311.2</v>
      </c>
      <c r="AM51" s="2921">
        <f t="shared" si="2"/>
        <v>594.9</v>
      </c>
      <c r="AN51" s="2629" t="s">
        <v>8827</v>
      </c>
      <c r="AO51" s="2937" t="s">
        <v>8828</v>
      </c>
      <c r="AQ51" s="2367">
        <f t="shared" si="3"/>
        <v>0.79959677419354835</v>
      </c>
      <c r="AR51" s="2367">
        <f t="shared" si="4"/>
        <v>1.4004032258064518</v>
      </c>
      <c r="AS51" s="123" t="str">
        <f>IF(SIGN(AR51)&gt;=0,IF(AM51=0,"무부하 랙","적정함"),"사용초과")</f>
        <v>적정함</v>
      </c>
      <c r="AT51" t="str">
        <f t="shared" si="5"/>
        <v/>
      </c>
      <c r="AU51" t="str">
        <f t="shared" si="6"/>
        <v/>
      </c>
      <c r="AZ51" s="123"/>
      <c r="BA51" s="123"/>
      <c r="BB51" s="123"/>
      <c r="BC51" s="3103"/>
      <c r="BD51" s="123"/>
      <c r="BE51" s="3104"/>
      <c r="BF51" s="3105"/>
      <c r="BG51" s="3112"/>
      <c r="BH51" s="3106"/>
      <c r="BI51" s="3107"/>
      <c r="BJ51" s="3108"/>
      <c r="BK51" s="3109"/>
      <c r="BL51" s="3110"/>
    </row>
    <row r="52" spans="1:64" ht="54" customHeight="1">
      <c r="A52" s="2924"/>
      <c r="B52" s="2595" t="s">
        <v>720</v>
      </c>
      <c r="C52" s="2147" t="s">
        <v>721</v>
      </c>
      <c r="D52" s="2595" t="s">
        <v>722</v>
      </c>
      <c r="E52" s="2595"/>
      <c r="F52" s="2595"/>
      <c r="G52" s="2595" t="s">
        <v>27</v>
      </c>
      <c r="H52" s="1811" t="s">
        <v>8829</v>
      </c>
      <c r="I52" s="1843" t="s">
        <v>8830</v>
      </c>
      <c r="J52" s="1811" t="str">
        <f t="shared" si="12"/>
        <v>7-DaHall 1-A-3-50-41</v>
      </c>
      <c r="K52" s="1843" t="str">
        <f t="shared" si="13"/>
        <v>7-DaHall 1-B-3-50-41</v>
      </c>
      <c r="L52" s="1813">
        <v>48</v>
      </c>
      <c r="M52" s="1814">
        <v>50</v>
      </c>
      <c r="N52" s="2626" t="s">
        <v>181</v>
      </c>
      <c r="O52" s="1815">
        <v>41</v>
      </c>
      <c r="P52" s="1853">
        <v>48</v>
      </c>
      <c r="Q52" s="1854">
        <v>50</v>
      </c>
      <c r="R52" s="2609" t="s">
        <v>182</v>
      </c>
      <c r="S52" s="1844">
        <v>41</v>
      </c>
      <c r="T52" s="2626" t="s">
        <v>723</v>
      </c>
      <c r="U52" s="2609" t="s">
        <v>724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3017"/>
      <c r="AK52" s="3018"/>
      <c r="AL52" s="2917"/>
      <c r="AM52" s="2918">
        <f t="shared" si="2"/>
        <v>0</v>
      </c>
      <c r="AN52" s="2629"/>
      <c r="AO52" s="2631"/>
      <c r="AQ52" s="2367">
        <f t="shared" si="3"/>
        <v>0</v>
      </c>
      <c r="AR52" s="2367">
        <f t="shared" si="4"/>
        <v>0</v>
      </c>
      <c r="AS52" s="123" t="str">
        <f t="shared" si="8"/>
        <v>미사용 랙</v>
      </c>
      <c r="AT52" t="str">
        <f t="shared" si="5"/>
        <v/>
      </c>
      <c r="AU52" t="str">
        <f t="shared" si="6"/>
        <v/>
      </c>
      <c r="AZ52" s="123"/>
      <c r="BA52" s="123"/>
      <c r="BB52" s="123"/>
      <c r="BC52" s="3103"/>
      <c r="BD52" s="123"/>
      <c r="BE52" s="3104"/>
      <c r="BF52" s="3105"/>
      <c r="BG52" s="3112"/>
      <c r="BH52" s="3106"/>
      <c r="BI52" s="3107"/>
      <c r="BJ52" s="3108"/>
      <c r="BK52" s="3109"/>
      <c r="BL52" s="3110"/>
    </row>
    <row r="53" spans="1:64" ht="54" customHeight="1">
      <c r="A53" s="2924"/>
      <c r="B53" s="2595" t="s">
        <v>715</v>
      </c>
      <c r="C53" s="2147" t="s">
        <v>716</v>
      </c>
      <c r="D53" s="2595" t="s">
        <v>717</v>
      </c>
      <c r="E53" s="2595"/>
      <c r="F53" s="2595"/>
      <c r="G53" s="2595" t="s">
        <v>27</v>
      </c>
      <c r="H53" s="1811" t="s">
        <v>8831</v>
      </c>
      <c r="I53" s="1843" t="s">
        <v>8832</v>
      </c>
      <c r="J53" s="1811" t="str">
        <f t="shared" si="12"/>
        <v>7-DaHall 1-A-3-50-10</v>
      </c>
      <c r="K53" s="1843" t="str">
        <f t="shared" si="13"/>
        <v>7-DaHall 1-B-3-50-10</v>
      </c>
      <c r="L53" s="1813">
        <v>48</v>
      </c>
      <c r="M53" s="1814">
        <v>50</v>
      </c>
      <c r="N53" s="2626" t="s">
        <v>181</v>
      </c>
      <c r="O53" s="1815">
        <v>10</v>
      </c>
      <c r="P53" s="1853">
        <v>48</v>
      </c>
      <c r="Q53" s="1854">
        <v>50</v>
      </c>
      <c r="R53" s="2609" t="s">
        <v>182</v>
      </c>
      <c r="S53" s="1844">
        <v>10</v>
      </c>
      <c r="T53" s="2626" t="s">
        <v>718</v>
      </c>
      <c r="U53" s="2609" t="s">
        <v>719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3017"/>
      <c r="AK53" s="3018"/>
      <c r="AL53" s="2917"/>
      <c r="AM53" s="2918">
        <f t="shared" si="2"/>
        <v>0</v>
      </c>
      <c r="AN53" s="2629"/>
      <c r="AO53" s="2631"/>
      <c r="AQ53" s="2367">
        <f t="shared" si="3"/>
        <v>0</v>
      </c>
      <c r="AR53" s="2367">
        <f t="shared" si="4"/>
        <v>0</v>
      </c>
      <c r="AS53" s="123" t="str">
        <f t="shared" si="8"/>
        <v>미사용 랙</v>
      </c>
      <c r="AT53" t="str">
        <f t="shared" si="5"/>
        <v/>
      </c>
      <c r="AU53" t="str">
        <f t="shared" si="6"/>
        <v/>
      </c>
      <c r="AZ53" s="123"/>
      <c r="BA53" s="123"/>
      <c r="BB53" s="123"/>
      <c r="BC53" s="3103"/>
      <c r="BD53" s="123"/>
      <c r="BE53" s="3104"/>
      <c r="BF53" s="3105"/>
      <c r="BG53" s="3112"/>
      <c r="BH53" s="3106"/>
      <c r="BI53" s="3107"/>
      <c r="BJ53" s="3108"/>
      <c r="BK53" s="3109"/>
      <c r="BL53" s="3110"/>
    </row>
    <row r="54" spans="1:64" ht="54" customHeight="1">
      <c r="A54" s="2924"/>
      <c r="B54" s="2595" t="s">
        <v>710</v>
      </c>
      <c r="C54" s="2147" t="s">
        <v>711</v>
      </c>
      <c r="D54" s="2595" t="s">
        <v>712</v>
      </c>
      <c r="E54" s="2595"/>
      <c r="F54" s="2595"/>
      <c r="G54" s="2595" t="s">
        <v>27</v>
      </c>
      <c r="H54" s="1811" t="s">
        <v>8833</v>
      </c>
      <c r="I54" s="1843" t="s">
        <v>8834</v>
      </c>
      <c r="J54" s="1811" t="str">
        <f t="shared" si="12"/>
        <v>7-DaHall 1-A-3-50-7</v>
      </c>
      <c r="K54" s="1843" t="str">
        <f t="shared" si="13"/>
        <v>7-DaHall 1-B-3-50-7</v>
      </c>
      <c r="L54" s="1813">
        <v>48</v>
      </c>
      <c r="M54" s="1814">
        <v>50</v>
      </c>
      <c r="N54" s="2626" t="s">
        <v>181</v>
      </c>
      <c r="O54" s="1815">
        <v>7</v>
      </c>
      <c r="P54" s="1853">
        <v>48</v>
      </c>
      <c r="Q54" s="1854">
        <v>50</v>
      </c>
      <c r="R54" s="2609" t="s">
        <v>182</v>
      </c>
      <c r="S54" s="1844">
        <v>7</v>
      </c>
      <c r="T54" s="2626" t="s">
        <v>713</v>
      </c>
      <c r="U54" s="2609" t="s">
        <v>714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3017"/>
      <c r="AK54" s="3018"/>
      <c r="AL54" s="2917"/>
      <c r="AM54" s="2918">
        <f t="shared" si="2"/>
        <v>0</v>
      </c>
      <c r="AN54" s="2629"/>
      <c r="AO54" s="2631"/>
      <c r="AQ54" s="2367">
        <f t="shared" si="3"/>
        <v>0</v>
      </c>
      <c r="AR54" s="2367">
        <f t="shared" si="4"/>
        <v>0</v>
      </c>
      <c r="AS54" s="123" t="str">
        <f t="shared" si="8"/>
        <v>미사용 랙</v>
      </c>
      <c r="AT54" t="str">
        <f t="shared" si="5"/>
        <v/>
      </c>
      <c r="AU54" t="str">
        <f t="shared" si="6"/>
        <v/>
      </c>
      <c r="AZ54" s="123"/>
      <c r="BA54" s="123"/>
      <c r="BB54" s="123"/>
      <c r="BC54" s="3103"/>
      <c r="BD54" s="123"/>
      <c r="BE54" s="3104"/>
      <c r="BF54" s="3105"/>
      <c r="BG54" s="3112"/>
      <c r="BH54" s="3106"/>
      <c r="BI54" s="3107"/>
      <c r="BJ54" s="3108"/>
      <c r="BK54" s="3109"/>
      <c r="BL54" s="3110"/>
    </row>
    <row r="55" spans="1:64" ht="54" customHeight="1">
      <c r="A55" s="2924"/>
      <c r="B55" s="2595" t="s">
        <v>705</v>
      </c>
      <c r="C55" s="2147" t="s">
        <v>706</v>
      </c>
      <c r="D55" s="2595" t="s">
        <v>707</v>
      </c>
      <c r="E55" s="2595"/>
      <c r="F55" s="2595"/>
      <c r="G55" s="2595" t="s">
        <v>27</v>
      </c>
      <c r="H55" s="1811" t="s">
        <v>8835</v>
      </c>
      <c r="I55" s="1843" t="s">
        <v>8836</v>
      </c>
      <c r="J55" s="1811" t="str">
        <f t="shared" si="12"/>
        <v>7-DaHall 1-A-3-50-6</v>
      </c>
      <c r="K55" s="1843" t="str">
        <f t="shared" si="13"/>
        <v>7-DaHall 1-B-3-50-6</v>
      </c>
      <c r="L55" s="1813">
        <v>48</v>
      </c>
      <c r="M55" s="1814">
        <v>50</v>
      </c>
      <c r="N55" s="2626" t="s">
        <v>181</v>
      </c>
      <c r="O55" s="1815">
        <v>6</v>
      </c>
      <c r="P55" s="1853">
        <v>48</v>
      </c>
      <c r="Q55" s="1854">
        <v>50</v>
      </c>
      <c r="R55" s="2609" t="s">
        <v>182</v>
      </c>
      <c r="S55" s="1844">
        <v>6</v>
      </c>
      <c r="T55" s="2626" t="s">
        <v>708</v>
      </c>
      <c r="U55" s="2609" t="s">
        <v>709</v>
      </c>
      <c r="V55" s="2152" t="s">
        <v>185</v>
      </c>
      <c r="W55" s="904" t="s">
        <v>186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3017"/>
      <c r="AK55" s="3018"/>
      <c r="AL55" s="2917"/>
      <c r="AM55" s="2918">
        <f t="shared" si="2"/>
        <v>0</v>
      </c>
      <c r="AN55" s="2629"/>
      <c r="AO55" s="2631"/>
      <c r="AQ55" s="2367">
        <f t="shared" si="3"/>
        <v>0</v>
      </c>
      <c r="AR55" s="2367">
        <f t="shared" si="4"/>
        <v>0</v>
      </c>
      <c r="AS55" s="123" t="str">
        <f t="shared" si="8"/>
        <v>미사용 랙</v>
      </c>
      <c r="AT55" t="str">
        <f t="shared" si="5"/>
        <v/>
      </c>
      <c r="AU55" t="str">
        <f t="shared" si="6"/>
        <v/>
      </c>
      <c r="AZ55" s="123"/>
      <c r="BA55" s="123"/>
      <c r="BB55" s="123"/>
      <c r="BC55" s="3103"/>
      <c r="BD55" s="123"/>
      <c r="BE55" s="3104"/>
      <c r="BF55" s="3105"/>
      <c r="BG55" s="3112"/>
      <c r="BH55" s="3106"/>
      <c r="BI55" s="3107"/>
      <c r="BJ55" s="3108"/>
      <c r="BK55" s="3109"/>
      <c r="BL55" s="3110"/>
    </row>
    <row r="56" spans="1:64" ht="54" customHeight="1">
      <c r="A56" s="2924"/>
      <c r="B56" s="2595" t="s">
        <v>700</v>
      </c>
      <c r="C56" s="2147" t="s">
        <v>701</v>
      </c>
      <c r="D56" s="2595" t="s">
        <v>702</v>
      </c>
      <c r="E56" s="2595"/>
      <c r="F56" s="2595"/>
      <c r="G56" s="2595" t="s">
        <v>27</v>
      </c>
      <c r="H56" s="1811" t="s">
        <v>8837</v>
      </c>
      <c r="I56" s="1843" t="s">
        <v>8838</v>
      </c>
      <c r="J56" s="1811" t="str">
        <f t="shared" si="12"/>
        <v>7-DaHall 1-A-3-50-5</v>
      </c>
      <c r="K56" s="1843" t="str">
        <f t="shared" si="13"/>
        <v>7-DaHall 1-B-3-50-5</v>
      </c>
      <c r="L56" s="1813">
        <v>48</v>
      </c>
      <c r="M56" s="1814">
        <v>50</v>
      </c>
      <c r="N56" s="2626" t="s">
        <v>181</v>
      </c>
      <c r="O56" s="1815">
        <v>5</v>
      </c>
      <c r="P56" s="1853">
        <v>48</v>
      </c>
      <c r="Q56" s="1854">
        <v>50</v>
      </c>
      <c r="R56" s="2609" t="s">
        <v>182</v>
      </c>
      <c r="S56" s="1844">
        <v>5</v>
      </c>
      <c r="T56" s="2626" t="s">
        <v>703</v>
      </c>
      <c r="U56" s="2609" t="s">
        <v>704</v>
      </c>
      <c r="V56" s="2152" t="s">
        <v>185</v>
      </c>
      <c r="W56" s="904" t="s">
        <v>186</v>
      </c>
      <c r="X56" s="2152" t="s">
        <v>435</v>
      </c>
      <c r="Y56" s="904" t="s">
        <v>436</v>
      </c>
      <c r="Z56" s="2152" t="s">
        <v>49</v>
      </c>
      <c r="AA56" s="904" t="s">
        <v>50</v>
      </c>
      <c r="AB56" s="2152" t="s">
        <v>51</v>
      </c>
      <c r="AC56" s="904" t="s">
        <v>52</v>
      </c>
      <c r="AD56" s="2152" t="s">
        <v>30</v>
      </c>
      <c r="AE56" s="904" t="s">
        <v>35</v>
      </c>
      <c r="AF56" s="2152" t="s">
        <v>31</v>
      </c>
      <c r="AG56" s="904" t="s">
        <v>36</v>
      </c>
      <c r="AH56" s="681"/>
      <c r="AI56" s="676"/>
      <c r="AJ56" s="3017"/>
      <c r="AK56" s="3018"/>
      <c r="AL56" s="2917"/>
      <c r="AM56" s="2918">
        <f t="shared" si="2"/>
        <v>0</v>
      </c>
      <c r="AN56" s="2629"/>
      <c r="AO56" s="2631"/>
      <c r="AQ56" s="2367">
        <f t="shared" si="3"/>
        <v>0</v>
      </c>
      <c r="AR56" s="2367">
        <f t="shared" si="4"/>
        <v>0</v>
      </c>
      <c r="AS56" s="123" t="str">
        <f t="shared" si="8"/>
        <v>미사용 랙</v>
      </c>
      <c r="AT56" t="str">
        <f t="shared" si="5"/>
        <v/>
      </c>
      <c r="AU56" t="str">
        <f t="shared" si="6"/>
        <v/>
      </c>
      <c r="AZ56" s="123"/>
      <c r="BA56" s="123"/>
      <c r="BB56" s="123"/>
      <c r="BC56" s="3103"/>
      <c r="BD56" s="123"/>
      <c r="BE56" s="3104"/>
      <c r="BF56" s="3105"/>
      <c r="BG56" s="3112"/>
      <c r="BH56" s="3106"/>
      <c r="BI56" s="3107"/>
      <c r="BJ56" s="3108"/>
      <c r="BK56" s="3109"/>
      <c r="BL56" s="3110"/>
    </row>
    <row r="57" spans="1:64" ht="27" customHeight="1">
      <c r="A57" s="2924"/>
      <c r="B57" s="2595" t="s">
        <v>697</v>
      </c>
      <c r="C57" s="2595"/>
      <c r="D57" s="2595"/>
      <c r="E57" s="2595"/>
      <c r="F57" s="2595"/>
      <c r="G57" s="2595" t="s">
        <v>27</v>
      </c>
      <c r="H57" s="1811" t="s">
        <v>8839</v>
      </c>
      <c r="I57" s="1843" t="s">
        <v>8840</v>
      </c>
      <c r="J57" s="1811" t="str">
        <f t="shared" si="12"/>
        <v>7-DaHall 1-A-2-50-48</v>
      </c>
      <c r="K57" s="1843" t="str">
        <f t="shared" si="13"/>
        <v>7-DaHall 1-B-2-50-48</v>
      </c>
      <c r="L57" s="1813">
        <v>48</v>
      </c>
      <c r="M57" s="1814">
        <v>50</v>
      </c>
      <c r="N57" s="2626" t="s">
        <v>41</v>
      </c>
      <c r="O57" s="1815">
        <v>48</v>
      </c>
      <c r="P57" s="1853">
        <v>48</v>
      </c>
      <c r="Q57" s="1854">
        <v>50</v>
      </c>
      <c r="R57" s="2609" t="s">
        <v>42</v>
      </c>
      <c r="S57" s="1844">
        <v>48</v>
      </c>
      <c r="T57" s="2626" t="s">
        <v>698</v>
      </c>
      <c r="U57" s="2609" t="s">
        <v>699</v>
      </c>
      <c r="V57" s="2589" t="s">
        <v>45</v>
      </c>
      <c r="W57" s="2591" t="s">
        <v>46</v>
      </c>
      <c r="X57" s="2152" t="s">
        <v>435</v>
      </c>
      <c r="Y57" s="904" t="s">
        <v>436</v>
      </c>
      <c r="Z57" s="2152" t="s">
        <v>49</v>
      </c>
      <c r="AA57" s="904" t="s">
        <v>50</v>
      </c>
      <c r="AB57" s="2152" t="s">
        <v>51</v>
      </c>
      <c r="AC57" s="904" t="s">
        <v>52</v>
      </c>
      <c r="AD57" s="2152" t="s">
        <v>30</v>
      </c>
      <c r="AE57" s="904" t="s">
        <v>35</v>
      </c>
      <c r="AF57" s="2152" t="s">
        <v>31</v>
      </c>
      <c r="AG57" s="904" t="s">
        <v>36</v>
      </c>
      <c r="AH57" s="681"/>
      <c r="AI57" s="676"/>
      <c r="AJ57" s="3017"/>
      <c r="AK57" s="3018"/>
      <c r="AL57" s="2917"/>
      <c r="AM57" s="2918">
        <f t="shared" si="2"/>
        <v>0</v>
      </c>
      <c r="AN57" s="2629" t="s">
        <v>531</v>
      </c>
      <c r="AO57" s="2631"/>
      <c r="AQ57" s="2367">
        <f t="shared" si="3"/>
        <v>0</v>
      </c>
      <c r="AR57" s="2367">
        <f t="shared" si="4"/>
        <v>0</v>
      </c>
      <c r="AS57" s="123" t="str">
        <f t="shared" si="8"/>
        <v>미사용 랙</v>
      </c>
      <c r="AT57" t="str">
        <f t="shared" si="5"/>
        <v/>
      </c>
      <c r="AU57" t="str">
        <f t="shared" si="6"/>
        <v/>
      </c>
      <c r="AZ57" s="123"/>
      <c r="BA57" s="123"/>
      <c r="BB57" s="123"/>
      <c r="BC57" s="3103"/>
      <c r="BD57" s="123"/>
      <c r="BE57" s="3104"/>
      <c r="BF57" s="3105"/>
      <c r="BG57" s="3112"/>
      <c r="BH57" s="3106"/>
      <c r="BI57" s="3107"/>
      <c r="BJ57" s="3108"/>
      <c r="BK57" s="3109"/>
      <c r="BL57" s="3110"/>
    </row>
    <row r="58" spans="1:64" ht="54" customHeight="1">
      <c r="A58" s="2924"/>
      <c r="B58" s="3217" t="s">
        <v>689</v>
      </c>
      <c r="C58" s="3239"/>
      <c r="D58" s="3239" t="s">
        <v>9249</v>
      </c>
      <c r="E58" s="2980"/>
      <c r="F58" s="2595"/>
      <c r="G58" s="2595" t="s">
        <v>27</v>
      </c>
      <c r="H58" s="1811" t="s">
        <v>8841</v>
      </c>
      <c r="I58" s="1843" t="s">
        <v>8842</v>
      </c>
      <c r="J58" s="1811" t="str">
        <f t="shared" si="12"/>
        <v>7-DaHall 1-A-2-35-47</v>
      </c>
      <c r="K58" s="1843" t="str">
        <f t="shared" si="13"/>
        <v>7-DaHall 1-B-2-35-47</v>
      </c>
      <c r="L58" s="1813">
        <v>48</v>
      </c>
      <c r="M58" s="1814">
        <v>35</v>
      </c>
      <c r="N58" s="2626" t="s">
        <v>41</v>
      </c>
      <c r="O58" s="1815">
        <v>47</v>
      </c>
      <c r="P58" s="1853">
        <v>48</v>
      </c>
      <c r="Q58" s="1854">
        <v>35</v>
      </c>
      <c r="R58" s="2609" t="s">
        <v>42</v>
      </c>
      <c r="S58" s="1844">
        <v>47</v>
      </c>
      <c r="T58" s="2626" t="s">
        <v>690</v>
      </c>
      <c r="U58" s="2609" t="s">
        <v>691</v>
      </c>
      <c r="V58" s="2589" t="s">
        <v>45</v>
      </c>
      <c r="W58" s="2591" t="s">
        <v>46</v>
      </c>
      <c r="X58" s="2589" t="s">
        <v>435</v>
      </c>
      <c r="Y58" s="2591" t="s">
        <v>436</v>
      </c>
      <c r="Z58" s="2589" t="s">
        <v>49</v>
      </c>
      <c r="AA58" s="2591" t="s">
        <v>50</v>
      </c>
      <c r="AB58" s="2589" t="s">
        <v>51</v>
      </c>
      <c r="AC58" s="2591" t="s">
        <v>52</v>
      </c>
      <c r="AD58" s="2589" t="s">
        <v>30</v>
      </c>
      <c r="AE58" s="2591" t="s">
        <v>35</v>
      </c>
      <c r="AF58" s="2626" t="s">
        <v>31</v>
      </c>
      <c r="AG58" s="2609" t="s">
        <v>36</v>
      </c>
      <c r="AH58" s="694"/>
      <c r="AI58" s="676"/>
      <c r="AJ58" s="3017"/>
      <c r="AK58" s="3018"/>
      <c r="AL58" s="2917"/>
      <c r="AM58" s="2918">
        <f t="shared" si="2"/>
        <v>0</v>
      </c>
      <c r="AN58" s="2619" t="s">
        <v>692</v>
      </c>
      <c r="AO58" s="2616" t="s">
        <v>693</v>
      </c>
      <c r="AQ58" s="2367">
        <f t="shared" si="3"/>
        <v>0</v>
      </c>
      <c r="AR58" s="2367">
        <f t="shared" si="4"/>
        <v>0</v>
      </c>
      <c r="AS58" s="123" t="str">
        <f t="shared" si="8"/>
        <v>미사용 랙</v>
      </c>
      <c r="AT58" t="str">
        <f t="shared" si="5"/>
        <v/>
      </c>
      <c r="AU58" t="str">
        <f t="shared" si="6"/>
        <v/>
      </c>
      <c r="AZ58" s="123"/>
      <c r="BA58" s="123"/>
      <c r="BB58" s="123"/>
      <c r="BC58" s="3103"/>
      <c r="BD58" s="123"/>
      <c r="BE58" s="3104"/>
      <c r="BF58" s="3105"/>
      <c r="BG58" s="3112"/>
      <c r="BH58" s="3106"/>
      <c r="BI58" s="3107"/>
      <c r="BJ58" s="3108"/>
      <c r="BK58" s="3109"/>
      <c r="BL58" s="3110"/>
    </row>
    <row r="59" spans="1:64" ht="62.4">
      <c r="A59" s="2924"/>
      <c r="B59" s="3249"/>
      <c r="C59" s="3251"/>
      <c r="D59" s="3251"/>
      <c r="E59" s="2979"/>
      <c r="F59" s="2595" t="s">
        <v>27</v>
      </c>
      <c r="G59" s="2595"/>
      <c r="H59" s="1863"/>
      <c r="I59" s="1857"/>
      <c r="J59" s="1863"/>
      <c r="K59" s="1857"/>
      <c r="L59" s="1864"/>
      <c r="M59" s="941"/>
      <c r="N59" s="941"/>
      <c r="O59" s="1865"/>
      <c r="P59" s="1858"/>
      <c r="Q59" s="1848"/>
      <c r="R59" s="897"/>
      <c r="S59" s="1849"/>
      <c r="T59" s="941" t="s">
        <v>694</v>
      </c>
      <c r="U59" s="897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7"/>
      <c r="AG59" s="897"/>
      <c r="AH59" s="950"/>
      <c r="AI59" s="952"/>
      <c r="AJ59" s="1312"/>
      <c r="AK59" s="2930"/>
      <c r="AL59" s="2914"/>
      <c r="AM59" s="2927">
        <f t="shared" si="2"/>
        <v>0</v>
      </c>
      <c r="AN59" s="2938"/>
      <c r="AO59" s="2933"/>
      <c r="AQ59" s="2367">
        <f t="shared" si="3"/>
        <v>0</v>
      </c>
      <c r="AR59" s="2367">
        <f t="shared" si="4"/>
        <v>0</v>
      </c>
      <c r="AS59" s="123" t="str">
        <f>IF(SIGN(AR59)&gt;=0,IF(AM59=0,"무부하 랙","적정함"),"사용초과")</f>
        <v>무부하 랙</v>
      </c>
      <c r="AT59" t="str">
        <f t="shared" si="5"/>
        <v/>
      </c>
      <c r="AU59" t="str">
        <f t="shared" si="6"/>
        <v/>
      </c>
      <c r="AZ59" s="123"/>
      <c r="BA59" s="123"/>
      <c r="BB59" s="123"/>
      <c r="BC59" s="3103"/>
      <c r="BD59" s="123"/>
      <c r="BE59" s="3104"/>
      <c r="BF59" s="3105"/>
      <c r="BG59" s="3112"/>
      <c r="BH59" s="3106"/>
      <c r="BI59" s="3107"/>
      <c r="BJ59" s="3108"/>
      <c r="BK59" s="3109"/>
      <c r="BL59" s="3110"/>
    </row>
    <row r="60" spans="1:64" ht="54" customHeight="1">
      <c r="A60" s="2924"/>
      <c r="B60" s="3218"/>
      <c r="C60" s="3251"/>
      <c r="D60" s="3251"/>
      <c r="E60" s="2979"/>
      <c r="F60" s="2595"/>
      <c r="G60" s="2595" t="s">
        <v>27</v>
      </c>
      <c r="H60" s="1811" t="s">
        <v>8843</v>
      </c>
      <c r="I60" s="1843" t="s">
        <v>8844</v>
      </c>
      <c r="J60" s="1811" t="str">
        <f>"7-DaHall 1-"&amp;N60&amp;"-"&amp;M60&amp;"-"&amp;O60</f>
        <v>7-DaHall 1-A-2-35-53</v>
      </c>
      <c r="K60" s="1843" t="str">
        <f>"7-DaHall 1-"&amp;R60&amp;"-"&amp;Q60&amp;"-"&amp;S60</f>
        <v>7-DaHall 1-B-2-35-53</v>
      </c>
      <c r="L60" s="1813">
        <v>48</v>
      </c>
      <c r="M60" s="1814">
        <v>35</v>
      </c>
      <c r="N60" s="2626" t="s">
        <v>41</v>
      </c>
      <c r="O60" s="1815">
        <v>53</v>
      </c>
      <c r="P60" s="1853">
        <v>48</v>
      </c>
      <c r="Q60" s="1854">
        <v>35</v>
      </c>
      <c r="R60" s="2609" t="s">
        <v>42</v>
      </c>
      <c r="S60" s="1844">
        <v>53</v>
      </c>
      <c r="T60" s="2626" t="s">
        <v>695</v>
      </c>
      <c r="U60" s="2609" t="s">
        <v>696</v>
      </c>
      <c r="V60" s="2589" t="s">
        <v>45</v>
      </c>
      <c r="W60" s="2591" t="s">
        <v>46</v>
      </c>
      <c r="X60" s="2589" t="s">
        <v>435</v>
      </c>
      <c r="Y60" s="2591" t="s">
        <v>436</v>
      </c>
      <c r="Z60" s="2589" t="s">
        <v>49</v>
      </c>
      <c r="AA60" s="2591" t="s">
        <v>50</v>
      </c>
      <c r="AB60" s="2589" t="s">
        <v>51</v>
      </c>
      <c r="AC60" s="2591" t="s">
        <v>52</v>
      </c>
      <c r="AD60" s="2589" t="s">
        <v>30</v>
      </c>
      <c r="AE60" s="2591" t="s">
        <v>35</v>
      </c>
      <c r="AF60" s="2626" t="s">
        <v>31</v>
      </c>
      <c r="AG60" s="2609" t="s">
        <v>36</v>
      </c>
      <c r="AH60" s="694"/>
      <c r="AI60" s="686"/>
      <c r="AJ60" s="3017"/>
      <c r="AK60" s="3018"/>
      <c r="AL60" s="2917"/>
      <c r="AM60" s="2918">
        <f t="shared" si="2"/>
        <v>0</v>
      </c>
      <c r="AN60" s="2623"/>
      <c r="AO60" s="2618"/>
      <c r="AQ60" s="2367">
        <f t="shared" si="3"/>
        <v>0</v>
      </c>
      <c r="AR60" s="2367">
        <f t="shared" si="4"/>
        <v>0</v>
      </c>
      <c r="AS60" s="123" t="str">
        <f t="shared" si="8"/>
        <v>미사용 랙</v>
      </c>
      <c r="AT60" t="str">
        <f t="shared" si="5"/>
        <v/>
      </c>
      <c r="AU60" t="str">
        <f t="shared" si="6"/>
        <v/>
      </c>
      <c r="AZ60" s="123"/>
      <c r="BA60" s="123"/>
      <c r="BB60" s="123"/>
      <c r="BC60" s="3103"/>
      <c r="BD60" s="123"/>
      <c r="BE60" s="3104"/>
      <c r="BF60" s="3105"/>
      <c r="BG60" s="3112"/>
      <c r="BH60" s="3106"/>
      <c r="BI60" s="3107"/>
      <c r="BJ60" s="3108"/>
      <c r="BK60" s="3109"/>
      <c r="BL60" s="3110"/>
    </row>
    <row r="61" spans="1:64" ht="54" customHeight="1">
      <c r="A61" s="2924"/>
      <c r="B61" s="3217" t="s">
        <v>685</v>
      </c>
      <c r="C61" s="3217"/>
      <c r="D61" s="3217" t="s">
        <v>9249</v>
      </c>
      <c r="E61" s="2600"/>
      <c r="F61" s="2595"/>
      <c r="G61" s="2595" t="s">
        <v>27</v>
      </c>
      <c r="H61" s="1811" t="s">
        <v>8845</v>
      </c>
      <c r="I61" s="1843" t="s">
        <v>8846</v>
      </c>
      <c r="J61" s="1811" t="str">
        <f>"7-DaHall 1-"&amp;N61&amp;"-"&amp;M61&amp;"-"&amp;O61</f>
        <v>7-DaHall 1-A-2-16-44</v>
      </c>
      <c r="K61" s="1843" t="str">
        <f>"7-DaHall 1-"&amp;R61&amp;"-"&amp;Q61&amp;"-"&amp;S61</f>
        <v>7-DaHall 1-B-2-16-46</v>
      </c>
      <c r="L61" s="1813">
        <v>48</v>
      </c>
      <c r="M61" s="1814">
        <v>16</v>
      </c>
      <c r="N61" s="2626" t="s">
        <v>41</v>
      </c>
      <c r="O61" s="1815">
        <v>44</v>
      </c>
      <c r="P61" s="1853">
        <v>48</v>
      </c>
      <c r="Q61" s="1854">
        <v>16</v>
      </c>
      <c r="R61" s="2609" t="s">
        <v>42</v>
      </c>
      <c r="S61" s="1844">
        <v>46</v>
      </c>
      <c r="T61" s="2626" t="s">
        <v>686</v>
      </c>
      <c r="U61" s="2609" t="s">
        <v>687</v>
      </c>
      <c r="V61" s="2589" t="s">
        <v>45</v>
      </c>
      <c r="W61" s="2591" t="s">
        <v>46</v>
      </c>
      <c r="X61" s="2589" t="s">
        <v>435</v>
      </c>
      <c r="Y61" s="2591" t="s">
        <v>436</v>
      </c>
      <c r="Z61" s="2589" t="s">
        <v>49</v>
      </c>
      <c r="AA61" s="2591" t="s">
        <v>50</v>
      </c>
      <c r="AB61" s="2152" t="s">
        <v>51</v>
      </c>
      <c r="AC61" s="2591" t="s">
        <v>52</v>
      </c>
      <c r="AD61" s="2152" t="s">
        <v>30</v>
      </c>
      <c r="AE61" s="2591" t="s">
        <v>35</v>
      </c>
      <c r="AF61" s="2152" t="s">
        <v>31</v>
      </c>
      <c r="AG61" s="2609" t="s">
        <v>36</v>
      </c>
      <c r="AH61" s="681"/>
      <c r="AI61" s="676"/>
      <c r="AJ61" s="3017"/>
      <c r="AK61" s="3018"/>
      <c r="AL61" s="2917"/>
      <c r="AM61" s="2918">
        <f t="shared" si="2"/>
        <v>0</v>
      </c>
      <c r="AN61" s="2619" t="s">
        <v>531</v>
      </c>
      <c r="AO61" s="2631"/>
      <c r="AQ61" s="2367">
        <f t="shared" si="3"/>
        <v>0</v>
      </c>
      <c r="AR61" s="2367">
        <f t="shared" si="4"/>
        <v>0</v>
      </c>
      <c r="AS61" s="123" t="str">
        <f t="shared" si="8"/>
        <v>미사용 랙</v>
      </c>
      <c r="AT61" t="str">
        <f t="shared" si="5"/>
        <v/>
      </c>
      <c r="AU61" t="str">
        <f t="shared" si="6"/>
        <v/>
      </c>
      <c r="AZ61" s="123"/>
      <c r="BA61" s="123"/>
      <c r="BB61" s="123"/>
      <c r="BC61" s="3103"/>
      <c r="BD61" s="123"/>
      <c r="BE61" s="3104"/>
      <c r="BF61" s="3105"/>
      <c r="BG61" s="3112"/>
      <c r="BH61" s="3106"/>
      <c r="BI61" s="3107"/>
      <c r="BJ61" s="3108"/>
      <c r="BK61" s="3109"/>
      <c r="BL61" s="3110"/>
    </row>
    <row r="62" spans="1:64" ht="62.4">
      <c r="A62" s="2924"/>
      <c r="B62" s="3218"/>
      <c r="C62" s="3218"/>
      <c r="D62" s="3218"/>
      <c r="E62" s="2601"/>
      <c r="F62" s="2595" t="s">
        <v>27</v>
      </c>
      <c r="G62" s="2595"/>
      <c r="H62" s="1863"/>
      <c r="I62" s="1857"/>
      <c r="J62" s="1863"/>
      <c r="K62" s="1857"/>
      <c r="L62" s="1864"/>
      <c r="M62" s="941"/>
      <c r="N62" s="941"/>
      <c r="O62" s="1865"/>
      <c r="P62" s="1858"/>
      <c r="Q62" s="1848"/>
      <c r="R62" s="897"/>
      <c r="S62" s="1849"/>
      <c r="T62" s="941" t="s">
        <v>688</v>
      </c>
      <c r="U62" s="897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7"/>
      <c r="AG62" s="897"/>
      <c r="AH62" s="950"/>
      <c r="AI62" s="952"/>
      <c r="AJ62" s="1312"/>
      <c r="AK62" s="2930"/>
      <c r="AL62" s="2914"/>
      <c r="AM62" s="2927">
        <f t="shared" si="2"/>
        <v>0</v>
      </c>
      <c r="AN62" s="2939"/>
      <c r="AO62" s="2616"/>
      <c r="AQ62" s="2367">
        <f t="shared" si="3"/>
        <v>0</v>
      </c>
      <c r="AR62" s="2367">
        <f t="shared" si="4"/>
        <v>0</v>
      </c>
      <c r="AS62" s="123" t="str">
        <f>IF(SIGN(AR62)&gt;=0,IF(AM62=0,"무부하 랙","적정함"),"사용초과")</f>
        <v>무부하 랙</v>
      </c>
      <c r="AT62" t="str">
        <f t="shared" si="5"/>
        <v/>
      </c>
      <c r="AU62" t="str">
        <f t="shared" si="6"/>
        <v/>
      </c>
      <c r="AZ62" s="123"/>
      <c r="BA62" s="123"/>
      <c r="BB62" s="123"/>
      <c r="BC62" s="3103"/>
      <c r="BD62" s="123"/>
      <c r="BE62" s="3104"/>
      <c r="BF62" s="3105"/>
      <c r="BG62" s="3112"/>
      <c r="BH62" s="3106"/>
      <c r="BI62" s="3107"/>
      <c r="BJ62" s="3108"/>
      <c r="BK62" s="3109"/>
      <c r="BL62" s="3110"/>
    </row>
    <row r="63" spans="1:64" ht="25.05" customHeight="1">
      <c r="A63" s="2924"/>
      <c r="B63" s="3217" t="s">
        <v>680</v>
      </c>
      <c r="C63" s="3217"/>
      <c r="D63" s="3261" t="s">
        <v>9249</v>
      </c>
      <c r="E63" s="2982"/>
      <c r="F63" s="2595"/>
      <c r="G63" s="2595" t="s">
        <v>27</v>
      </c>
      <c r="H63" s="1811" t="s">
        <v>8847</v>
      </c>
      <c r="I63" s="1843" t="s">
        <v>8848</v>
      </c>
      <c r="J63" s="1811" t="str">
        <f>"7-DaHall 1-"&amp;N63&amp;"-"&amp;M63&amp;"-"&amp;O63</f>
        <v>7-DaHall 1-A-2-35-58</v>
      </c>
      <c r="K63" s="1843" t="str">
        <f>"7-DaHall 1-"&amp;R63&amp;"-"&amp;Q63&amp;"-"&amp;S63</f>
        <v>7-DaHall 1-B-2-35-58</v>
      </c>
      <c r="L63" s="1813">
        <v>48</v>
      </c>
      <c r="M63" s="1814">
        <v>35</v>
      </c>
      <c r="N63" s="2626" t="s">
        <v>41</v>
      </c>
      <c r="O63" s="1815">
        <v>58</v>
      </c>
      <c r="P63" s="1853">
        <v>48</v>
      </c>
      <c r="Q63" s="1854">
        <v>35</v>
      </c>
      <c r="R63" s="2609" t="s">
        <v>42</v>
      </c>
      <c r="S63" s="1844">
        <v>58</v>
      </c>
      <c r="T63" s="2626" t="s">
        <v>681</v>
      </c>
      <c r="U63" s="2609" t="s">
        <v>682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3017"/>
      <c r="AK63" s="3018"/>
      <c r="AL63" s="2917"/>
      <c r="AM63" s="2918">
        <f t="shared" si="2"/>
        <v>0</v>
      </c>
      <c r="AN63" s="2619" t="s">
        <v>321</v>
      </c>
      <c r="AO63" s="2631"/>
      <c r="AQ63" s="2367">
        <f t="shared" si="3"/>
        <v>0</v>
      </c>
      <c r="AR63" s="2367">
        <f t="shared" si="4"/>
        <v>0</v>
      </c>
      <c r="AS63" s="123" t="str">
        <f t="shared" si="8"/>
        <v>미사용 랙</v>
      </c>
      <c r="AT63" t="str">
        <f t="shared" si="5"/>
        <v/>
      </c>
      <c r="AU63" t="str">
        <f t="shared" si="6"/>
        <v/>
      </c>
      <c r="AZ63" s="123"/>
      <c r="BA63" s="123"/>
      <c r="BB63" s="123"/>
      <c r="BC63" s="3103"/>
      <c r="BD63" s="123"/>
      <c r="BE63" s="3104"/>
      <c r="BF63" s="3105"/>
      <c r="BG63" s="3112"/>
      <c r="BH63" s="3106"/>
      <c r="BI63" s="3107"/>
      <c r="BJ63" s="3108"/>
      <c r="BK63" s="3109"/>
      <c r="BL63" s="3110"/>
    </row>
    <row r="64" spans="1:64" ht="62.4">
      <c r="A64" s="2924"/>
      <c r="B64" s="3218"/>
      <c r="C64" s="3218"/>
      <c r="D64" s="3218"/>
      <c r="E64" s="3062">
        <v>2.2000000000000002</v>
      </c>
      <c r="F64" s="2595" t="s">
        <v>27</v>
      </c>
      <c r="G64" s="2595"/>
      <c r="H64" s="1831" t="s">
        <v>8849</v>
      </c>
      <c r="I64" s="1857"/>
      <c r="J64" s="1831" t="str">
        <f>"7-DaHall 1-"&amp;N64&amp;"-"&amp;M64&amp;"-"&amp;O64</f>
        <v>7-DaHall 1-RPP-01-20-7</v>
      </c>
      <c r="K64" s="1857"/>
      <c r="L64" s="1833">
        <v>220</v>
      </c>
      <c r="M64" s="1834">
        <v>20</v>
      </c>
      <c r="N64" s="703" t="s">
        <v>8775</v>
      </c>
      <c r="O64" s="1835">
        <v>7</v>
      </c>
      <c r="P64" s="1858"/>
      <c r="Q64" s="1848"/>
      <c r="R64" s="897"/>
      <c r="S64" s="1849"/>
      <c r="T64" s="703" t="s">
        <v>683</v>
      </c>
      <c r="U64" s="897"/>
      <c r="V64" s="2626" t="s">
        <v>684</v>
      </c>
      <c r="W64" s="898"/>
      <c r="X64" s="2626" t="s">
        <v>450</v>
      </c>
      <c r="Y64" s="898"/>
      <c r="Z64" s="2626" t="s">
        <v>451</v>
      </c>
      <c r="AA64" s="898"/>
      <c r="AB64" s="2152" t="s">
        <v>51</v>
      </c>
      <c r="AC64" s="898"/>
      <c r="AD64" s="2152" t="s">
        <v>30</v>
      </c>
      <c r="AE64" s="898"/>
      <c r="AF64" s="2152" t="s">
        <v>31</v>
      </c>
      <c r="AG64" s="897"/>
      <c r="AH64" s="681">
        <f>SUM('7층_부하량(월간_AVG)'!D9:F9)</f>
        <v>0</v>
      </c>
      <c r="AI64" s="923"/>
      <c r="AJ64" s="1301">
        <f>AH64+AI64</f>
        <v>0</v>
      </c>
      <c r="AK64" s="2913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0</v>
      </c>
      <c r="AL64" s="2914"/>
      <c r="AM64" s="2921">
        <f t="shared" si="2"/>
        <v>0</v>
      </c>
      <c r="AN64" s="2939"/>
      <c r="AO64" s="2631"/>
      <c r="AQ64" s="2367">
        <f t="shared" si="3"/>
        <v>0</v>
      </c>
      <c r="AR64" s="2367">
        <f t="shared" si="4"/>
        <v>2.2000000000000002</v>
      </c>
      <c r="AS64" s="123" t="str">
        <f>IF(SIGN(AR64)&gt;=0,IF(AM64=0,"무부하 랙","적정함"),"사용초과")</f>
        <v>무부하 랙</v>
      </c>
      <c r="AT64" t="str">
        <f t="shared" si="5"/>
        <v/>
      </c>
      <c r="AU64" t="str">
        <f t="shared" si="6"/>
        <v/>
      </c>
      <c r="AZ64" s="123"/>
      <c r="BA64" s="123"/>
      <c r="BB64" s="123"/>
      <c r="BC64" s="3103"/>
      <c r="BD64" s="123"/>
      <c r="BE64" s="3104"/>
      <c r="BF64" s="3105"/>
      <c r="BG64" s="3112"/>
      <c r="BH64" s="3106"/>
      <c r="BI64" s="3107"/>
      <c r="BJ64" s="3108"/>
      <c r="BK64" s="3109"/>
      <c r="BL64" s="3110"/>
    </row>
    <row r="65" spans="1:64" ht="25.05" customHeight="1">
      <c r="A65" s="2924"/>
      <c r="B65" s="2595" t="s">
        <v>675</v>
      </c>
      <c r="C65" s="2147" t="s">
        <v>676</v>
      </c>
      <c r="D65" s="2595" t="s">
        <v>677</v>
      </c>
      <c r="E65" s="2595"/>
      <c r="F65" s="2595"/>
      <c r="G65" s="2595" t="s">
        <v>27</v>
      </c>
      <c r="H65" s="1811" t="s">
        <v>8850</v>
      </c>
      <c r="I65" s="1843" t="s">
        <v>8851</v>
      </c>
      <c r="J65" s="1811" t="str">
        <f>"7-DaHall 1-"&amp;N65&amp;"-"&amp;M65&amp;"-"&amp;O65</f>
        <v>7-DaHall 1-A-2-50-23</v>
      </c>
      <c r="K65" s="1843" t="str">
        <f>"7-DaHall 1-"&amp;R65&amp;"-"&amp;Q65&amp;"-"&amp;S65</f>
        <v>7-DaHall 1-B-2-50-23</v>
      </c>
      <c r="L65" s="1813">
        <v>48</v>
      </c>
      <c r="M65" s="1814">
        <v>50</v>
      </c>
      <c r="N65" s="2626" t="s">
        <v>41</v>
      </c>
      <c r="O65" s="1815">
        <v>23</v>
      </c>
      <c r="P65" s="1853">
        <v>48</v>
      </c>
      <c r="Q65" s="1854">
        <v>50</v>
      </c>
      <c r="R65" s="2609" t="s">
        <v>42</v>
      </c>
      <c r="S65" s="1844">
        <v>23</v>
      </c>
      <c r="T65" s="2626" t="s">
        <v>678</v>
      </c>
      <c r="U65" s="2609" t="s">
        <v>679</v>
      </c>
      <c r="V65" s="2152" t="s">
        <v>45</v>
      </c>
      <c r="W65" s="904" t="s">
        <v>46</v>
      </c>
      <c r="X65" s="2152" t="s">
        <v>435</v>
      </c>
      <c r="Y65" s="904" t="s">
        <v>436</v>
      </c>
      <c r="Z65" s="2152" t="s">
        <v>49</v>
      </c>
      <c r="AA65" s="904" t="s">
        <v>50</v>
      </c>
      <c r="AB65" s="2152" t="s">
        <v>51</v>
      </c>
      <c r="AC65" s="904" t="s">
        <v>52</v>
      </c>
      <c r="AD65" s="2152" t="s">
        <v>30</v>
      </c>
      <c r="AE65" s="904" t="s">
        <v>35</v>
      </c>
      <c r="AF65" s="2152" t="s">
        <v>31</v>
      </c>
      <c r="AG65" s="904" t="s">
        <v>36</v>
      </c>
      <c r="AH65" s="681"/>
      <c r="AI65" s="676"/>
      <c r="AJ65" s="3017"/>
      <c r="AK65" s="3018"/>
      <c r="AL65" s="2917"/>
      <c r="AM65" s="2918">
        <f t="shared" si="2"/>
        <v>0</v>
      </c>
      <c r="AN65" s="2629" t="s">
        <v>315</v>
      </c>
      <c r="AO65" s="2631"/>
      <c r="AQ65" s="2367">
        <f t="shared" si="3"/>
        <v>0</v>
      </c>
      <c r="AR65" s="2367">
        <f t="shared" si="4"/>
        <v>0</v>
      </c>
      <c r="AS65" s="123" t="str">
        <f t="shared" si="8"/>
        <v>미사용 랙</v>
      </c>
      <c r="AT65" t="str">
        <f t="shared" si="5"/>
        <v/>
      </c>
      <c r="AU65" t="str">
        <f t="shared" si="6"/>
        <v/>
      </c>
      <c r="AZ65" s="123"/>
      <c r="BA65" s="123"/>
      <c r="BB65" s="123"/>
      <c r="BC65" s="3103"/>
      <c r="BD65" s="123"/>
      <c r="BE65" s="3104"/>
      <c r="BF65" s="3105"/>
      <c r="BG65" s="3112"/>
      <c r="BH65" s="3106"/>
      <c r="BI65" s="3107"/>
      <c r="BJ65" s="3108"/>
      <c r="BK65" s="3109"/>
      <c r="BL65" s="3110"/>
    </row>
    <row r="66" spans="1:64" ht="25.05" customHeight="1">
      <c r="A66" s="2924"/>
      <c r="B66" s="2595" t="s">
        <v>670</v>
      </c>
      <c r="C66" s="2147" t="s">
        <v>671</v>
      </c>
      <c r="D66" s="2595" t="s">
        <v>672</v>
      </c>
      <c r="E66" s="2595"/>
      <c r="F66" s="2595"/>
      <c r="G66" s="2595" t="s">
        <v>27</v>
      </c>
      <c r="H66" s="1811" t="s">
        <v>8852</v>
      </c>
      <c r="I66" s="1843" t="s">
        <v>8853</v>
      </c>
      <c r="J66" s="1811" t="str">
        <f>"7-DaHall 1-"&amp;N66&amp;"-"&amp;M66&amp;"-"&amp;O66</f>
        <v>7-DaHall 1-A-2-50-7</v>
      </c>
      <c r="K66" s="1843" t="str">
        <f>"7-DaHall 1-"&amp;R66&amp;"-"&amp;Q66&amp;"-"&amp;S66</f>
        <v>7-DaHall 1-B-2-50-7</v>
      </c>
      <c r="L66" s="1813">
        <v>48</v>
      </c>
      <c r="M66" s="1814">
        <v>50</v>
      </c>
      <c r="N66" s="2626" t="s">
        <v>41</v>
      </c>
      <c r="O66" s="1815">
        <v>7</v>
      </c>
      <c r="P66" s="1853">
        <v>48</v>
      </c>
      <c r="Q66" s="1854">
        <v>50</v>
      </c>
      <c r="R66" s="2609" t="s">
        <v>42</v>
      </c>
      <c r="S66" s="1844">
        <v>7</v>
      </c>
      <c r="T66" s="2626" t="s">
        <v>673</v>
      </c>
      <c r="U66" s="2609" t="s">
        <v>674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81"/>
      <c r="AI66" s="676"/>
      <c r="AJ66" s="3017"/>
      <c r="AK66" s="3018"/>
      <c r="AL66" s="2917"/>
      <c r="AM66" s="2918">
        <f t="shared" si="2"/>
        <v>0</v>
      </c>
      <c r="AN66" s="2629" t="s">
        <v>321</v>
      </c>
      <c r="AO66" s="2631"/>
      <c r="AQ66" s="2367">
        <f t="shared" si="3"/>
        <v>0</v>
      </c>
      <c r="AR66" s="2367">
        <f t="shared" si="4"/>
        <v>0</v>
      </c>
      <c r="AS66" s="123" t="str">
        <f t="shared" si="8"/>
        <v>미사용 랙</v>
      </c>
      <c r="AT66" t="str">
        <f t="shared" si="5"/>
        <v/>
      </c>
      <c r="AU66" t="str">
        <f t="shared" si="6"/>
        <v/>
      </c>
      <c r="AZ66" s="123"/>
      <c r="BA66" s="123"/>
      <c r="BB66" s="123"/>
      <c r="BC66" s="3103"/>
      <c r="BD66" s="123"/>
      <c r="BE66" s="3104"/>
      <c r="BF66" s="3105"/>
      <c r="BG66" s="3112"/>
      <c r="BH66" s="3106"/>
      <c r="BI66" s="3107"/>
      <c r="BJ66" s="3108"/>
      <c r="BK66" s="3109"/>
      <c r="BL66" s="3110"/>
    </row>
    <row r="67" spans="1:64" ht="93.6">
      <c r="A67" s="2924"/>
      <c r="B67" s="2595" t="s">
        <v>667</v>
      </c>
      <c r="C67" s="2147" t="s">
        <v>668</v>
      </c>
      <c r="D67" s="961" t="s">
        <v>9251</v>
      </c>
      <c r="E67" s="3062">
        <v>2.2000000000000002</v>
      </c>
      <c r="F67" s="2595" t="s">
        <v>27</v>
      </c>
      <c r="G67" s="2595"/>
      <c r="H67" s="1845"/>
      <c r="I67" s="1921"/>
      <c r="J67" s="1845"/>
      <c r="K67" s="1921"/>
      <c r="L67" s="1847"/>
      <c r="M67" s="897"/>
      <c r="N67" s="897"/>
      <c r="O67" s="1849"/>
      <c r="P67" s="1922"/>
      <c r="Q67" s="1923"/>
      <c r="R67" s="945"/>
      <c r="S67" s="1924"/>
      <c r="T67" s="897"/>
      <c r="U67" s="945" t="s">
        <v>669</v>
      </c>
      <c r="V67" s="733"/>
      <c r="W67" s="942"/>
      <c r="X67" s="733"/>
      <c r="Y67" s="942"/>
      <c r="Z67" s="733"/>
      <c r="AA67" s="942"/>
      <c r="AB67" s="733"/>
      <c r="AC67" s="942"/>
      <c r="AD67" s="733"/>
      <c r="AE67" s="942"/>
      <c r="AF67" s="733"/>
      <c r="AG67" s="941"/>
      <c r="AH67" s="681"/>
      <c r="AI67" s="682"/>
      <c r="AJ67" s="1301">
        <f>AH67+AI67</f>
        <v>0</v>
      </c>
      <c r="AK67" s="2913"/>
      <c r="AL67" s="2914"/>
      <c r="AM67" s="2921">
        <f t="shared" si="2"/>
        <v>0</v>
      </c>
      <c r="AN67" s="2629" t="s">
        <v>524</v>
      </c>
      <c r="AO67" s="2631"/>
      <c r="AQ67" s="2367">
        <f t="shared" si="3"/>
        <v>0</v>
      </c>
      <c r="AR67" s="2367">
        <f t="shared" si="4"/>
        <v>2.2000000000000002</v>
      </c>
      <c r="AS67" s="123" t="str">
        <f>IF(SIGN(AR67)&gt;=0,IF(AM67=0,"무부하 랙","적정함"),"사용초과")</f>
        <v>무부하 랙</v>
      </c>
      <c r="AT67" t="str">
        <f t="shared" si="5"/>
        <v/>
      </c>
      <c r="AU67" t="str">
        <f t="shared" si="6"/>
        <v/>
      </c>
      <c r="AZ67" s="123"/>
      <c r="BA67" s="123"/>
      <c r="BB67" s="123"/>
      <c r="BC67" s="3103"/>
      <c r="BD67" s="123"/>
      <c r="BE67" s="3104"/>
      <c r="BF67" s="3105"/>
      <c r="BG67" s="3112"/>
      <c r="BH67" s="3106"/>
      <c r="BI67" s="3107"/>
      <c r="BJ67" s="3108"/>
      <c r="BK67" s="3109"/>
      <c r="BL67" s="3110"/>
    </row>
    <row r="68" spans="1:64" ht="27" customHeight="1">
      <c r="A68" s="2924"/>
      <c r="B68" s="3217" t="s">
        <v>659</v>
      </c>
      <c r="C68" s="3232" t="s">
        <v>660</v>
      </c>
      <c r="D68" s="3217" t="s">
        <v>661</v>
      </c>
      <c r="E68" s="2600"/>
      <c r="F68" s="2595"/>
      <c r="G68" s="2595" t="s">
        <v>27</v>
      </c>
      <c r="H68" s="1811" t="s">
        <v>8854</v>
      </c>
      <c r="I68" s="1843" t="s">
        <v>8855</v>
      </c>
      <c r="J68" s="1811" t="str">
        <f>"7-DaHall 1-"&amp;N68&amp;"-"&amp;M68&amp;"-"&amp;O68</f>
        <v>7-DaHall 1-A-2-35-62</v>
      </c>
      <c r="K68" s="1843" t="str">
        <f>"7-DaHall 1-"&amp;R68&amp;"-"&amp;Q68&amp;"-"&amp;S68</f>
        <v>7-DaHall 1-B-2-35-62</v>
      </c>
      <c r="L68" s="1813">
        <v>48</v>
      </c>
      <c r="M68" s="1814">
        <v>35</v>
      </c>
      <c r="N68" s="2626" t="s">
        <v>41</v>
      </c>
      <c r="O68" s="1815">
        <v>62</v>
      </c>
      <c r="P68" s="1853">
        <v>48</v>
      </c>
      <c r="Q68" s="1854">
        <v>35</v>
      </c>
      <c r="R68" s="2609" t="s">
        <v>42</v>
      </c>
      <c r="S68" s="1844">
        <v>62</v>
      </c>
      <c r="T68" s="2626" t="s">
        <v>662</v>
      </c>
      <c r="U68" s="2609" t="s">
        <v>663</v>
      </c>
      <c r="V68" s="2152" t="s">
        <v>45</v>
      </c>
      <c r="W68" s="904" t="s">
        <v>46</v>
      </c>
      <c r="X68" s="2152" t="s">
        <v>435</v>
      </c>
      <c r="Y68" s="904" t="s">
        <v>436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3234"/>
      <c r="AK68" s="3018"/>
      <c r="AL68" s="2917"/>
      <c r="AM68" s="2918">
        <f t="shared" si="2"/>
        <v>0</v>
      </c>
      <c r="AN68" s="2940" t="s">
        <v>315</v>
      </c>
      <c r="AO68" s="2931" t="s">
        <v>664</v>
      </c>
      <c r="AQ68" s="2367">
        <f t="shared" si="3"/>
        <v>0</v>
      </c>
      <c r="AR68" s="2367">
        <f t="shared" si="4"/>
        <v>0</v>
      </c>
      <c r="AS68" s="123" t="str">
        <f t="shared" si="8"/>
        <v>미사용 랙</v>
      </c>
      <c r="AT68" t="str">
        <f t="shared" si="5"/>
        <v/>
      </c>
      <c r="AU68" t="str">
        <f t="shared" si="6"/>
        <v/>
      </c>
      <c r="AZ68" s="123"/>
      <c r="BA68" s="123"/>
      <c r="BB68" s="123"/>
      <c r="BC68" s="3103"/>
      <c r="BD68" s="123"/>
      <c r="BE68" s="3104"/>
      <c r="BF68" s="3105"/>
      <c r="BG68" s="3112"/>
      <c r="BH68" s="3106"/>
      <c r="BI68" s="3107"/>
      <c r="BJ68" s="3108"/>
      <c r="BK68" s="3109"/>
      <c r="BL68" s="3110"/>
    </row>
    <row r="69" spans="1:64" ht="54" customHeight="1">
      <c r="A69" s="2924"/>
      <c r="B69" s="3218"/>
      <c r="C69" s="3233"/>
      <c r="D69" s="3218"/>
      <c r="E69" s="2601"/>
      <c r="F69" s="2595"/>
      <c r="G69" s="2595" t="s">
        <v>27</v>
      </c>
      <c r="H69" s="1811" t="s">
        <v>8856</v>
      </c>
      <c r="I69" s="1843" t="s">
        <v>8857</v>
      </c>
      <c r="J69" s="1811" t="str">
        <f>"7-DaHall 1-"&amp;N69&amp;"-"&amp;M69&amp;"-"&amp;O69</f>
        <v>7-DaHall 1-A-2-35-63</v>
      </c>
      <c r="K69" s="1843" t="str">
        <f>"7-DaHall 1-"&amp;R69&amp;"-"&amp;Q69&amp;"-"&amp;S69</f>
        <v>7-DaHall 1-B-2-35-63</v>
      </c>
      <c r="L69" s="1813">
        <v>48</v>
      </c>
      <c r="M69" s="1814">
        <v>35</v>
      </c>
      <c r="N69" s="2626" t="s">
        <v>41</v>
      </c>
      <c r="O69" s="1815">
        <v>63</v>
      </c>
      <c r="P69" s="1853">
        <v>48</v>
      </c>
      <c r="Q69" s="1854">
        <v>35</v>
      </c>
      <c r="R69" s="2609" t="s">
        <v>42</v>
      </c>
      <c r="S69" s="1844">
        <v>63</v>
      </c>
      <c r="T69" s="2626" t="s">
        <v>665</v>
      </c>
      <c r="U69" s="2609" t="s">
        <v>666</v>
      </c>
      <c r="V69" s="2152" t="s">
        <v>45</v>
      </c>
      <c r="W69" s="904" t="s">
        <v>46</v>
      </c>
      <c r="X69" s="2152" t="s">
        <v>435</v>
      </c>
      <c r="Y69" s="904" t="s">
        <v>436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3235"/>
      <c r="AK69" s="3018"/>
      <c r="AL69" s="2917"/>
      <c r="AM69" s="2918">
        <f t="shared" si="2"/>
        <v>0</v>
      </c>
      <c r="AN69" s="2939"/>
      <c r="AO69" s="2932"/>
      <c r="AQ69" s="2367">
        <f t="shared" si="3"/>
        <v>0</v>
      </c>
      <c r="AR69" s="2367">
        <f t="shared" si="4"/>
        <v>0</v>
      </c>
      <c r="AS69" s="123" t="str">
        <f t="shared" si="8"/>
        <v>미사용 랙</v>
      </c>
      <c r="AT69" t="str">
        <f t="shared" si="5"/>
        <v/>
      </c>
      <c r="AU69" t="str">
        <f t="shared" si="6"/>
        <v/>
      </c>
      <c r="AZ69" s="123"/>
      <c r="BA69" s="123"/>
      <c r="BB69" s="123"/>
      <c r="BC69" s="3103"/>
      <c r="BD69" s="123"/>
      <c r="BE69" s="3104"/>
      <c r="BF69" s="3105"/>
      <c r="BG69" s="3112"/>
      <c r="BH69" s="3106"/>
      <c r="BI69" s="3107"/>
      <c r="BJ69" s="3108"/>
      <c r="BK69" s="3109"/>
      <c r="BL69" s="3110"/>
    </row>
    <row r="70" spans="1:64" ht="54" customHeight="1">
      <c r="A70" s="2924"/>
      <c r="B70" s="3217" t="s">
        <v>583</v>
      </c>
      <c r="C70" s="3232" t="s">
        <v>584</v>
      </c>
      <c r="D70" s="3217" t="s">
        <v>585</v>
      </c>
      <c r="E70" s="2600"/>
      <c r="F70" s="2595"/>
      <c r="G70" s="2595" t="s">
        <v>27</v>
      </c>
      <c r="H70" s="1811" t="s">
        <v>8858</v>
      </c>
      <c r="I70" s="1843" t="s">
        <v>8859</v>
      </c>
      <c r="J70" s="1811" t="str">
        <f t="shared" ref="J70:J80" si="16">"7-DaHall 1-"&amp;N70&amp;"-"&amp;M70&amp;"-"&amp;O70</f>
        <v>7-DaHall 1-A-3-50-57</v>
      </c>
      <c r="K70" s="1843" t="str">
        <f t="shared" ref="K70:K80" si="17">"7-DaHall 1-"&amp;R70&amp;"-"&amp;Q70&amp;"-"&amp;S70</f>
        <v>7-DaHall 1-B-3-50-57</v>
      </c>
      <c r="L70" s="1813">
        <v>48</v>
      </c>
      <c r="M70" s="1814">
        <v>50</v>
      </c>
      <c r="N70" s="2626" t="s">
        <v>181</v>
      </c>
      <c r="O70" s="1815">
        <v>57</v>
      </c>
      <c r="P70" s="1853">
        <v>48</v>
      </c>
      <c r="Q70" s="1854">
        <v>50</v>
      </c>
      <c r="R70" s="2609" t="s">
        <v>182</v>
      </c>
      <c r="S70" s="1844">
        <v>57</v>
      </c>
      <c r="T70" s="2626" t="s">
        <v>586</v>
      </c>
      <c r="U70" s="2609" t="s">
        <v>587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3017"/>
      <c r="AK70" s="3018"/>
      <c r="AL70" s="2917"/>
      <c r="AM70" s="2918">
        <f t="shared" si="2"/>
        <v>0</v>
      </c>
      <c r="AN70" s="2629"/>
      <c r="AO70" s="2931" t="s">
        <v>571</v>
      </c>
      <c r="AQ70" s="2367">
        <f t="shared" si="3"/>
        <v>0</v>
      </c>
      <c r="AR70" s="2367">
        <f t="shared" si="4"/>
        <v>0</v>
      </c>
      <c r="AS70" s="123" t="str">
        <f t="shared" si="8"/>
        <v>미사용 랙</v>
      </c>
      <c r="AT70" t="str">
        <f t="shared" ref="AT70:AT133" si="18">IF(AS70="사용초과",D70,"")</f>
        <v/>
      </c>
      <c r="AU70" t="str">
        <f t="shared" ref="AU70:AU133" si="19">IF(AT70="","",B70)</f>
        <v/>
      </c>
      <c r="AZ70" s="123"/>
      <c r="BA70" s="123"/>
      <c r="BB70" s="123"/>
      <c r="BC70" s="3103"/>
      <c r="BD70" s="123"/>
      <c r="BE70" s="3104"/>
      <c r="BF70" s="3105"/>
      <c r="BG70" s="3112"/>
      <c r="BH70" s="3106"/>
      <c r="BI70" s="3107"/>
      <c r="BJ70" s="3108"/>
      <c r="BK70" s="3109"/>
      <c r="BL70" s="3110"/>
    </row>
    <row r="71" spans="1:64" ht="54" customHeight="1">
      <c r="A71" s="2924"/>
      <c r="B71" s="3218"/>
      <c r="C71" s="3233"/>
      <c r="D71" s="3218"/>
      <c r="E71" s="2601"/>
      <c r="F71" s="2595"/>
      <c r="G71" s="2595" t="s">
        <v>27</v>
      </c>
      <c r="H71" s="1811" t="s">
        <v>8860</v>
      </c>
      <c r="I71" s="1843" t="s">
        <v>8861</v>
      </c>
      <c r="J71" s="1811" t="str">
        <f t="shared" si="16"/>
        <v>7-DaHall 1-A-3-50-58</v>
      </c>
      <c r="K71" s="1843" t="str">
        <f t="shared" si="17"/>
        <v>7-DaHall 1-B-3-50-58</v>
      </c>
      <c r="L71" s="1813">
        <v>48</v>
      </c>
      <c r="M71" s="1814">
        <v>50</v>
      </c>
      <c r="N71" s="2626" t="s">
        <v>181</v>
      </c>
      <c r="O71" s="1815">
        <v>58</v>
      </c>
      <c r="P71" s="1853">
        <v>48</v>
      </c>
      <c r="Q71" s="1854">
        <v>50</v>
      </c>
      <c r="R71" s="2609" t="s">
        <v>182</v>
      </c>
      <c r="S71" s="1844">
        <v>58</v>
      </c>
      <c r="T71" s="2626" t="s">
        <v>588</v>
      </c>
      <c r="U71" s="2609" t="s">
        <v>589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3017"/>
      <c r="AK71" s="3018"/>
      <c r="AL71" s="2917"/>
      <c r="AM71" s="2918">
        <f t="shared" si="2"/>
        <v>0</v>
      </c>
      <c r="AN71" s="2629"/>
      <c r="AO71" s="2932"/>
      <c r="AQ71" s="2367">
        <f t="shared" si="3"/>
        <v>0</v>
      </c>
      <c r="AR71" s="2367">
        <f t="shared" si="4"/>
        <v>0</v>
      </c>
      <c r="AS71" s="123" t="str">
        <f t="shared" si="8"/>
        <v>미사용 랙</v>
      </c>
      <c r="AT71" t="str">
        <f t="shared" si="18"/>
        <v/>
      </c>
      <c r="AU71" t="str">
        <f t="shared" si="19"/>
        <v/>
      </c>
      <c r="AZ71" s="123"/>
      <c r="BA71" s="123"/>
      <c r="BB71" s="123"/>
      <c r="BC71" s="3103"/>
      <c r="BD71" s="123"/>
      <c r="BE71" s="3104"/>
      <c r="BF71" s="3105"/>
      <c r="BG71" s="3112"/>
      <c r="BH71" s="3106"/>
      <c r="BI71" s="3107"/>
      <c r="BJ71" s="3108"/>
      <c r="BK71" s="3109"/>
      <c r="BL71" s="3110"/>
    </row>
    <row r="72" spans="1:64" ht="54" customHeight="1">
      <c r="A72" s="2924"/>
      <c r="B72" s="3217" t="s">
        <v>574</v>
      </c>
      <c r="C72" s="3232" t="s">
        <v>575</v>
      </c>
      <c r="D72" s="3217" t="s">
        <v>576</v>
      </c>
      <c r="E72" s="2600"/>
      <c r="F72" s="2595"/>
      <c r="G72" s="2595" t="s">
        <v>27</v>
      </c>
      <c r="H72" s="1811" t="s">
        <v>8862</v>
      </c>
      <c r="I72" s="1843" t="s">
        <v>8863</v>
      </c>
      <c r="J72" s="1811" t="str">
        <f t="shared" si="16"/>
        <v>7-DaHall 1-A-3-100-1</v>
      </c>
      <c r="K72" s="1843" t="str">
        <f t="shared" si="17"/>
        <v>7-DaHall 1-B-3-100-1</v>
      </c>
      <c r="L72" s="1813">
        <v>48</v>
      </c>
      <c r="M72" s="1814">
        <v>100</v>
      </c>
      <c r="N72" s="2626" t="s">
        <v>181</v>
      </c>
      <c r="O72" s="1815">
        <v>1</v>
      </c>
      <c r="P72" s="1853">
        <v>48</v>
      </c>
      <c r="Q72" s="1854">
        <v>100</v>
      </c>
      <c r="R72" s="2609" t="s">
        <v>182</v>
      </c>
      <c r="S72" s="1844">
        <v>1</v>
      </c>
      <c r="T72" s="2626" t="s">
        <v>577</v>
      </c>
      <c r="U72" s="2609" t="s">
        <v>578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3017"/>
      <c r="AK72" s="3018"/>
      <c r="AL72" s="2917"/>
      <c r="AM72" s="2918">
        <f t="shared" ref="AM72:AM135" si="20">SUBTOTAL(9,AK72:AL72)</f>
        <v>0</v>
      </c>
      <c r="AN72" s="2629"/>
      <c r="AO72" s="2931" t="s">
        <v>254</v>
      </c>
      <c r="AQ72" s="2367">
        <f t="shared" ref="AQ72:AQ135" si="21">AM72/(24*31)</f>
        <v>0</v>
      </c>
      <c r="AR72" s="2367">
        <f t="shared" ref="AR72:AR135" si="22">E72-AQ72</f>
        <v>0</v>
      </c>
      <c r="AS72" s="123" t="str">
        <f t="shared" ref="AS72:AS135" si="23">IF(SIGN(AR72)&gt;=0,IF(AM72=0,"미사용 랙","적정함"),"사용초과")</f>
        <v>미사용 랙</v>
      </c>
      <c r="AT72" t="str">
        <f t="shared" si="18"/>
        <v/>
      </c>
      <c r="AU72" t="str">
        <f t="shared" si="19"/>
        <v/>
      </c>
      <c r="AZ72" s="123"/>
      <c r="BA72" s="123"/>
      <c r="BB72" s="123"/>
      <c r="BC72" s="3103"/>
      <c r="BD72" s="123"/>
      <c r="BE72" s="3104"/>
      <c r="BF72" s="3105"/>
      <c r="BG72" s="3112"/>
      <c r="BH72" s="3106"/>
      <c r="BI72" s="3107"/>
      <c r="BJ72" s="3108"/>
      <c r="BK72" s="3109"/>
      <c r="BL72" s="3110"/>
    </row>
    <row r="73" spans="1:64" ht="54" customHeight="1">
      <c r="A73" s="2924"/>
      <c r="B73" s="3249"/>
      <c r="C73" s="3260"/>
      <c r="D73" s="3249"/>
      <c r="E73" s="2604"/>
      <c r="F73" s="2595"/>
      <c r="G73" s="2595" t="s">
        <v>27</v>
      </c>
      <c r="H73" s="1811" t="s">
        <v>8864</v>
      </c>
      <c r="I73" s="1843" t="s">
        <v>8865</v>
      </c>
      <c r="J73" s="1811" t="str">
        <f t="shared" si="16"/>
        <v>7-DaHall 1-A-3-100-2</v>
      </c>
      <c r="K73" s="1843" t="str">
        <f t="shared" si="17"/>
        <v>7-DaHall 1-B-3-100-2</v>
      </c>
      <c r="L73" s="1813">
        <v>48</v>
      </c>
      <c r="M73" s="1814">
        <v>100</v>
      </c>
      <c r="N73" s="2626" t="s">
        <v>181</v>
      </c>
      <c r="O73" s="1815">
        <v>2</v>
      </c>
      <c r="P73" s="1853">
        <v>48</v>
      </c>
      <c r="Q73" s="1854">
        <v>100</v>
      </c>
      <c r="R73" s="2609" t="s">
        <v>182</v>
      </c>
      <c r="S73" s="1844">
        <v>2</v>
      </c>
      <c r="T73" s="2626" t="s">
        <v>579</v>
      </c>
      <c r="U73" s="2609" t="s">
        <v>580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3017"/>
      <c r="AK73" s="3018"/>
      <c r="AL73" s="2917"/>
      <c r="AM73" s="2918">
        <f t="shared" si="20"/>
        <v>0</v>
      </c>
      <c r="AN73" s="2629"/>
      <c r="AO73" s="2933"/>
      <c r="AQ73" s="2367">
        <f t="shared" si="21"/>
        <v>0</v>
      </c>
      <c r="AR73" s="2367">
        <f t="shared" si="22"/>
        <v>0</v>
      </c>
      <c r="AS73" s="123" t="str">
        <f t="shared" si="23"/>
        <v>미사용 랙</v>
      </c>
      <c r="AT73" t="str">
        <f t="shared" si="18"/>
        <v/>
      </c>
      <c r="AU73" t="str">
        <f t="shared" si="19"/>
        <v/>
      </c>
      <c r="AZ73" s="123"/>
      <c r="BA73" s="123"/>
      <c r="BB73" s="123"/>
      <c r="BC73" s="3103"/>
      <c r="BD73" s="123"/>
      <c r="BE73" s="3104"/>
      <c r="BF73" s="3105"/>
      <c r="BG73" s="3112"/>
      <c r="BH73" s="3106"/>
      <c r="BI73" s="3107"/>
      <c r="BJ73" s="3108"/>
      <c r="BK73" s="3109"/>
      <c r="BL73" s="3110"/>
    </row>
    <row r="74" spans="1:64" ht="54" customHeight="1">
      <c r="A74" s="2924"/>
      <c r="B74" s="3218"/>
      <c r="C74" s="3233"/>
      <c r="D74" s="3218"/>
      <c r="E74" s="2601"/>
      <c r="F74" s="2595"/>
      <c r="G74" s="2595" t="s">
        <v>27</v>
      </c>
      <c r="H74" s="1811" t="s">
        <v>8866</v>
      </c>
      <c r="I74" s="1843" t="s">
        <v>8867</v>
      </c>
      <c r="J74" s="1811" t="str">
        <f t="shared" si="16"/>
        <v>7-DaHall 1-A-3-50-3</v>
      </c>
      <c r="K74" s="1843" t="str">
        <f t="shared" si="17"/>
        <v>7-DaHall 1-B-3-50-3</v>
      </c>
      <c r="L74" s="1813">
        <v>48</v>
      </c>
      <c r="M74" s="1814">
        <v>50</v>
      </c>
      <c r="N74" s="2626" t="s">
        <v>181</v>
      </c>
      <c r="O74" s="1815">
        <v>3</v>
      </c>
      <c r="P74" s="1853">
        <v>48</v>
      </c>
      <c r="Q74" s="1854">
        <v>50</v>
      </c>
      <c r="R74" s="2609" t="s">
        <v>182</v>
      </c>
      <c r="S74" s="1844">
        <v>3</v>
      </c>
      <c r="T74" s="2626" t="s">
        <v>581</v>
      </c>
      <c r="U74" s="2609" t="s">
        <v>582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3017"/>
      <c r="AK74" s="3018"/>
      <c r="AL74" s="2917"/>
      <c r="AM74" s="2918">
        <f t="shared" si="20"/>
        <v>0</v>
      </c>
      <c r="AN74" s="2629"/>
      <c r="AO74" s="2932"/>
      <c r="AQ74" s="2367">
        <f t="shared" si="21"/>
        <v>0</v>
      </c>
      <c r="AR74" s="2367">
        <f t="shared" si="22"/>
        <v>0</v>
      </c>
      <c r="AS74" s="123" t="str">
        <f t="shared" si="23"/>
        <v>미사용 랙</v>
      </c>
      <c r="AT74" t="str">
        <f t="shared" si="18"/>
        <v/>
      </c>
      <c r="AU74" t="str">
        <f t="shared" si="19"/>
        <v/>
      </c>
      <c r="AZ74" s="123"/>
      <c r="BA74" s="123"/>
      <c r="BB74" s="123"/>
      <c r="BC74" s="3103"/>
      <c r="BD74" s="123"/>
      <c r="BE74" s="3104"/>
      <c r="BF74" s="3105"/>
      <c r="BG74" s="3112"/>
      <c r="BH74" s="3106"/>
      <c r="BI74" s="3107"/>
      <c r="BJ74" s="3108"/>
      <c r="BK74" s="3109"/>
      <c r="BL74" s="3110"/>
    </row>
    <row r="75" spans="1:64" ht="54" customHeight="1">
      <c r="A75" s="2924"/>
      <c r="B75" s="3217" t="s">
        <v>566</v>
      </c>
      <c r="C75" s="3232" t="s">
        <v>567</v>
      </c>
      <c r="D75" s="3217" t="s">
        <v>568</v>
      </c>
      <c r="E75" s="2600"/>
      <c r="F75" s="2595"/>
      <c r="G75" s="2595" t="s">
        <v>27</v>
      </c>
      <c r="H75" s="1811" t="s">
        <v>8868</v>
      </c>
      <c r="I75" s="1843" t="s">
        <v>8869</v>
      </c>
      <c r="J75" s="1811" t="str">
        <f t="shared" si="16"/>
        <v>7-DaHall 1-A-3-50-42</v>
      </c>
      <c r="K75" s="1843" t="str">
        <f t="shared" si="17"/>
        <v>7-DaHall 1-B-3-50-42</v>
      </c>
      <c r="L75" s="1813">
        <v>48</v>
      </c>
      <c r="M75" s="1814">
        <v>50</v>
      </c>
      <c r="N75" s="2626" t="s">
        <v>181</v>
      </c>
      <c r="O75" s="1815">
        <v>42</v>
      </c>
      <c r="P75" s="1853">
        <v>48</v>
      </c>
      <c r="Q75" s="1854">
        <v>50</v>
      </c>
      <c r="R75" s="2609" t="s">
        <v>182</v>
      </c>
      <c r="S75" s="1844">
        <v>42</v>
      </c>
      <c r="T75" s="2626" t="s">
        <v>569</v>
      </c>
      <c r="U75" s="2609" t="s">
        <v>570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94"/>
      <c r="AI75" s="686"/>
      <c r="AJ75" s="3017"/>
      <c r="AK75" s="3018"/>
      <c r="AL75" s="2917"/>
      <c r="AM75" s="2918">
        <f t="shared" si="20"/>
        <v>0</v>
      </c>
      <c r="AN75" s="2629"/>
      <c r="AO75" s="2931" t="s">
        <v>571</v>
      </c>
      <c r="AQ75" s="2367">
        <f t="shared" si="21"/>
        <v>0</v>
      </c>
      <c r="AR75" s="2367">
        <f t="shared" si="22"/>
        <v>0</v>
      </c>
      <c r="AS75" s="123" t="str">
        <f t="shared" si="23"/>
        <v>미사용 랙</v>
      </c>
      <c r="AT75" t="str">
        <f t="shared" si="18"/>
        <v/>
      </c>
      <c r="AU75" t="str">
        <f t="shared" si="19"/>
        <v/>
      </c>
      <c r="AZ75" s="123"/>
      <c r="BA75" s="123"/>
      <c r="BB75" s="123"/>
      <c r="BC75" s="3103"/>
      <c r="BD75" s="123"/>
      <c r="BE75" s="3104"/>
      <c r="BF75" s="3105"/>
      <c r="BG75" s="3112"/>
      <c r="BH75" s="3106"/>
      <c r="BI75" s="3107"/>
      <c r="BJ75" s="3108"/>
      <c r="BK75" s="3109"/>
      <c r="BL75" s="3110"/>
    </row>
    <row r="76" spans="1:64" ht="54" customHeight="1">
      <c r="A76" s="2924"/>
      <c r="B76" s="3218"/>
      <c r="C76" s="3233"/>
      <c r="D76" s="3218"/>
      <c r="E76" s="2601"/>
      <c r="F76" s="2595"/>
      <c r="G76" s="2595" t="s">
        <v>27</v>
      </c>
      <c r="H76" s="1811" t="s">
        <v>8870</v>
      </c>
      <c r="I76" s="1843" t="s">
        <v>8871</v>
      </c>
      <c r="J76" s="1811" t="str">
        <f t="shared" si="16"/>
        <v>7-DaHall 1-A-3-50-43</v>
      </c>
      <c r="K76" s="1843" t="str">
        <f t="shared" si="17"/>
        <v>7-DaHall 1-B-3-50-43</v>
      </c>
      <c r="L76" s="1813">
        <v>48</v>
      </c>
      <c r="M76" s="1814">
        <v>50</v>
      </c>
      <c r="N76" s="2626" t="s">
        <v>181</v>
      </c>
      <c r="O76" s="1815">
        <v>43</v>
      </c>
      <c r="P76" s="1853">
        <v>48</v>
      </c>
      <c r="Q76" s="1854">
        <v>50</v>
      </c>
      <c r="R76" s="2609" t="s">
        <v>182</v>
      </c>
      <c r="S76" s="1844">
        <v>43</v>
      </c>
      <c r="T76" s="2626" t="s">
        <v>572</v>
      </c>
      <c r="U76" s="2609" t="s">
        <v>573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94"/>
      <c r="AI76" s="686"/>
      <c r="AJ76" s="3017"/>
      <c r="AK76" s="3018"/>
      <c r="AL76" s="2917"/>
      <c r="AM76" s="2918">
        <f t="shared" si="20"/>
        <v>0</v>
      </c>
      <c r="AN76" s="2629"/>
      <c r="AO76" s="2932"/>
      <c r="AQ76" s="2367">
        <f t="shared" si="21"/>
        <v>0</v>
      </c>
      <c r="AR76" s="2367">
        <f t="shared" si="22"/>
        <v>0</v>
      </c>
      <c r="AS76" s="123" t="str">
        <f t="shared" si="23"/>
        <v>미사용 랙</v>
      </c>
      <c r="AT76" t="str">
        <f t="shared" si="18"/>
        <v/>
      </c>
      <c r="AU76" t="str">
        <f t="shared" si="19"/>
        <v/>
      </c>
      <c r="AZ76" s="123"/>
      <c r="BA76" s="123"/>
      <c r="BB76" s="123"/>
      <c r="BC76" s="3103"/>
      <c r="BD76" s="123"/>
      <c r="BE76" s="3104"/>
      <c r="BF76" s="3105"/>
      <c r="BG76" s="3112"/>
      <c r="BH76" s="3106"/>
      <c r="BI76" s="3107"/>
      <c r="BJ76" s="3108"/>
      <c r="BK76" s="3109"/>
      <c r="BL76" s="3110"/>
    </row>
    <row r="77" spans="1:64" ht="54" customHeight="1">
      <c r="A77" s="2924"/>
      <c r="B77" s="2595" t="s">
        <v>561</v>
      </c>
      <c r="C77" s="2147" t="s">
        <v>562</v>
      </c>
      <c r="D77" s="2595" t="s">
        <v>563</v>
      </c>
      <c r="E77" s="2595"/>
      <c r="F77" s="2595"/>
      <c r="G77" s="2595" t="s">
        <v>27</v>
      </c>
      <c r="H77" s="1811" t="s">
        <v>8872</v>
      </c>
      <c r="I77" s="1843" t="s">
        <v>8873</v>
      </c>
      <c r="J77" s="1811" t="str">
        <f t="shared" si="16"/>
        <v>7-DaHall 1-A-3-50-27</v>
      </c>
      <c r="K77" s="1843" t="str">
        <f t="shared" si="17"/>
        <v>7-DaHall 1-B-3-50-27</v>
      </c>
      <c r="L77" s="1813">
        <v>48</v>
      </c>
      <c r="M77" s="1814">
        <v>50</v>
      </c>
      <c r="N77" s="2626" t="s">
        <v>181</v>
      </c>
      <c r="O77" s="1815">
        <v>27</v>
      </c>
      <c r="P77" s="1853">
        <v>48</v>
      </c>
      <c r="Q77" s="1854">
        <v>50</v>
      </c>
      <c r="R77" s="2609" t="s">
        <v>182</v>
      </c>
      <c r="S77" s="1844">
        <v>27</v>
      </c>
      <c r="T77" s="2626" t="s">
        <v>564</v>
      </c>
      <c r="U77" s="2609" t="s">
        <v>565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3017"/>
      <c r="AK77" s="3018"/>
      <c r="AL77" s="2917"/>
      <c r="AM77" s="2918">
        <f t="shared" si="20"/>
        <v>0</v>
      </c>
      <c r="AN77" s="2629"/>
      <c r="AO77" s="2631"/>
      <c r="AQ77" s="2367">
        <f t="shared" si="21"/>
        <v>0</v>
      </c>
      <c r="AR77" s="2367">
        <f t="shared" si="22"/>
        <v>0</v>
      </c>
      <c r="AS77" s="123" t="str">
        <f t="shared" si="23"/>
        <v>미사용 랙</v>
      </c>
      <c r="AT77" t="str">
        <f t="shared" si="18"/>
        <v/>
      </c>
      <c r="AU77" t="str">
        <f t="shared" si="19"/>
        <v/>
      </c>
      <c r="AZ77" s="123"/>
      <c r="BA77" s="123"/>
      <c r="BB77" s="123"/>
      <c r="BC77" s="3103"/>
      <c r="BD77" s="123"/>
      <c r="BE77" s="3104"/>
      <c r="BF77" s="3105"/>
      <c r="BG77" s="3112"/>
      <c r="BH77" s="3106"/>
      <c r="BI77" s="3107"/>
      <c r="BJ77" s="3108"/>
      <c r="BK77" s="3109"/>
      <c r="BL77" s="3110"/>
    </row>
    <row r="78" spans="1:64" ht="54" customHeight="1">
      <c r="A78" s="2924"/>
      <c r="B78" s="2595" t="s">
        <v>556</v>
      </c>
      <c r="C78" s="2147" t="s">
        <v>557</v>
      </c>
      <c r="D78" s="2595" t="s">
        <v>558</v>
      </c>
      <c r="E78" s="2595"/>
      <c r="F78" s="2595"/>
      <c r="G78" s="2595" t="s">
        <v>27</v>
      </c>
      <c r="H78" s="1811" t="s">
        <v>8874</v>
      </c>
      <c r="I78" s="1843" t="s">
        <v>8875</v>
      </c>
      <c r="J78" s="1811" t="str">
        <f t="shared" si="16"/>
        <v>7-DaHall 1-A-3-50-26</v>
      </c>
      <c r="K78" s="1843" t="str">
        <f t="shared" si="17"/>
        <v>7-DaHall 1-B-3-50-26</v>
      </c>
      <c r="L78" s="1813">
        <v>48</v>
      </c>
      <c r="M78" s="1814">
        <v>50</v>
      </c>
      <c r="N78" s="2626" t="s">
        <v>181</v>
      </c>
      <c r="O78" s="1815">
        <v>26</v>
      </c>
      <c r="P78" s="1853">
        <v>48</v>
      </c>
      <c r="Q78" s="1854">
        <v>50</v>
      </c>
      <c r="R78" s="2609" t="s">
        <v>182</v>
      </c>
      <c r="S78" s="1844">
        <v>26</v>
      </c>
      <c r="T78" s="2626" t="s">
        <v>559</v>
      </c>
      <c r="U78" s="2609" t="s">
        <v>560</v>
      </c>
      <c r="V78" s="2152" t="s">
        <v>185</v>
      </c>
      <c r="W78" s="904" t="s">
        <v>186</v>
      </c>
      <c r="X78" s="2152" t="s">
        <v>47</v>
      </c>
      <c r="Y78" s="904" t="s">
        <v>48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3017"/>
      <c r="AK78" s="3018"/>
      <c r="AL78" s="2917"/>
      <c r="AM78" s="2918">
        <f t="shared" si="20"/>
        <v>0</v>
      </c>
      <c r="AN78" s="2629"/>
      <c r="AO78" s="2631"/>
      <c r="AQ78" s="2367">
        <f t="shared" si="21"/>
        <v>0</v>
      </c>
      <c r="AR78" s="2367">
        <f t="shared" si="22"/>
        <v>0</v>
      </c>
      <c r="AS78" s="123" t="str">
        <f t="shared" si="23"/>
        <v>미사용 랙</v>
      </c>
      <c r="AT78" t="str">
        <f t="shared" si="18"/>
        <v/>
      </c>
      <c r="AU78" t="str">
        <f t="shared" si="19"/>
        <v/>
      </c>
      <c r="AZ78" s="123"/>
      <c r="BA78" s="123"/>
      <c r="BB78" s="123"/>
      <c r="BC78" s="3103"/>
      <c r="BD78" s="123"/>
      <c r="BE78" s="3104"/>
      <c r="BF78" s="3105"/>
      <c r="BG78" s="3112"/>
      <c r="BH78" s="3106"/>
      <c r="BI78" s="3107"/>
      <c r="BJ78" s="3108"/>
      <c r="BK78" s="3109"/>
      <c r="BL78" s="3110"/>
    </row>
    <row r="79" spans="1:64" ht="27" customHeight="1">
      <c r="A79" s="2924"/>
      <c r="B79" s="2595" t="s">
        <v>551</v>
      </c>
      <c r="C79" s="2147" t="s">
        <v>552</v>
      </c>
      <c r="D79" s="2595" t="s">
        <v>553</v>
      </c>
      <c r="E79" s="2595"/>
      <c r="F79" s="2595"/>
      <c r="G79" s="2595" t="s">
        <v>27</v>
      </c>
      <c r="H79" s="1811" t="s">
        <v>8876</v>
      </c>
      <c r="I79" s="1843" t="s">
        <v>8877</v>
      </c>
      <c r="J79" s="1811" t="str">
        <f t="shared" si="16"/>
        <v>7-DaHall 1-A-3-35-53</v>
      </c>
      <c r="K79" s="1843" t="str">
        <f t="shared" si="17"/>
        <v>7-DaHall 1-B-3-35-52</v>
      </c>
      <c r="L79" s="1813">
        <v>48</v>
      </c>
      <c r="M79" s="1814">
        <v>35</v>
      </c>
      <c r="N79" s="2626" t="s">
        <v>181</v>
      </c>
      <c r="O79" s="1815">
        <v>53</v>
      </c>
      <c r="P79" s="1853">
        <v>48</v>
      </c>
      <c r="Q79" s="1854">
        <v>35</v>
      </c>
      <c r="R79" s="2609" t="s">
        <v>182</v>
      </c>
      <c r="S79" s="1844">
        <v>52</v>
      </c>
      <c r="T79" s="2626" t="s">
        <v>554</v>
      </c>
      <c r="U79" s="2609" t="s">
        <v>555</v>
      </c>
      <c r="V79" s="2152" t="s">
        <v>185</v>
      </c>
      <c r="W79" s="904" t="s">
        <v>186</v>
      </c>
      <c r="X79" s="2152" t="s">
        <v>47</v>
      </c>
      <c r="Y79" s="904" t="s">
        <v>48</v>
      </c>
      <c r="Z79" s="2152" t="s">
        <v>49</v>
      </c>
      <c r="AA79" s="904" t="s">
        <v>50</v>
      </c>
      <c r="AB79" s="2152" t="s">
        <v>51</v>
      </c>
      <c r="AC79" s="904" t="s">
        <v>52</v>
      </c>
      <c r="AD79" s="2152" t="s">
        <v>30</v>
      </c>
      <c r="AE79" s="904" t="s">
        <v>35</v>
      </c>
      <c r="AF79" s="2152" t="s">
        <v>31</v>
      </c>
      <c r="AG79" s="904" t="s">
        <v>36</v>
      </c>
      <c r="AH79" s="681"/>
      <c r="AI79" s="676"/>
      <c r="AJ79" s="3017"/>
      <c r="AK79" s="3018"/>
      <c r="AL79" s="2917"/>
      <c r="AM79" s="2918">
        <f t="shared" si="20"/>
        <v>0</v>
      </c>
      <c r="AN79" s="2629"/>
      <c r="AO79" s="2631"/>
      <c r="AQ79" s="2367">
        <f t="shared" si="21"/>
        <v>0</v>
      </c>
      <c r="AR79" s="2367">
        <f t="shared" si="22"/>
        <v>0</v>
      </c>
      <c r="AS79" s="123" t="str">
        <f t="shared" si="23"/>
        <v>미사용 랙</v>
      </c>
      <c r="AT79" t="str">
        <f t="shared" si="18"/>
        <v/>
      </c>
      <c r="AU79" t="str">
        <f t="shared" si="19"/>
        <v/>
      </c>
      <c r="AZ79" s="123"/>
      <c r="BA79" s="123"/>
      <c r="BB79" s="123"/>
      <c r="BC79" s="3103"/>
      <c r="BD79" s="123"/>
      <c r="BE79" s="3104"/>
      <c r="BF79" s="3105"/>
      <c r="BG79" s="3112"/>
      <c r="BH79" s="3106"/>
      <c r="BI79" s="3107"/>
      <c r="BJ79" s="3108"/>
      <c r="BK79" s="3109"/>
      <c r="BL79" s="3110"/>
    </row>
    <row r="80" spans="1:64" ht="40.049999999999997" customHeight="1">
      <c r="A80" s="2924"/>
      <c r="B80" s="3217" t="s">
        <v>545</v>
      </c>
      <c r="C80" s="3262" t="s">
        <v>546</v>
      </c>
      <c r="D80" s="3264" t="s">
        <v>9249</v>
      </c>
      <c r="E80" s="2983"/>
      <c r="F80" s="2624"/>
      <c r="G80" s="2624" t="s">
        <v>27</v>
      </c>
      <c r="H80" s="1811" t="s">
        <v>8878</v>
      </c>
      <c r="I80" s="1843" t="s">
        <v>8879</v>
      </c>
      <c r="J80" s="1811" t="str">
        <f t="shared" si="16"/>
        <v>7-DaHall 1-A-2-35-52</v>
      </c>
      <c r="K80" s="1843" t="str">
        <f t="shared" si="17"/>
        <v>7-DaHall 1-B-2-35-52</v>
      </c>
      <c r="L80" s="1813">
        <v>48</v>
      </c>
      <c r="M80" s="1814">
        <v>35</v>
      </c>
      <c r="N80" s="2626" t="s">
        <v>41</v>
      </c>
      <c r="O80" s="1815">
        <v>52</v>
      </c>
      <c r="P80" s="1853">
        <v>48</v>
      </c>
      <c r="Q80" s="1854">
        <v>35</v>
      </c>
      <c r="R80" s="2609" t="s">
        <v>42</v>
      </c>
      <c r="S80" s="1844">
        <v>52</v>
      </c>
      <c r="T80" s="2626" t="s">
        <v>547</v>
      </c>
      <c r="U80" s="2609" t="s">
        <v>548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3017"/>
      <c r="AK80" s="3018"/>
      <c r="AL80" s="2917"/>
      <c r="AM80" s="2918">
        <f t="shared" si="20"/>
        <v>0</v>
      </c>
      <c r="AN80" s="2619" t="s">
        <v>321</v>
      </c>
      <c r="AO80" s="2631"/>
      <c r="AQ80" s="2367">
        <f t="shared" si="21"/>
        <v>0</v>
      </c>
      <c r="AR80" s="2367">
        <f t="shared" si="22"/>
        <v>0</v>
      </c>
      <c r="AS80" s="123" t="str">
        <f t="shared" si="23"/>
        <v>미사용 랙</v>
      </c>
      <c r="AT80" t="str">
        <f t="shared" si="18"/>
        <v/>
      </c>
      <c r="AU80" t="str">
        <f t="shared" si="19"/>
        <v/>
      </c>
      <c r="AZ80" s="123"/>
      <c r="BA80" s="123"/>
      <c r="BB80" s="123"/>
      <c r="BC80" s="3103"/>
      <c r="BD80" s="123"/>
      <c r="BE80" s="3104"/>
      <c r="BF80" s="3105"/>
      <c r="BG80" s="3112"/>
      <c r="BH80" s="3106"/>
      <c r="BI80" s="3107"/>
      <c r="BJ80" s="3108"/>
      <c r="BK80" s="3109"/>
      <c r="BL80" s="3110"/>
    </row>
    <row r="81" spans="1:64" ht="28.5" customHeight="1">
      <c r="A81" s="2924"/>
      <c r="B81" s="3218"/>
      <c r="C81" s="3263"/>
      <c r="D81" s="3265"/>
      <c r="E81" s="2984"/>
      <c r="F81" s="2624" t="s">
        <v>27</v>
      </c>
      <c r="G81" s="2624"/>
      <c r="H81" s="3266"/>
      <c r="I81" s="3267"/>
      <c r="J81" s="3268"/>
      <c r="K81" s="3269"/>
      <c r="L81" s="1897"/>
      <c r="M81" s="1898"/>
      <c r="N81" s="1898"/>
      <c r="O81" s="1899"/>
      <c r="P81" s="1900"/>
      <c r="Q81" s="1901"/>
      <c r="R81" s="1898"/>
      <c r="S81" s="1899"/>
      <c r="T81" s="3270" t="s">
        <v>549</v>
      </c>
      <c r="U81" s="3271"/>
      <c r="V81" s="942"/>
      <c r="W81" s="942"/>
      <c r="X81" s="942"/>
      <c r="Y81" s="942"/>
      <c r="Z81" s="942"/>
      <c r="AA81" s="942"/>
      <c r="AB81" s="942"/>
      <c r="AC81" s="942"/>
      <c r="AD81" s="942"/>
      <c r="AE81" s="942"/>
      <c r="AF81" s="941"/>
      <c r="AG81" s="941"/>
      <c r="AH81" s="681"/>
      <c r="AI81" s="682"/>
      <c r="AJ81" s="1301">
        <f t="shared" ref="AJ81" si="24">AH81+AI81</f>
        <v>0</v>
      </c>
      <c r="AK81" s="2913"/>
      <c r="AL81" s="2914"/>
      <c r="AM81" s="2921">
        <f t="shared" si="20"/>
        <v>0</v>
      </c>
      <c r="AN81" s="2939"/>
      <c r="AO81" s="689" t="s">
        <v>550</v>
      </c>
      <c r="AQ81" s="2367">
        <f t="shared" si="21"/>
        <v>0</v>
      </c>
      <c r="AR81" s="2367">
        <f t="shared" si="22"/>
        <v>0</v>
      </c>
      <c r="AS81" s="123" t="str">
        <f>IF(SIGN(AR81)&gt;=0,IF(AM81=0,"무부하 랙","적정함"),"사용초과")</f>
        <v>무부하 랙</v>
      </c>
      <c r="AT81" t="str">
        <f t="shared" si="18"/>
        <v/>
      </c>
      <c r="AU81" t="str">
        <f t="shared" si="19"/>
        <v/>
      </c>
      <c r="AZ81" s="123"/>
      <c r="BA81" s="123"/>
      <c r="BB81" s="123"/>
      <c r="BC81" s="3103"/>
      <c r="BD81" s="123"/>
      <c r="BE81" s="3104"/>
      <c r="BF81" s="3105"/>
      <c r="BG81" s="3112"/>
      <c r="BH81" s="3106"/>
      <c r="BI81" s="3107"/>
      <c r="BJ81" s="3108"/>
      <c r="BK81" s="3109"/>
      <c r="BL81" s="3110"/>
    </row>
    <row r="82" spans="1:64" ht="40.049999999999997" customHeight="1">
      <c r="A82" s="2924"/>
      <c r="B82" s="2595" t="s">
        <v>540</v>
      </c>
      <c r="C82" s="2147" t="s">
        <v>541</v>
      </c>
      <c r="D82" s="2595" t="s">
        <v>542</v>
      </c>
      <c r="E82" s="2595"/>
      <c r="F82" s="2595"/>
      <c r="G82" s="2595" t="s">
        <v>27</v>
      </c>
      <c r="H82" s="1811" t="s">
        <v>8880</v>
      </c>
      <c r="I82" s="1843" t="s">
        <v>8881</v>
      </c>
      <c r="J82" s="1811" t="str">
        <f>"7-DaHall 1-"&amp;N82&amp;"-"&amp;M82&amp;"-"&amp;O82</f>
        <v>7-DaHall 1-A-2-35-49</v>
      </c>
      <c r="K82" s="1843" t="str">
        <f>"7-DaHall 1-"&amp;R82&amp;"-"&amp;Q82&amp;"-"&amp;S82</f>
        <v>7-DaHall 1-B-2-35-49</v>
      </c>
      <c r="L82" s="1813">
        <v>48</v>
      </c>
      <c r="M82" s="1814">
        <v>35</v>
      </c>
      <c r="N82" s="2626" t="s">
        <v>41</v>
      </c>
      <c r="O82" s="1815">
        <v>49</v>
      </c>
      <c r="P82" s="1853">
        <v>48</v>
      </c>
      <c r="Q82" s="1854">
        <v>35</v>
      </c>
      <c r="R82" s="2609" t="s">
        <v>42</v>
      </c>
      <c r="S82" s="1844">
        <v>49</v>
      </c>
      <c r="T82" s="2626" t="s">
        <v>543</v>
      </c>
      <c r="U82" s="2609" t="s">
        <v>544</v>
      </c>
      <c r="V82" s="2152" t="s">
        <v>45</v>
      </c>
      <c r="W82" s="904" t="s">
        <v>46</v>
      </c>
      <c r="X82" s="2152" t="s">
        <v>435</v>
      </c>
      <c r="Y82" s="904" t="s">
        <v>436</v>
      </c>
      <c r="Z82" s="2152" t="s">
        <v>49</v>
      </c>
      <c r="AA82" s="904" t="s">
        <v>50</v>
      </c>
      <c r="AB82" s="2152" t="s">
        <v>51</v>
      </c>
      <c r="AC82" s="904" t="s">
        <v>52</v>
      </c>
      <c r="AD82" s="2152" t="s">
        <v>30</v>
      </c>
      <c r="AE82" s="904" t="s">
        <v>35</v>
      </c>
      <c r="AF82" s="2152" t="s">
        <v>31</v>
      </c>
      <c r="AG82" s="904" t="s">
        <v>36</v>
      </c>
      <c r="AH82" s="681"/>
      <c r="AI82" s="676"/>
      <c r="AJ82" s="3017"/>
      <c r="AK82" s="3018"/>
      <c r="AL82" s="2917"/>
      <c r="AM82" s="2918">
        <f t="shared" si="20"/>
        <v>0</v>
      </c>
      <c r="AN82" s="2629" t="s">
        <v>321</v>
      </c>
      <c r="AO82" s="2631"/>
      <c r="AQ82" s="2367">
        <f t="shared" si="21"/>
        <v>0</v>
      </c>
      <c r="AR82" s="2367">
        <f t="shared" si="22"/>
        <v>0</v>
      </c>
      <c r="AS82" s="123" t="str">
        <f t="shared" si="23"/>
        <v>미사용 랙</v>
      </c>
      <c r="AT82" t="str">
        <f t="shared" si="18"/>
        <v/>
      </c>
      <c r="AU82" t="str">
        <f t="shared" si="19"/>
        <v/>
      </c>
      <c r="AZ82" s="123"/>
      <c r="BA82" s="123"/>
      <c r="BB82" s="123"/>
      <c r="BC82" s="3103"/>
      <c r="BD82" s="123"/>
      <c r="BE82" s="3104"/>
      <c r="BF82" s="3105"/>
      <c r="BG82" s="3112"/>
      <c r="BH82" s="3106"/>
      <c r="BI82" s="3107"/>
      <c r="BJ82" s="3108"/>
      <c r="BK82" s="3109"/>
      <c r="BL82" s="3110"/>
    </row>
    <row r="83" spans="1:64" ht="13.5" customHeight="1">
      <c r="A83" s="2924"/>
      <c r="B83" s="2595" t="s">
        <v>537</v>
      </c>
      <c r="C83" s="1156" t="s">
        <v>538</v>
      </c>
      <c r="D83" s="2595" t="s">
        <v>539</v>
      </c>
      <c r="E83" s="2595"/>
      <c r="F83" s="2595" t="s">
        <v>535</v>
      </c>
      <c r="G83" s="2595" t="s">
        <v>535</v>
      </c>
      <c r="H83" s="1891"/>
      <c r="I83" s="1892"/>
      <c r="J83" s="1891"/>
      <c r="K83" s="1892"/>
      <c r="L83" s="1893"/>
      <c r="M83" s="912"/>
      <c r="N83" s="912"/>
      <c r="O83" s="1894"/>
      <c r="P83" s="1895"/>
      <c r="Q83" s="1896"/>
      <c r="R83" s="912"/>
      <c r="S83" s="1894"/>
      <c r="T83" s="912"/>
      <c r="U83" s="912"/>
      <c r="V83" s="919"/>
      <c r="W83" s="919"/>
      <c r="X83" s="919"/>
      <c r="Y83" s="919"/>
      <c r="Z83" s="919"/>
      <c r="AA83" s="919"/>
      <c r="AB83" s="919"/>
      <c r="AC83" s="919"/>
      <c r="AD83" s="919"/>
      <c r="AE83" s="919"/>
      <c r="AF83" s="912"/>
      <c r="AG83" s="912"/>
      <c r="AH83" s="959"/>
      <c r="AI83" s="960"/>
      <c r="AJ83" s="1315"/>
      <c r="AK83" s="2925"/>
      <c r="AL83" s="2926"/>
      <c r="AM83" s="2927">
        <f t="shared" si="20"/>
        <v>0</v>
      </c>
      <c r="AN83" s="2629" t="s">
        <v>536</v>
      </c>
      <c r="AO83" s="2631"/>
      <c r="AQ83" s="2367">
        <f t="shared" si="21"/>
        <v>0</v>
      </c>
      <c r="AR83" s="2367">
        <f t="shared" si="22"/>
        <v>0</v>
      </c>
      <c r="AS83" s="123" t="str">
        <f t="shared" si="23"/>
        <v>미사용 랙</v>
      </c>
      <c r="AT83" t="str">
        <f t="shared" si="18"/>
        <v/>
      </c>
      <c r="AU83" t="str">
        <f t="shared" si="19"/>
        <v/>
      </c>
      <c r="AZ83" s="123"/>
      <c r="BA83" s="123"/>
      <c r="BB83" s="123"/>
      <c r="BC83" s="3103"/>
      <c r="BD83" s="123"/>
      <c r="BE83" s="3104"/>
      <c r="BF83" s="3105"/>
      <c r="BG83" s="3112"/>
      <c r="BH83" s="3106"/>
      <c r="BI83" s="3107"/>
      <c r="BJ83" s="3108"/>
      <c r="BK83" s="3109"/>
      <c r="BL83" s="3110"/>
    </row>
    <row r="84" spans="1:64" ht="13.5" customHeight="1">
      <c r="A84" s="2924"/>
      <c r="B84" s="2595" t="s">
        <v>532</v>
      </c>
      <c r="C84" s="1156" t="s">
        <v>533</v>
      </c>
      <c r="D84" s="2595" t="s">
        <v>534</v>
      </c>
      <c r="E84" s="2595"/>
      <c r="F84" s="2595" t="s">
        <v>535</v>
      </c>
      <c r="G84" s="2595" t="s">
        <v>535</v>
      </c>
      <c r="H84" s="1891"/>
      <c r="I84" s="1892"/>
      <c r="J84" s="1891"/>
      <c r="K84" s="1892"/>
      <c r="L84" s="1893"/>
      <c r="M84" s="912"/>
      <c r="N84" s="912"/>
      <c r="O84" s="1894"/>
      <c r="P84" s="1895"/>
      <c r="Q84" s="1896"/>
      <c r="R84" s="912"/>
      <c r="S84" s="1894"/>
      <c r="T84" s="912"/>
      <c r="U84" s="912"/>
      <c r="V84" s="919"/>
      <c r="W84" s="919"/>
      <c r="X84" s="919"/>
      <c r="Y84" s="919"/>
      <c r="Z84" s="919"/>
      <c r="AA84" s="919"/>
      <c r="AB84" s="919"/>
      <c r="AC84" s="919"/>
      <c r="AD84" s="919"/>
      <c r="AE84" s="919"/>
      <c r="AF84" s="912"/>
      <c r="AG84" s="912"/>
      <c r="AH84" s="959"/>
      <c r="AI84" s="960"/>
      <c r="AJ84" s="1315"/>
      <c r="AK84" s="2925"/>
      <c r="AL84" s="2926"/>
      <c r="AM84" s="2927">
        <f t="shared" si="20"/>
        <v>0</v>
      </c>
      <c r="AN84" s="2629" t="s">
        <v>536</v>
      </c>
      <c r="AO84" s="2631"/>
      <c r="AQ84" s="2367">
        <f t="shared" si="21"/>
        <v>0</v>
      </c>
      <c r="AR84" s="2367">
        <f t="shared" si="22"/>
        <v>0</v>
      </c>
      <c r="AS84" s="123" t="str">
        <f t="shared" si="23"/>
        <v>미사용 랙</v>
      </c>
      <c r="AT84" t="str">
        <f t="shared" si="18"/>
        <v/>
      </c>
      <c r="AU84" t="str">
        <f t="shared" si="19"/>
        <v/>
      </c>
      <c r="AZ84" s="123"/>
      <c r="BA84" s="123"/>
      <c r="BB84" s="123"/>
      <c r="BC84" s="3103"/>
      <c r="BD84" s="123"/>
      <c r="BE84" s="3104"/>
      <c r="BF84" s="3105"/>
      <c r="BG84" s="3112"/>
      <c r="BH84" s="3106"/>
      <c r="BI84" s="3107"/>
      <c r="BJ84" s="3108"/>
      <c r="BK84" s="3109"/>
      <c r="BL84" s="3110"/>
    </row>
    <row r="85" spans="1:64" ht="54" customHeight="1">
      <c r="A85" s="2924"/>
      <c r="B85" s="2595" t="s">
        <v>526</v>
      </c>
      <c r="C85" s="2147" t="s">
        <v>527</v>
      </c>
      <c r="D85" s="2595" t="s">
        <v>528</v>
      </c>
      <c r="E85" s="2595"/>
      <c r="F85" s="2595"/>
      <c r="G85" s="2595" t="s">
        <v>27</v>
      </c>
      <c r="H85" s="1811" t="s">
        <v>8882</v>
      </c>
      <c r="I85" s="1843" t="s">
        <v>8883</v>
      </c>
      <c r="J85" s="1811" t="str">
        <f>"7-DaHall 1-"&amp;N85&amp;"-"&amp;M85&amp;"-"&amp;O85</f>
        <v>7-DaHall 1-A-2-35-10</v>
      </c>
      <c r="K85" s="1843" t="str">
        <f>"7-DaHall 1-"&amp;R85&amp;"-"&amp;Q85&amp;"-"&amp;S85</f>
        <v>7-DaHall 1-B-2-35-10</v>
      </c>
      <c r="L85" s="1813">
        <v>48</v>
      </c>
      <c r="M85" s="1814">
        <v>35</v>
      </c>
      <c r="N85" s="2626" t="s">
        <v>41</v>
      </c>
      <c r="O85" s="1815">
        <v>10</v>
      </c>
      <c r="P85" s="1853">
        <v>48</v>
      </c>
      <c r="Q85" s="1854">
        <v>35</v>
      </c>
      <c r="R85" s="2609" t="s">
        <v>42</v>
      </c>
      <c r="S85" s="1844">
        <v>10</v>
      </c>
      <c r="T85" s="2626" t="s">
        <v>529</v>
      </c>
      <c r="U85" s="2609" t="s">
        <v>530</v>
      </c>
      <c r="V85" s="2626" t="s">
        <v>45</v>
      </c>
      <c r="W85" s="2609" t="s">
        <v>46</v>
      </c>
      <c r="X85" s="2626" t="s">
        <v>435</v>
      </c>
      <c r="Y85" s="2609" t="s">
        <v>436</v>
      </c>
      <c r="Z85" s="2626" t="s">
        <v>49</v>
      </c>
      <c r="AA85" s="2609" t="s">
        <v>50</v>
      </c>
      <c r="AB85" s="2626" t="s">
        <v>51</v>
      </c>
      <c r="AC85" s="2609" t="s">
        <v>52</v>
      </c>
      <c r="AD85" s="2626" t="s">
        <v>30</v>
      </c>
      <c r="AE85" s="2609" t="s">
        <v>35</v>
      </c>
      <c r="AF85" s="2626" t="s">
        <v>31</v>
      </c>
      <c r="AG85" s="2609" t="s">
        <v>36</v>
      </c>
      <c r="AH85" s="681"/>
      <c r="AI85" s="676"/>
      <c r="AJ85" s="3017"/>
      <c r="AK85" s="3018"/>
      <c r="AL85" s="2917"/>
      <c r="AM85" s="2918">
        <f t="shared" si="20"/>
        <v>0</v>
      </c>
      <c r="AN85" s="2629" t="s">
        <v>531</v>
      </c>
      <c r="AO85" s="2631"/>
      <c r="AQ85" s="2367">
        <f t="shared" si="21"/>
        <v>0</v>
      </c>
      <c r="AR85" s="2367">
        <f t="shared" si="22"/>
        <v>0</v>
      </c>
      <c r="AS85" s="123" t="str">
        <f t="shared" si="23"/>
        <v>미사용 랙</v>
      </c>
      <c r="AT85" t="str">
        <f t="shared" si="18"/>
        <v/>
      </c>
      <c r="AU85" t="str">
        <f t="shared" si="19"/>
        <v/>
      </c>
      <c r="AZ85" s="123"/>
      <c r="BA85" s="123"/>
      <c r="BB85" s="123"/>
      <c r="BC85" s="3103"/>
      <c r="BD85" s="123"/>
      <c r="BE85" s="3104"/>
      <c r="BF85" s="3105"/>
      <c r="BG85" s="3112"/>
      <c r="BH85" s="3106"/>
      <c r="BI85" s="3107"/>
      <c r="BJ85" s="3108"/>
      <c r="BK85" s="3109"/>
      <c r="BL85" s="3110"/>
    </row>
    <row r="86" spans="1:64" ht="62.4">
      <c r="A86" s="2924"/>
      <c r="B86" s="2595" t="s">
        <v>521</v>
      </c>
      <c r="C86" s="1158" t="s">
        <v>522</v>
      </c>
      <c r="D86" s="2595" t="s">
        <v>9249</v>
      </c>
      <c r="E86" s="2595"/>
      <c r="F86" s="2595" t="s">
        <v>27</v>
      </c>
      <c r="G86" s="2595"/>
      <c r="H86" s="1863"/>
      <c r="I86" s="1857"/>
      <c r="J86" s="1863"/>
      <c r="K86" s="1857"/>
      <c r="L86" s="1864"/>
      <c r="M86" s="941"/>
      <c r="N86" s="941"/>
      <c r="O86" s="1865"/>
      <c r="P86" s="1858"/>
      <c r="Q86" s="1848"/>
      <c r="R86" s="897"/>
      <c r="S86" s="1849"/>
      <c r="T86" s="941" t="s">
        <v>523</v>
      </c>
      <c r="U86" s="897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7"/>
      <c r="AG86" s="897"/>
      <c r="AH86" s="950"/>
      <c r="AI86" s="951"/>
      <c r="AJ86" s="1312"/>
      <c r="AK86" s="2913"/>
      <c r="AL86" s="2914"/>
      <c r="AM86" s="2921">
        <f t="shared" si="20"/>
        <v>0</v>
      </c>
      <c r="AN86" s="2629" t="s">
        <v>524</v>
      </c>
      <c r="AO86" s="688" t="s">
        <v>525</v>
      </c>
      <c r="AQ86" s="2367">
        <f t="shared" si="21"/>
        <v>0</v>
      </c>
      <c r="AR86" s="2367">
        <f t="shared" si="22"/>
        <v>0</v>
      </c>
      <c r="AS86" s="123" t="str">
        <f>IF(SIGN(AR86)&gt;=0,IF(AM86=0,"무부하 랙","적정함"),"사용초과")</f>
        <v>무부하 랙</v>
      </c>
      <c r="AT86" t="str">
        <f t="shared" si="18"/>
        <v/>
      </c>
      <c r="AU86" t="str">
        <f t="shared" si="19"/>
        <v/>
      </c>
      <c r="AZ86" s="123"/>
      <c r="BA86" s="123"/>
      <c r="BB86" s="123"/>
      <c r="BC86" s="3103"/>
      <c r="BD86" s="123"/>
      <c r="BE86" s="3104"/>
      <c r="BF86" s="3105"/>
      <c r="BG86" s="3112"/>
      <c r="BH86" s="3106"/>
      <c r="BI86" s="3107"/>
      <c r="BJ86" s="3108"/>
      <c r="BK86" s="3109"/>
      <c r="BL86" s="3110"/>
    </row>
    <row r="87" spans="1:64" ht="54" customHeight="1">
      <c r="A87" s="2924"/>
      <c r="B87" s="2595" t="s">
        <v>405</v>
      </c>
      <c r="C87" s="2147" t="s">
        <v>406</v>
      </c>
      <c r="D87" s="2595" t="s">
        <v>401</v>
      </c>
      <c r="E87" s="2595"/>
      <c r="F87" s="2595"/>
      <c r="G87" s="2595" t="s">
        <v>27</v>
      </c>
      <c r="H87" s="1811" t="s">
        <v>8884</v>
      </c>
      <c r="I87" s="1843" t="s">
        <v>8885</v>
      </c>
      <c r="J87" s="1811" t="str">
        <f t="shared" ref="J87:J93" si="25">"7-DaHall 1-"&amp;N87&amp;"-"&amp;M87&amp;"-"&amp;O87</f>
        <v>7-DaHall 1-A-3-100-60</v>
      </c>
      <c r="K87" s="1843" t="str">
        <f t="shared" ref="K87:K93" si="26">"7-DaHall 1-"&amp;R87&amp;"-"&amp;Q87&amp;"-"&amp;S87</f>
        <v>7-DaHall 1-B-3-100-60</v>
      </c>
      <c r="L87" s="1813">
        <v>48</v>
      </c>
      <c r="M87" s="1814">
        <v>100</v>
      </c>
      <c r="N87" s="2626" t="s">
        <v>181</v>
      </c>
      <c r="O87" s="1815">
        <v>60</v>
      </c>
      <c r="P87" s="1853">
        <v>48</v>
      </c>
      <c r="Q87" s="1854">
        <v>100</v>
      </c>
      <c r="R87" s="2609" t="s">
        <v>182</v>
      </c>
      <c r="S87" s="1844">
        <v>60</v>
      </c>
      <c r="T87" s="2626" t="s">
        <v>407</v>
      </c>
      <c r="U87" s="2609" t="s">
        <v>408</v>
      </c>
      <c r="V87" s="2929" t="s">
        <v>185</v>
      </c>
      <c r="W87" s="2928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3017"/>
      <c r="AK87" s="3018"/>
      <c r="AL87" s="2917"/>
      <c r="AM87" s="2918">
        <f t="shared" si="20"/>
        <v>0</v>
      </c>
      <c r="AN87" s="2625"/>
      <c r="AO87" s="2941" t="s">
        <v>8886</v>
      </c>
      <c r="AQ87" s="2367">
        <f t="shared" si="21"/>
        <v>0</v>
      </c>
      <c r="AR87" s="2367">
        <f t="shared" si="22"/>
        <v>0</v>
      </c>
      <c r="AS87" s="123" t="str">
        <f t="shared" si="23"/>
        <v>미사용 랙</v>
      </c>
      <c r="AT87" t="str">
        <f t="shared" si="18"/>
        <v/>
      </c>
      <c r="AU87" t="str">
        <f t="shared" si="19"/>
        <v/>
      </c>
      <c r="AZ87" s="123"/>
      <c r="BA87" s="123"/>
      <c r="BB87" s="123"/>
      <c r="BC87" s="3103"/>
      <c r="BD87" s="123"/>
      <c r="BE87" s="3104"/>
      <c r="BF87" s="3105"/>
      <c r="BG87" s="3112"/>
      <c r="BH87" s="3106"/>
      <c r="BI87" s="3107"/>
      <c r="BJ87" s="3108"/>
      <c r="BK87" s="3109"/>
      <c r="BL87" s="3110"/>
    </row>
    <row r="88" spans="1:64" ht="54" customHeight="1">
      <c r="A88" s="2924"/>
      <c r="B88" s="2595" t="s">
        <v>399</v>
      </c>
      <c r="C88" s="2147" t="s">
        <v>400</v>
      </c>
      <c r="D88" s="2595" t="s">
        <v>401</v>
      </c>
      <c r="E88" s="2595"/>
      <c r="F88" s="2595"/>
      <c r="G88" s="2595" t="s">
        <v>27</v>
      </c>
      <c r="H88" s="1811" t="s">
        <v>8887</v>
      </c>
      <c r="I88" s="1843" t="s">
        <v>8888</v>
      </c>
      <c r="J88" s="1811" t="str">
        <f t="shared" si="25"/>
        <v>7-DaHall 1-A-3-100-28</v>
      </c>
      <c r="K88" s="1843" t="str">
        <f t="shared" si="26"/>
        <v>7-DaHall 1-B-3-100-28</v>
      </c>
      <c r="L88" s="1813">
        <v>48</v>
      </c>
      <c r="M88" s="1814">
        <v>100</v>
      </c>
      <c r="N88" s="2626" t="s">
        <v>181</v>
      </c>
      <c r="O88" s="1815">
        <v>28</v>
      </c>
      <c r="P88" s="1853">
        <v>48</v>
      </c>
      <c r="Q88" s="1854">
        <v>100</v>
      </c>
      <c r="R88" s="2609" t="s">
        <v>182</v>
      </c>
      <c r="S88" s="1844">
        <v>28</v>
      </c>
      <c r="T88" s="2626" t="s">
        <v>402</v>
      </c>
      <c r="U88" s="2609" t="s">
        <v>403</v>
      </c>
      <c r="V88" s="2929" t="s">
        <v>185</v>
      </c>
      <c r="W88" s="2928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3017"/>
      <c r="AK88" s="3018"/>
      <c r="AL88" s="2917"/>
      <c r="AM88" s="2918">
        <f t="shared" si="20"/>
        <v>0</v>
      </c>
      <c r="AN88" s="2629"/>
      <c r="AO88" s="2942" t="s">
        <v>404</v>
      </c>
      <c r="AQ88" s="2367">
        <f t="shared" si="21"/>
        <v>0</v>
      </c>
      <c r="AR88" s="2367">
        <f t="shared" si="22"/>
        <v>0</v>
      </c>
      <c r="AS88" s="123" t="str">
        <f t="shared" si="23"/>
        <v>미사용 랙</v>
      </c>
      <c r="AT88" t="str">
        <f t="shared" si="18"/>
        <v/>
      </c>
      <c r="AU88" t="str">
        <f t="shared" si="19"/>
        <v/>
      </c>
      <c r="AZ88" s="123"/>
      <c r="BA88" s="123"/>
      <c r="BB88" s="123"/>
      <c r="BC88" s="3103"/>
      <c r="BD88" s="123"/>
      <c r="BE88" s="3104"/>
      <c r="BF88" s="3105"/>
      <c r="BG88" s="3112"/>
      <c r="BH88" s="3106"/>
      <c r="BI88" s="3107"/>
      <c r="BJ88" s="3108"/>
      <c r="BK88" s="3109"/>
      <c r="BL88" s="3110"/>
    </row>
    <row r="89" spans="1:64" ht="54" customHeight="1">
      <c r="A89" s="2924"/>
      <c r="B89" s="2595" t="s">
        <v>394</v>
      </c>
      <c r="C89" s="2147" t="s">
        <v>395</v>
      </c>
      <c r="D89" s="2595" t="s">
        <v>396</v>
      </c>
      <c r="E89" s="2595"/>
      <c r="F89" s="2595"/>
      <c r="G89" s="2595" t="s">
        <v>27</v>
      </c>
      <c r="H89" s="1811" t="s">
        <v>8889</v>
      </c>
      <c r="I89" s="1843" t="s">
        <v>8890</v>
      </c>
      <c r="J89" s="1811" t="str">
        <f t="shared" si="25"/>
        <v>7-DaHall 1-A-3-50-15</v>
      </c>
      <c r="K89" s="1843" t="str">
        <f t="shared" si="26"/>
        <v>7-DaHall 1-B-3-50-15</v>
      </c>
      <c r="L89" s="1813">
        <v>48</v>
      </c>
      <c r="M89" s="1814">
        <v>50</v>
      </c>
      <c r="N89" s="2626" t="s">
        <v>181</v>
      </c>
      <c r="O89" s="1815">
        <v>15</v>
      </c>
      <c r="P89" s="1853">
        <v>48</v>
      </c>
      <c r="Q89" s="1854">
        <v>50</v>
      </c>
      <c r="R89" s="2609" t="s">
        <v>182</v>
      </c>
      <c r="S89" s="1844">
        <v>15</v>
      </c>
      <c r="T89" s="2626" t="s">
        <v>397</v>
      </c>
      <c r="U89" s="2609" t="s">
        <v>398</v>
      </c>
      <c r="V89" s="2929" t="s">
        <v>185</v>
      </c>
      <c r="W89" s="2928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3017"/>
      <c r="AK89" s="3018"/>
      <c r="AL89" s="2917"/>
      <c r="AM89" s="2918">
        <f t="shared" si="20"/>
        <v>0</v>
      </c>
      <c r="AN89" s="2629"/>
      <c r="AO89" s="2631"/>
      <c r="AQ89" s="2367">
        <f t="shared" si="21"/>
        <v>0</v>
      </c>
      <c r="AR89" s="2367">
        <f t="shared" si="22"/>
        <v>0</v>
      </c>
      <c r="AS89" s="123" t="str">
        <f t="shared" si="23"/>
        <v>미사용 랙</v>
      </c>
      <c r="AT89" t="str">
        <f t="shared" si="18"/>
        <v/>
      </c>
      <c r="AU89" t="str">
        <f t="shared" si="19"/>
        <v/>
      </c>
      <c r="AZ89" s="123"/>
      <c r="BA89" s="123"/>
      <c r="BB89" s="123"/>
      <c r="BC89" s="3103"/>
      <c r="BD89" s="123"/>
      <c r="BE89" s="3104"/>
      <c r="BF89" s="3105"/>
      <c r="BG89" s="3112"/>
      <c r="BH89" s="3106"/>
      <c r="BI89" s="3107"/>
      <c r="BJ89" s="3108"/>
      <c r="BK89" s="3109"/>
      <c r="BL89" s="3110"/>
    </row>
    <row r="90" spans="1:64" ht="54" customHeight="1">
      <c r="A90" s="2924"/>
      <c r="B90" s="2595" t="s">
        <v>389</v>
      </c>
      <c r="C90" s="2147" t="s">
        <v>390</v>
      </c>
      <c r="D90" s="2595" t="s">
        <v>391</v>
      </c>
      <c r="E90" s="2595"/>
      <c r="F90" s="2595"/>
      <c r="G90" s="2595" t="s">
        <v>27</v>
      </c>
      <c r="H90" s="1811" t="s">
        <v>8891</v>
      </c>
      <c r="I90" s="1843" t="s">
        <v>8892</v>
      </c>
      <c r="J90" s="1811" t="str">
        <f t="shared" si="25"/>
        <v>7-DaHall 1-A-3-50-16</v>
      </c>
      <c r="K90" s="1843" t="str">
        <f t="shared" si="26"/>
        <v>7-DaHall 1-B-3-50-16</v>
      </c>
      <c r="L90" s="1813">
        <v>48</v>
      </c>
      <c r="M90" s="1814">
        <v>50</v>
      </c>
      <c r="N90" s="2626" t="s">
        <v>181</v>
      </c>
      <c r="O90" s="1815">
        <v>16</v>
      </c>
      <c r="P90" s="1853">
        <v>48</v>
      </c>
      <c r="Q90" s="1854">
        <v>50</v>
      </c>
      <c r="R90" s="2609" t="s">
        <v>182</v>
      </c>
      <c r="S90" s="1844">
        <v>16</v>
      </c>
      <c r="T90" s="2626" t="s">
        <v>392</v>
      </c>
      <c r="U90" s="2609" t="s">
        <v>393</v>
      </c>
      <c r="V90" s="2929" t="s">
        <v>185</v>
      </c>
      <c r="W90" s="2928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3017"/>
      <c r="AK90" s="3018"/>
      <c r="AL90" s="2917"/>
      <c r="AM90" s="2918">
        <f t="shared" si="20"/>
        <v>0</v>
      </c>
      <c r="AN90" s="2629"/>
      <c r="AO90" s="2631"/>
      <c r="AQ90" s="2367">
        <f t="shared" si="21"/>
        <v>0</v>
      </c>
      <c r="AR90" s="2367">
        <f t="shared" si="22"/>
        <v>0</v>
      </c>
      <c r="AS90" s="123" t="str">
        <f t="shared" si="23"/>
        <v>미사용 랙</v>
      </c>
      <c r="AT90" t="str">
        <f t="shared" si="18"/>
        <v/>
      </c>
      <c r="AU90" t="str">
        <f t="shared" si="19"/>
        <v/>
      </c>
      <c r="AZ90" s="123"/>
      <c r="BA90" s="123"/>
      <c r="BB90" s="123"/>
      <c r="BC90" s="3103"/>
      <c r="BD90" s="123"/>
      <c r="BE90" s="3104"/>
      <c r="BF90" s="3105"/>
      <c r="BG90" s="3112"/>
      <c r="BH90" s="3106"/>
      <c r="BI90" s="3107"/>
      <c r="BJ90" s="3108"/>
      <c r="BK90" s="3109"/>
      <c r="BL90" s="3110"/>
    </row>
    <row r="91" spans="1:64" ht="54" customHeight="1">
      <c r="A91" s="2924"/>
      <c r="B91" s="2595" t="s">
        <v>384</v>
      </c>
      <c r="C91" s="2147" t="s">
        <v>385</v>
      </c>
      <c r="D91" s="2595" t="s">
        <v>386</v>
      </c>
      <c r="E91" s="2595"/>
      <c r="F91" s="2595"/>
      <c r="G91" s="2595" t="s">
        <v>27</v>
      </c>
      <c r="H91" s="1811" t="s">
        <v>8893</v>
      </c>
      <c r="I91" s="1843" t="s">
        <v>8894</v>
      </c>
      <c r="J91" s="1811" t="str">
        <f t="shared" si="25"/>
        <v>7-DaHall 1-A-3-50-17</v>
      </c>
      <c r="K91" s="1843" t="str">
        <f t="shared" si="26"/>
        <v>7-DaHall 1-B-3-50-17</v>
      </c>
      <c r="L91" s="1813">
        <v>48</v>
      </c>
      <c r="M91" s="1814">
        <v>50</v>
      </c>
      <c r="N91" s="2626" t="s">
        <v>181</v>
      </c>
      <c r="O91" s="1815">
        <v>17</v>
      </c>
      <c r="P91" s="1853">
        <v>48</v>
      </c>
      <c r="Q91" s="1854">
        <v>50</v>
      </c>
      <c r="R91" s="2609" t="s">
        <v>182</v>
      </c>
      <c r="S91" s="1844">
        <v>17</v>
      </c>
      <c r="T91" s="2626" t="s">
        <v>387</v>
      </c>
      <c r="U91" s="2609" t="s">
        <v>388</v>
      </c>
      <c r="V91" s="2929" t="s">
        <v>185</v>
      </c>
      <c r="W91" s="2928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3017"/>
      <c r="AK91" s="3018"/>
      <c r="AL91" s="2917"/>
      <c r="AM91" s="2918">
        <f t="shared" si="20"/>
        <v>0</v>
      </c>
      <c r="AN91" s="2629"/>
      <c r="AO91" s="2631"/>
      <c r="AQ91" s="2367">
        <f t="shared" si="21"/>
        <v>0</v>
      </c>
      <c r="AR91" s="2367">
        <f t="shared" si="22"/>
        <v>0</v>
      </c>
      <c r="AS91" s="123" t="str">
        <f t="shared" si="23"/>
        <v>미사용 랙</v>
      </c>
      <c r="AT91" t="str">
        <f t="shared" si="18"/>
        <v/>
      </c>
      <c r="AU91" t="str">
        <f t="shared" si="19"/>
        <v/>
      </c>
      <c r="AZ91" s="123"/>
      <c r="BA91" s="123"/>
      <c r="BB91" s="123"/>
      <c r="BC91" s="3103"/>
      <c r="BD91" s="123"/>
      <c r="BE91" s="3104"/>
      <c r="BF91" s="3105"/>
      <c r="BG91" s="3112"/>
      <c r="BH91" s="3106"/>
      <c r="BI91" s="3107"/>
      <c r="BJ91" s="3108"/>
      <c r="BK91" s="3109"/>
      <c r="BL91" s="3110"/>
    </row>
    <row r="92" spans="1:64" ht="54" customHeight="1">
      <c r="A92" s="2924"/>
      <c r="B92" s="2595" t="s">
        <v>379</v>
      </c>
      <c r="C92" s="2147" t="s">
        <v>380</v>
      </c>
      <c r="D92" s="2595" t="s">
        <v>381</v>
      </c>
      <c r="E92" s="2595"/>
      <c r="F92" s="2595"/>
      <c r="G92" s="2595" t="s">
        <v>27</v>
      </c>
      <c r="H92" s="1811" t="s">
        <v>8895</v>
      </c>
      <c r="I92" s="1843" t="s">
        <v>8896</v>
      </c>
      <c r="J92" s="1811" t="str">
        <f t="shared" si="25"/>
        <v>7-DaHall 1-A-3-35-23</v>
      </c>
      <c r="K92" s="1843" t="str">
        <f t="shared" si="26"/>
        <v>7-DaHall 1-B-3-35-24</v>
      </c>
      <c r="L92" s="1813">
        <v>48</v>
      </c>
      <c r="M92" s="1814">
        <v>35</v>
      </c>
      <c r="N92" s="2626" t="s">
        <v>181</v>
      </c>
      <c r="O92" s="1815">
        <v>23</v>
      </c>
      <c r="P92" s="1853">
        <v>48</v>
      </c>
      <c r="Q92" s="1854">
        <v>35</v>
      </c>
      <c r="R92" s="2609" t="s">
        <v>182</v>
      </c>
      <c r="S92" s="1844">
        <v>24</v>
      </c>
      <c r="T92" s="2626" t="s">
        <v>382</v>
      </c>
      <c r="U92" s="2609" t="s">
        <v>383</v>
      </c>
      <c r="V92" s="2929" t="s">
        <v>185</v>
      </c>
      <c r="W92" s="2928" t="s">
        <v>186</v>
      </c>
      <c r="X92" s="2152" t="s">
        <v>47</v>
      </c>
      <c r="Y92" s="904" t="s">
        <v>48</v>
      </c>
      <c r="Z92" s="2152" t="s">
        <v>49</v>
      </c>
      <c r="AA92" s="904" t="s">
        <v>50</v>
      </c>
      <c r="AB92" s="2152" t="s">
        <v>51</v>
      </c>
      <c r="AC92" s="904" t="s">
        <v>52</v>
      </c>
      <c r="AD92" s="2152" t="s">
        <v>30</v>
      </c>
      <c r="AE92" s="904" t="s">
        <v>35</v>
      </c>
      <c r="AF92" s="2152" t="s">
        <v>31</v>
      </c>
      <c r="AG92" s="904" t="s">
        <v>36</v>
      </c>
      <c r="AH92" s="675"/>
      <c r="AI92" s="676"/>
      <c r="AJ92" s="3017"/>
      <c r="AK92" s="3018"/>
      <c r="AL92" s="2917"/>
      <c r="AM92" s="2918">
        <f t="shared" si="20"/>
        <v>0</v>
      </c>
      <c r="AN92" s="2629"/>
      <c r="AO92" s="2631"/>
      <c r="AQ92" s="2367">
        <f t="shared" si="21"/>
        <v>0</v>
      </c>
      <c r="AR92" s="2367">
        <f t="shared" si="22"/>
        <v>0</v>
      </c>
      <c r="AS92" s="123" t="str">
        <f t="shared" si="23"/>
        <v>미사용 랙</v>
      </c>
      <c r="AT92" t="str">
        <f t="shared" si="18"/>
        <v/>
      </c>
      <c r="AU92" t="str">
        <f t="shared" si="19"/>
        <v/>
      </c>
      <c r="AZ92" s="123"/>
      <c r="BA92" s="123"/>
      <c r="BB92" s="123"/>
      <c r="BC92" s="3103"/>
      <c r="BD92" s="123"/>
      <c r="BE92" s="3104"/>
      <c r="BF92" s="3105"/>
      <c r="BG92" s="3112"/>
      <c r="BH92" s="3106"/>
      <c r="BI92" s="3107"/>
      <c r="BJ92" s="3108"/>
      <c r="BK92" s="3109"/>
      <c r="BL92" s="3110"/>
    </row>
    <row r="93" spans="1:64" ht="27" customHeight="1">
      <c r="A93" s="2924"/>
      <c r="B93" s="2595" t="s">
        <v>373</v>
      </c>
      <c r="C93" s="2147" t="s">
        <v>374</v>
      </c>
      <c r="D93" s="2595" t="s">
        <v>375</v>
      </c>
      <c r="E93" s="2595"/>
      <c r="F93" s="2595"/>
      <c r="G93" s="2595" t="s">
        <v>27</v>
      </c>
      <c r="H93" s="1811" t="s">
        <v>8897</v>
      </c>
      <c r="I93" s="1843" t="s">
        <v>8898</v>
      </c>
      <c r="J93" s="1811" t="str">
        <f t="shared" si="25"/>
        <v>7-DaHall 1-A-3-100-59</v>
      </c>
      <c r="K93" s="1843" t="str">
        <f t="shared" si="26"/>
        <v>7-DaHall 1-B-3-100-59</v>
      </c>
      <c r="L93" s="1813">
        <v>48</v>
      </c>
      <c r="M93" s="1814">
        <v>100</v>
      </c>
      <c r="N93" s="2626" t="s">
        <v>181</v>
      </c>
      <c r="O93" s="1815">
        <v>59</v>
      </c>
      <c r="P93" s="1853">
        <v>48</v>
      </c>
      <c r="Q93" s="1854">
        <v>100</v>
      </c>
      <c r="R93" s="2609" t="s">
        <v>182</v>
      </c>
      <c r="S93" s="1844">
        <v>59</v>
      </c>
      <c r="T93" s="2626" t="s">
        <v>376</v>
      </c>
      <c r="U93" s="2609" t="s">
        <v>377</v>
      </c>
      <c r="V93" s="2929" t="s">
        <v>185</v>
      </c>
      <c r="W93" s="2928" t="s">
        <v>186</v>
      </c>
      <c r="X93" s="2152" t="s">
        <v>47</v>
      </c>
      <c r="Y93" s="904" t="s">
        <v>48</v>
      </c>
      <c r="Z93" s="2152" t="s">
        <v>49</v>
      </c>
      <c r="AA93" s="904" t="s">
        <v>50</v>
      </c>
      <c r="AB93" s="2152" t="s">
        <v>51</v>
      </c>
      <c r="AC93" s="904" t="s">
        <v>52</v>
      </c>
      <c r="AD93" s="2152" t="s">
        <v>30</v>
      </c>
      <c r="AE93" s="904" t="s">
        <v>35</v>
      </c>
      <c r="AF93" s="2152" t="s">
        <v>31</v>
      </c>
      <c r="AG93" s="904" t="s">
        <v>36</v>
      </c>
      <c r="AH93" s="675"/>
      <c r="AI93" s="676"/>
      <c r="AJ93" s="3017"/>
      <c r="AK93" s="3018"/>
      <c r="AL93" s="2917"/>
      <c r="AM93" s="2918">
        <f t="shared" si="20"/>
        <v>0</v>
      </c>
      <c r="AN93" s="2629"/>
      <c r="AO93" s="2631" t="s">
        <v>378</v>
      </c>
      <c r="AQ93" s="2367">
        <f t="shared" si="21"/>
        <v>0</v>
      </c>
      <c r="AR93" s="2367">
        <f t="shared" si="22"/>
        <v>0</v>
      </c>
      <c r="AS93" s="123" t="str">
        <f t="shared" si="23"/>
        <v>미사용 랙</v>
      </c>
      <c r="AT93" t="str">
        <f t="shared" si="18"/>
        <v/>
      </c>
      <c r="AU93" t="str">
        <f t="shared" si="19"/>
        <v/>
      </c>
      <c r="AZ93" s="123"/>
      <c r="BA93" s="123"/>
      <c r="BB93" s="123"/>
      <c r="BC93" s="3103"/>
      <c r="BD93" s="123"/>
      <c r="BE93" s="3104"/>
      <c r="BF93" s="3105"/>
      <c r="BG93" s="3112"/>
      <c r="BH93" s="3106"/>
      <c r="BI93" s="3107"/>
      <c r="BJ93" s="3108"/>
      <c r="BK93" s="3109"/>
      <c r="BL93" s="3110"/>
    </row>
    <row r="94" spans="1:64" ht="27" customHeight="1">
      <c r="A94" s="2924"/>
      <c r="B94" s="2595" t="s">
        <v>371</v>
      </c>
      <c r="C94" s="2595" t="s">
        <v>372</v>
      </c>
      <c r="D94" s="2595"/>
      <c r="E94" s="2595"/>
      <c r="F94" s="2595"/>
      <c r="G94" s="2595"/>
      <c r="H94" s="1831"/>
      <c r="I94" s="1870"/>
      <c r="J94" s="1831"/>
      <c r="K94" s="1870"/>
      <c r="L94" s="1833"/>
      <c r="M94" s="1834"/>
      <c r="N94" s="703"/>
      <c r="O94" s="1835"/>
      <c r="P94" s="1871"/>
      <c r="Q94" s="1834"/>
      <c r="R94" s="703"/>
      <c r="S94" s="1835"/>
      <c r="T94" s="703"/>
      <c r="U94" s="703"/>
      <c r="V94" s="2153"/>
      <c r="W94" s="2153"/>
      <c r="X94" s="2153"/>
      <c r="Y94" s="2153"/>
      <c r="Z94" s="2153"/>
      <c r="AA94" s="2153"/>
      <c r="AB94" s="2589"/>
      <c r="AC94" s="2153"/>
      <c r="AD94" s="2589"/>
      <c r="AE94" s="2153"/>
      <c r="AF94" s="2152" t="s">
        <v>31</v>
      </c>
      <c r="AG94" s="2153"/>
      <c r="AH94" s="681"/>
      <c r="AI94" s="682"/>
      <c r="AJ94" s="1301"/>
      <c r="AK94" s="2943"/>
      <c r="AL94" s="2944"/>
      <c r="AM94" s="2921">
        <f t="shared" si="20"/>
        <v>0</v>
      </c>
      <c r="AN94" s="2629"/>
      <c r="AO94" s="2631"/>
      <c r="AQ94" s="2367">
        <f t="shared" si="21"/>
        <v>0</v>
      </c>
      <c r="AR94" s="2367">
        <f t="shared" si="22"/>
        <v>0</v>
      </c>
      <c r="AS94" s="123" t="str">
        <f t="shared" si="23"/>
        <v>미사용 랙</v>
      </c>
      <c r="AT94" t="str">
        <f t="shared" si="18"/>
        <v/>
      </c>
      <c r="AU94" t="str">
        <f t="shared" si="19"/>
        <v/>
      </c>
      <c r="AZ94" s="123"/>
      <c r="BA94" s="123"/>
      <c r="BB94" s="123"/>
      <c r="BC94" s="3103"/>
      <c r="BD94" s="123"/>
      <c r="BE94" s="3104"/>
      <c r="BF94" s="3105"/>
      <c r="BG94" s="3112"/>
      <c r="BH94" s="3106"/>
      <c r="BI94" s="3107"/>
      <c r="BJ94" s="3108"/>
      <c r="BK94" s="3109"/>
      <c r="BL94" s="3110"/>
    </row>
    <row r="95" spans="1:64" ht="27" customHeight="1">
      <c r="A95" s="2924"/>
      <c r="B95" s="2595" t="s">
        <v>369</v>
      </c>
      <c r="C95" s="2147" t="s">
        <v>370</v>
      </c>
      <c r="D95" s="2595"/>
      <c r="E95" s="2595"/>
      <c r="F95" s="2595"/>
      <c r="G95" s="2595" t="s">
        <v>27</v>
      </c>
      <c r="H95" s="1831"/>
      <c r="I95" s="1870"/>
      <c r="J95" s="1831"/>
      <c r="K95" s="1870"/>
      <c r="L95" s="1833"/>
      <c r="M95" s="1834"/>
      <c r="N95" s="703"/>
      <c r="O95" s="1835"/>
      <c r="P95" s="1871"/>
      <c r="Q95" s="1834"/>
      <c r="R95" s="703"/>
      <c r="S95" s="1835"/>
      <c r="T95" s="703"/>
      <c r="U95" s="703"/>
      <c r="V95" s="2153"/>
      <c r="W95" s="2153"/>
      <c r="X95" s="2153"/>
      <c r="Y95" s="2153"/>
      <c r="Z95" s="2153"/>
      <c r="AA95" s="2153"/>
      <c r="AB95" s="2589"/>
      <c r="AC95" s="2153"/>
      <c r="AD95" s="2589"/>
      <c r="AE95" s="2153"/>
      <c r="AF95" s="2152" t="s">
        <v>31</v>
      </c>
      <c r="AG95" s="2153"/>
      <c r="AH95" s="681"/>
      <c r="AI95" s="682"/>
      <c r="AJ95" s="1301"/>
      <c r="AK95" s="2943"/>
      <c r="AL95" s="2944"/>
      <c r="AM95" s="2921">
        <f t="shared" si="20"/>
        <v>0</v>
      </c>
      <c r="AN95" s="2629"/>
      <c r="AO95" s="2631"/>
      <c r="AQ95" s="2367">
        <f t="shared" si="21"/>
        <v>0</v>
      </c>
      <c r="AR95" s="2367">
        <f t="shared" si="22"/>
        <v>0</v>
      </c>
      <c r="AS95" s="123" t="str">
        <f t="shared" si="23"/>
        <v>미사용 랙</v>
      </c>
      <c r="AT95" t="str">
        <f t="shared" si="18"/>
        <v/>
      </c>
      <c r="AU95" t="str">
        <f t="shared" si="19"/>
        <v/>
      </c>
      <c r="AZ95" s="123"/>
      <c r="BA95" s="123"/>
      <c r="BB95" s="123"/>
      <c r="BC95" s="3103"/>
      <c r="BD95" s="123"/>
      <c r="BE95" s="3104"/>
      <c r="BF95" s="3105"/>
      <c r="BG95" s="3112"/>
      <c r="BH95" s="3106"/>
      <c r="BI95" s="3107"/>
      <c r="BJ95" s="3108"/>
      <c r="BK95" s="3109"/>
      <c r="BL95" s="3110"/>
    </row>
    <row r="96" spans="1:64" ht="46.8">
      <c r="A96" s="2924"/>
      <c r="B96" s="2595" t="s">
        <v>365</v>
      </c>
      <c r="C96" s="1158" t="s">
        <v>366</v>
      </c>
      <c r="D96" s="2595" t="s">
        <v>9249</v>
      </c>
      <c r="E96" s="2595"/>
      <c r="F96" s="2595" t="s">
        <v>27</v>
      </c>
      <c r="G96" s="2595"/>
      <c r="H96" s="1831" t="s">
        <v>8899</v>
      </c>
      <c r="I96" s="1857"/>
      <c r="J96" s="1831" t="str">
        <f>"7-DaHall 1-"&amp;N96&amp;"-"&amp;M96&amp;"-"&amp;O96</f>
        <v>7-DaHall 1-PDU-01-30-29</v>
      </c>
      <c r="K96" s="1857"/>
      <c r="L96" s="1833">
        <v>220</v>
      </c>
      <c r="M96" s="1834">
        <v>30</v>
      </c>
      <c r="N96" s="703" t="s">
        <v>8749</v>
      </c>
      <c r="O96" s="1835">
        <v>29</v>
      </c>
      <c r="P96" s="1858"/>
      <c r="Q96" s="1848"/>
      <c r="R96" s="897"/>
      <c r="S96" s="1849"/>
      <c r="T96" s="703" t="s">
        <v>367</v>
      </c>
      <c r="U96" s="897"/>
      <c r="V96" s="733"/>
      <c r="W96" s="733"/>
      <c r="X96" s="733"/>
      <c r="Y96" s="733"/>
      <c r="Z96" s="733"/>
      <c r="AA96" s="733"/>
      <c r="AB96" s="2626" t="s">
        <v>108</v>
      </c>
      <c r="AC96" s="733"/>
      <c r="AD96" s="2626" t="s">
        <v>110</v>
      </c>
      <c r="AE96" s="733"/>
      <c r="AF96" s="2152" t="s">
        <v>31</v>
      </c>
      <c r="AG96" s="733"/>
      <c r="AH96" s="681">
        <f>SUM('7층_부하량(월간_AVG)'!D77:F77)</f>
        <v>0</v>
      </c>
      <c r="AI96" s="923"/>
      <c r="AJ96" s="1301">
        <f>AH96+AI96</f>
        <v>0</v>
      </c>
      <c r="AK96" s="2913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0</v>
      </c>
      <c r="AL96" s="2914"/>
      <c r="AM96" s="2921">
        <f t="shared" si="20"/>
        <v>0</v>
      </c>
      <c r="AN96" s="2629" t="s">
        <v>368</v>
      </c>
      <c r="AO96" s="2631"/>
      <c r="AQ96" s="2367">
        <f t="shared" si="21"/>
        <v>0</v>
      </c>
      <c r="AR96" s="2367">
        <f t="shared" si="22"/>
        <v>0</v>
      </c>
      <c r="AS96" s="123" t="str">
        <f>IF(SIGN(AR96)&gt;=0,IF(AM96=0,"무부하 랙","적정함"),"사용초과")</f>
        <v>무부하 랙</v>
      </c>
      <c r="AT96" t="str">
        <f t="shared" si="18"/>
        <v/>
      </c>
      <c r="AU96" t="str">
        <f t="shared" si="19"/>
        <v/>
      </c>
      <c r="AZ96" s="123"/>
      <c r="BA96" s="123"/>
      <c r="BB96" s="123"/>
      <c r="BC96" s="3103"/>
      <c r="BD96" s="123"/>
      <c r="BE96" s="3104"/>
      <c r="BF96" s="3105"/>
      <c r="BG96" s="3112"/>
      <c r="BH96" s="3106"/>
      <c r="BI96" s="3107"/>
      <c r="BJ96" s="3108"/>
      <c r="BK96" s="3109"/>
      <c r="BL96" s="3110"/>
    </row>
    <row r="97" spans="1:64" ht="16.05" customHeight="1">
      <c r="A97" s="2924"/>
      <c r="B97" s="2595" t="s">
        <v>364</v>
      </c>
      <c r="C97" s="2595"/>
      <c r="D97" s="2595"/>
      <c r="E97" s="2595"/>
      <c r="F97" s="2595"/>
      <c r="G97" s="2595"/>
      <c r="H97" s="1811"/>
      <c r="I97" s="1843"/>
      <c r="J97" s="1811"/>
      <c r="K97" s="1843"/>
      <c r="L97" s="1813"/>
      <c r="M97" s="1814"/>
      <c r="N97" s="2626"/>
      <c r="O97" s="1815"/>
      <c r="P97" s="1853"/>
      <c r="Q97" s="1854"/>
      <c r="R97" s="2609"/>
      <c r="S97" s="1844"/>
      <c r="T97" s="2626"/>
      <c r="U97" s="2609"/>
      <c r="V97" s="888"/>
      <c r="W97" s="693"/>
      <c r="X97" s="2589"/>
      <c r="Y97" s="2591"/>
      <c r="Z97" s="2589"/>
      <c r="AA97" s="2591"/>
      <c r="AB97" s="2589"/>
      <c r="AC97" s="2591"/>
      <c r="AD97" s="2589"/>
      <c r="AE97" s="2591"/>
      <c r="AF97" s="2152"/>
      <c r="AG97" s="2591"/>
      <c r="AH97" s="681"/>
      <c r="AI97" s="676"/>
      <c r="AJ97" s="3017"/>
      <c r="AK97" s="3018"/>
      <c r="AL97" s="2917"/>
      <c r="AM97" s="2918">
        <f t="shared" si="20"/>
        <v>0</v>
      </c>
      <c r="AN97" s="2629"/>
      <c r="AO97" s="2631"/>
      <c r="AQ97" s="2367">
        <f t="shared" si="21"/>
        <v>0</v>
      </c>
      <c r="AR97" s="2367">
        <f t="shared" si="22"/>
        <v>0</v>
      </c>
      <c r="AS97" s="123" t="str">
        <f t="shared" si="23"/>
        <v>미사용 랙</v>
      </c>
      <c r="AT97" t="str">
        <f t="shared" si="18"/>
        <v/>
      </c>
      <c r="AU97" t="str">
        <f t="shared" si="19"/>
        <v/>
      </c>
      <c r="AZ97" s="123"/>
      <c r="BA97" s="123"/>
      <c r="BB97" s="123"/>
      <c r="BC97" s="3103"/>
      <c r="BD97" s="123"/>
      <c r="BE97" s="3104"/>
      <c r="BF97" s="3105"/>
      <c r="BG97" s="3112"/>
      <c r="BH97" s="3106"/>
      <c r="BI97" s="3107"/>
      <c r="BJ97" s="3108"/>
      <c r="BK97" s="3109"/>
      <c r="BL97" s="3110"/>
    </row>
    <row r="98" spans="1:64" ht="46.8">
      <c r="A98" s="2924"/>
      <c r="B98" s="2595" t="s">
        <v>360</v>
      </c>
      <c r="C98" s="2149" t="s">
        <v>361</v>
      </c>
      <c r="D98" s="2595" t="s">
        <v>9251</v>
      </c>
      <c r="E98" s="3062">
        <v>2.2000000000000002</v>
      </c>
      <c r="F98" s="2595" t="s">
        <v>27</v>
      </c>
      <c r="G98" s="2595"/>
      <c r="H98" s="1831" t="s">
        <v>8900</v>
      </c>
      <c r="I98" s="1839" t="s">
        <v>8901</v>
      </c>
      <c r="J98" s="1831" t="str">
        <f>"7-DaHall 1-"&amp;N98&amp;"-"&amp;M98&amp;"-"&amp;O98</f>
        <v>7-DaHall 1-PDU-01-30-18</v>
      </c>
      <c r="K98" s="1839" t="str">
        <f>"7-DaHall 1-"&amp;R98&amp;"-"&amp;Q98&amp;"-"&amp;S98</f>
        <v>7-DaHall 1-PDU-02-30-18</v>
      </c>
      <c r="L98" s="1833">
        <v>220</v>
      </c>
      <c r="M98" s="1834">
        <v>30</v>
      </c>
      <c r="N98" s="703" t="s">
        <v>8749</v>
      </c>
      <c r="O98" s="1835">
        <v>18</v>
      </c>
      <c r="P98" s="1840">
        <v>220</v>
      </c>
      <c r="Q98" s="1841">
        <v>30</v>
      </c>
      <c r="R98" s="687" t="s">
        <v>8750</v>
      </c>
      <c r="S98" s="1842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SUM('7층_부하량(월간_AVG)'!N71:P71)</f>
        <v>1.767458953848376</v>
      </c>
      <c r="AI98" s="1197">
        <f>SUM('7층_부하량(월간_AVG)'!N39:P39)</f>
        <v>1.7551248426016357</v>
      </c>
      <c r="AJ98" s="1301">
        <f t="shared" ref="AJ98:AJ106" si="27">AH98+AI98</f>
        <v>3.5225837964500117</v>
      </c>
      <c r="AK98" s="2913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274.10000000000002</v>
      </c>
      <c r="AL98" s="2914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272</v>
      </c>
      <c r="AM98" s="2921">
        <f t="shared" si="20"/>
        <v>546.1</v>
      </c>
      <c r="AN98" s="2629" t="s">
        <v>346</v>
      </c>
      <c r="AO98" s="1198" t="s">
        <v>347</v>
      </c>
      <c r="AQ98" s="2367">
        <f t="shared" si="21"/>
        <v>0.73400537634408602</v>
      </c>
      <c r="AR98" s="2367">
        <f t="shared" si="22"/>
        <v>1.4659946236559143</v>
      </c>
      <c r="AS98" s="123" t="str">
        <f t="shared" ref="AS98:AS106" si="28">IF(SIGN(AR98)&gt;=0,IF(AM98=0,"무부하 랙","적정함"),"사용초과")</f>
        <v>적정함</v>
      </c>
      <c r="AT98" t="str">
        <f t="shared" si="18"/>
        <v/>
      </c>
      <c r="AU98" t="str">
        <f t="shared" si="19"/>
        <v/>
      </c>
      <c r="AZ98" s="123"/>
      <c r="BA98" s="123"/>
      <c r="BB98" s="123"/>
      <c r="BC98" s="3103"/>
      <c r="BD98" s="123"/>
      <c r="BE98" s="3104"/>
      <c r="BF98" s="3105"/>
      <c r="BG98" s="3112"/>
      <c r="BH98" s="3106"/>
      <c r="BI98" s="3107"/>
      <c r="BJ98" s="3108"/>
      <c r="BK98" s="3109"/>
      <c r="BL98" s="3110"/>
    </row>
    <row r="99" spans="1:64" ht="46.8">
      <c r="A99" s="2924"/>
      <c r="B99" s="2595" t="s">
        <v>356</v>
      </c>
      <c r="C99" s="2149" t="s">
        <v>357</v>
      </c>
      <c r="D99" s="2595" t="s">
        <v>9251</v>
      </c>
      <c r="E99" s="3062">
        <v>2.2000000000000002</v>
      </c>
      <c r="F99" s="2595" t="s">
        <v>27</v>
      </c>
      <c r="G99" s="2595"/>
      <c r="H99" s="1831" t="s">
        <v>8902</v>
      </c>
      <c r="I99" s="1839" t="s">
        <v>8903</v>
      </c>
      <c r="J99" s="1831" t="str">
        <f>"7-DaHall 1-"&amp;N99&amp;"-"&amp;M99&amp;"-"&amp;O99</f>
        <v>7-DaHall 1-PDU-01-30-20</v>
      </c>
      <c r="K99" s="1839" t="str">
        <f>"7-DaHall 1-"&amp;R99&amp;"-"&amp;Q99&amp;"-"&amp;S99</f>
        <v>7-DaHall 1-PDU-02-30-20</v>
      </c>
      <c r="L99" s="1833">
        <v>220</v>
      </c>
      <c r="M99" s="1834">
        <v>30</v>
      </c>
      <c r="N99" s="703" t="s">
        <v>8749</v>
      </c>
      <c r="O99" s="1835">
        <v>20</v>
      </c>
      <c r="P99" s="1840">
        <v>220</v>
      </c>
      <c r="Q99" s="1841">
        <v>30</v>
      </c>
      <c r="R99" s="687" t="s">
        <v>8750</v>
      </c>
      <c r="S99" s="1842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SUM('7층_부하량(월간_AVG)'!N72:P72)</f>
        <v>1.8691719947519312</v>
      </c>
      <c r="AI99" s="1197">
        <f>SUM('7층_부하량(월간_AVG)'!N40:P40)</f>
        <v>1.9870814863859281</v>
      </c>
      <c r="AJ99" s="1301">
        <f t="shared" si="27"/>
        <v>3.856253481137859</v>
      </c>
      <c r="AK99" s="2913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291.2</v>
      </c>
      <c r="AL99" s="2914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313.7</v>
      </c>
      <c r="AM99" s="2921">
        <f t="shared" si="20"/>
        <v>604.9</v>
      </c>
      <c r="AN99" s="2629" t="s">
        <v>346</v>
      </c>
      <c r="AO99" s="1198" t="s">
        <v>347</v>
      </c>
      <c r="AQ99" s="2367">
        <f t="shared" si="21"/>
        <v>0.81303763440860211</v>
      </c>
      <c r="AR99" s="2367">
        <f t="shared" si="22"/>
        <v>1.3869623655913981</v>
      </c>
      <c r="AS99" s="123" t="str">
        <f t="shared" si="28"/>
        <v>적정함</v>
      </c>
      <c r="AT99" t="str">
        <f t="shared" si="18"/>
        <v/>
      </c>
      <c r="AU99" t="str">
        <f t="shared" si="19"/>
        <v/>
      </c>
      <c r="AZ99" s="123"/>
      <c r="BA99" s="123"/>
      <c r="BB99" s="123"/>
      <c r="BC99" s="3103"/>
      <c r="BD99" s="123"/>
      <c r="BE99" s="3104"/>
      <c r="BF99" s="3105"/>
      <c r="BG99" s="3112"/>
      <c r="BH99" s="3106"/>
      <c r="BI99" s="3107"/>
      <c r="BJ99" s="3108"/>
      <c r="BK99" s="3109"/>
      <c r="BL99" s="3110"/>
    </row>
    <row r="100" spans="1:64" ht="46.8">
      <c r="A100" s="2924"/>
      <c r="B100" s="2595" t="s">
        <v>352</v>
      </c>
      <c r="C100" s="2149" t="s">
        <v>353</v>
      </c>
      <c r="D100" s="2595" t="s">
        <v>9251</v>
      </c>
      <c r="E100" s="3062">
        <v>2.2000000000000002</v>
      </c>
      <c r="F100" s="2595" t="s">
        <v>27</v>
      </c>
      <c r="G100" s="2595"/>
      <c r="H100" s="1831" t="s">
        <v>8904</v>
      </c>
      <c r="I100" s="1839" t="s">
        <v>8905</v>
      </c>
      <c r="J100" s="1831" t="str">
        <f>"7-DaHall 1-"&amp;N100&amp;"-"&amp;M100&amp;"-"&amp;O100</f>
        <v>7-DaHall 1-PDU-01-30-22</v>
      </c>
      <c r="K100" s="1839" t="str">
        <f>"7-DaHall 1-"&amp;R100&amp;"-"&amp;Q100&amp;"-"&amp;S100</f>
        <v>7-DaHall 1-PDU-02-30-22</v>
      </c>
      <c r="L100" s="1833">
        <v>220</v>
      </c>
      <c r="M100" s="1834">
        <v>30</v>
      </c>
      <c r="N100" s="703" t="s">
        <v>8749</v>
      </c>
      <c r="O100" s="1835">
        <v>22</v>
      </c>
      <c r="P100" s="1840">
        <v>220</v>
      </c>
      <c r="Q100" s="1841">
        <v>30</v>
      </c>
      <c r="R100" s="687" t="s">
        <v>8750</v>
      </c>
      <c r="S100" s="1842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SUM('7층_부하량(월간_AVG)'!N73:P73)</f>
        <v>1.7322875372682636</v>
      </c>
      <c r="AI100" s="1197">
        <f>SUM('7층_부하량(월간_AVG)'!N41:P41)</f>
        <v>1.9626940823661654</v>
      </c>
      <c r="AJ100" s="1301">
        <f t="shared" si="27"/>
        <v>3.6949816196344289</v>
      </c>
      <c r="AK100" s="2913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269.2</v>
      </c>
      <c r="AL100" s="2914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308</v>
      </c>
      <c r="AM100" s="2921">
        <f t="shared" si="20"/>
        <v>577.20000000000005</v>
      </c>
      <c r="AN100" s="2629" t="s">
        <v>346</v>
      </c>
      <c r="AO100" s="1198" t="s">
        <v>347</v>
      </c>
      <c r="AQ100" s="2367">
        <f t="shared" si="21"/>
        <v>0.77580645161290329</v>
      </c>
      <c r="AR100" s="2367">
        <f t="shared" si="22"/>
        <v>1.4241935483870969</v>
      </c>
      <c r="AS100" s="123" t="str">
        <f t="shared" si="28"/>
        <v>적정함</v>
      </c>
      <c r="AT100" t="str">
        <f t="shared" si="18"/>
        <v/>
      </c>
      <c r="AU100" t="str">
        <f t="shared" si="19"/>
        <v/>
      </c>
      <c r="AZ100" s="123"/>
      <c r="BA100" s="123"/>
      <c r="BB100" s="123"/>
      <c r="BC100" s="3103"/>
      <c r="BD100" s="123"/>
      <c r="BE100" s="3104"/>
      <c r="BF100" s="3105"/>
      <c r="BG100" s="3112"/>
      <c r="BH100" s="3106"/>
      <c r="BI100" s="3107"/>
      <c r="BJ100" s="3108"/>
      <c r="BK100" s="3109"/>
      <c r="BL100" s="3110"/>
    </row>
    <row r="101" spans="1:64" ht="46.8">
      <c r="A101" s="2924"/>
      <c r="B101" s="2595" t="s">
        <v>348</v>
      </c>
      <c r="C101" s="2149" t="s">
        <v>349</v>
      </c>
      <c r="D101" s="2595" t="s">
        <v>9251</v>
      </c>
      <c r="E101" s="3062">
        <v>2.2000000000000002</v>
      </c>
      <c r="F101" s="2595" t="s">
        <v>27</v>
      </c>
      <c r="G101" s="2595"/>
      <c r="H101" s="1831" t="s">
        <v>8906</v>
      </c>
      <c r="I101" s="1839" t="s">
        <v>8907</v>
      </c>
      <c r="J101" s="1831" t="str">
        <f t="shared" ref="J101" si="29">"7-DaHall 1-"&amp;N101&amp;"-"&amp;M101&amp;"-"&amp;O101</f>
        <v>7-DaHall 1-PDU-01-30-24</v>
      </c>
      <c r="K101" s="1839" t="str">
        <f t="shared" ref="K101" si="30">"7-DaHall 1-"&amp;R101&amp;"-"&amp;Q101&amp;"-"&amp;S101</f>
        <v>7-DaHall 1-PDU-02-30-24</v>
      </c>
      <c r="L101" s="1833">
        <v>220</v>
      </c>
      <c r="M101" s="1834">
        <v>30</v>
      </c>
      <c r="N101" s="703" t="s">
        <v>8749</v>
      </c>
      <c r="O101" s="1835">
        <v>24</v>
      </c>
      <c r="P101" s="1840">
        <v>220</v>
      </c>
      <c r="Q101" s="1841">
        <v>30</v>
      </c>
      <c r="R101" s="687" t="s">
        <v>8750</v>
      </c>
      <c r="S101" s="1842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SUM('7층_부하량(월간_AVG)'!N74:P74)</f>
        <v>2.7155556777593461</v>
      </c>
      <c r="AI101" s="1197">
        <f>SUM('7층_부하량(월간_AVG)'!N42:P42)</f>
        <v>2.2644564833397696</v>
      </c>
      <c r="AJ101" s="1301">
        <f t="shared" si="27"/>
        <v>4.9800121610991157</v>
      </c>
      <c r="AK101" s="2913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421.7</v>
      </c>
      <c r="AL101" s="2914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340.6</v>
      </c>
      <c r="AM101" s="2921">
        <f t="shared" si="20"/>
        <v>762.3</v>
      </c>
      <c r="AN101" s="2629" t="s">
        <v>346</v>
      </c>
      <c r="AO101" s="1198" t="s">
        <v>347</v>
      </c>
      <c r="AQ101" s="2367">
        <f t="shared" si="21"/>
        <v>1.0245967741935482</v>
      </c>
      <c r="AR101" s="2367">
        <f t="shared" si="22"/>
        <v>1.175403225806452</v>
      </c>
      <c r="AS101" s="123" t="str">
        <f t="shared" si="28"/>
        <v>적정함</v>
      </c>
      <c r="AT101" t="str">
        <f t="shared" si="18"/>
        <v/>
      </c>
      <c r="AU101" t="str">
        <f t="shared" si="19"/>
        <v/>
      </c>
      <c r="AZ101" s="123"/>
      <c r="BA101" s="123"/>
      <c r="BB101" s="123"/>
      <c r="BC101" s="3103"/>
      <c r="BD101" s="123"/>
      <c r="BE101" s="3104"/>
      <c r="BF101" s="3105"/>
      <c r="BG101" s="3112"/>
      <c r="BH101" s="3106"/>
      <c r="BI101" s="3107"/>
      <c r="BJ101" s="3108"/>
      <c r="BK101" s="3109"/>
      <c r="BL101" s="3110"/>
    </row>
    <row r="102" spans="1:64" ht="46.8">
      <c r="A102" s="2924"/>
      <c r="B102" s="2595" t="s">
        <v>342</v>
      </c>
      <c r="C102" s="2149" t="s">
        <v>343</v>
      </c>
      <c r="D102" s="2595" t="s">
        <v>9251</v>
      </c>
      <c r="E102" s="3062">
        <v>2.2000000000000002</v>
      </c>
      <c r="F102" s="2595" t="s">
        <v>27</v>
      </c>
      <c r="G102" s="2595"/>
      <c r="H102" s="1831" t="s">
        <v>8908</v>
      </c>
      <c r="I102" s="1839" t="s">
        <v>8909</v>
      </c>
      <c r="J102" s="1831" t="str">
        <f>"7-DaHall 1-"&amp;N102&amp;"-"&amp;M102&amp;"-"&amp;O102</f>
        <v>7-DaHall 1-PDU-01-30-26</v>
      </c>
      <c r="K102" s="1839" t="str">
        <f>"7-DaHall 1-"&amp;R102&amp;"-"&amp;Q102&amp;"-"&amp;S102</f>
        <v>7-DaHall 1-PDU-02-30-26</v>
      </c>
      <c r="L102" s="1833">
        <v>220</v>
      </c>
      <c r="M102" s="1834">
        <v>30</v>
      </c>
      <c r="N102" s="703" t="s">
        <v>8749</v>
      </c>
      <c r="O102" s="1835">
        <v>26</v>
      </c>
      <c r="P102" s="1840">
        <v>220</v>
      </c>
      <c r="Q102" s="1841">
        <v>30</v>
      </c>
      <c r="R102" s="687" t="s">
        <v>8750</v>
      </c>
      <c r="S102" s="1842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SUM('7층_부하량(월간_AVG)'!N75:P75)</f>
        <v>3.4078564533564477</v>
      </c>
      <c r="AI102" s="1197">
        <f>SUM('7층_부하량(월간_AVG)'!N43:P43)</f>
        <v>3.6124938253512471</v>
      </c>
      <c r="AJ102" s="1301">
        <f t="shared" si="27"/>
        <v>7.0203502787076948</v>
      </c>
      <c r="AK102" s="2913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521.70000000000005</v>
      </c>
      <c r="AL102" s="2914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558.20000000000005</v>
      </c>
      <c r="AM102" s="2921">
        <f t="shared" si="20"/>
        <v>1079.9000000000001</v>
      </c>
      <c r="AN102" s="2629" t="s">
        <v>346</v>
      </c>
      <c r="AO102" s="1198" t="s">
        <v>347</v>
      </c>
      <c r="AQ102" s="2367">
        <f t="shared" si="21"/>
        <v>1.4514784946236561</v>
      </c>
      <c r="AR102" s="2367">
        <f t="shared" si="22"/>
        <v>0.7485215053763441</v>
      </c>
      <c r="AS102" s="123" t="str">
        <f t="shared" si="28"/>
        <v>적정함</v>
      </c>
      <c r="AT102" t="str">
        <f t="shared" si="18"/>
        <v/>
      </c>
      <c r="AU102" t="str">
        <f t="shared" si="19"/>
        <v/>
      </c>
      <c r="AZ102" s="123"/>
      <c r="BA102" s="123"/>
      <c r="BB102" s="123"/>
      <c r="BC102" s="3103"/>
      <c r="BD102" s="123"/>
      <c r="BE102" s="3104"/>
      <c r="BF102" s="3105"/>
      <c r="BG102" s="3112"/>
      <c r="BH102" s="3106"/>
      <c r="BI102" s="3107"/>
      <c r="BJ102" s="3108"/>
      <c r="BK102" s="3109"/>
      <c r="BL102" s="3110"/>
    </row>
    <row r="103" spans="1:64" ht="27.75" customHeight="1">
      <c r="A103" s="2924"/>
      <c r="B103" s="2595" t="s">
        <v>336</v>
      </c>
      <c r="C103" s="2149" t="s">
        <v>337</v>
      </c>
      <c r="D103" s="2595" t="s">
        <v>9251</v>
      </c>
      <c r="E103" s="3062">
        <v>2.2000000000000002</v>
      </c>
      <c r="F103" s="2595" t="s">
        <v>27</v>
      </c>
      <c r="G103" s="2595"/>
      <c r="H103" s="1831" t="s">
        <v>8910</v>
      </c>
      <c r="I103" s="1839" t="s">
        <v>8911</v>
      </c>
      <c r="J103" s="1831" t="str">
        <f>"7-DaHall 1-"&amp;N103&amp;"-"&amp;M103&amp;"-"&amp;O103</f>
        <v>7-DaHall 1-PDU-01-30-28</v>
      </c>
      <c r="K103" s="1839" t="str">
        <f>"7-DaHall 1-"&amp;R103&amp;"-"&amp;Q103&amp;"-"&amp;S103</f>
        <v>7-DaHall 1-PDU-02-30-28</v>
      </c>
      <c r="L103" s="1833">
        <v>220</v>
      </c>
      <c r="M103" s="1834">
        <v>30</v>
      </c>
      <c r="N103" s="703" t="s">
        <v>8749</v>
      </c>
      <c r="O103" s="1835">
        <v>28</v>
      </c>
      <c r="P103" s="1840">
        <v>220</v>
      </c>
      <c r="Q103" s="1841">
        <v>30</v>
      </c>
      <c r="R103" s="687" t="s">
        <v>8750</v>
      </c>
      <c r="S103" s="1842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SUM('7층_부하량(월간_AVG)'!N76:P76)</f>
        <v>5.5754982868118299</v>
      </c>
      <c r="AI103" s="1197">
        <f>SUM('7층_부하량(월간_AVG)'!N44:P44)</f>
        <v>5.7740639709519082</v>
      </c>
      <c r="AJ103" s="1301">
        <f t="shared" si="27"/>
        <v>11.349562257763738</v>
      </c>
      <c r="AK103" s="2913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847.7</v>
      </c>
      <c r="AL103" s="2914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883.3</v>
      </c>
      <c r="AM103" s="2921">
        <f t="shared" si="20"/>
        <v>1731</v>
      </c>
      <c r="AN103" s="2629" t="s">
        <v>340</v>
      </c>
      <c r="AO103" s="1198" t="s">
        <v>341</v>
      </c>
      <c r="AQ103" s="2367">
        <f t="shared" si="21"/>
        <v>2.3266129032258065</v>
      </c>
      <c r="AR103" s="2367">
        <f t="shared" si="22"/>
        <v>-0.12661290322580632</v>
      </c>
      <c r="AS103" s="123" t="str">
        <f t="shared" si="28"/>
        <v>사용초과</v>
      </c>
      <c r="AT103" t="str">
        <f t="shared" si="18"/>
        <v>Digital Edge</v>
      </c>
      <c r="AU103" t="str">
        <f t="shared" si="19"/>
        <v>B421</v>
      </c>
      <c r="AZ103" s="123"/>
      <c r="BA103" s="123"/>
      <c r="BB103" s="123"/>
      <c r="BC103" s="3103"/>
      <c r="BD103" s="123"/>
      <c r="BE103" s="3104"/>
      <c r="BF103" s="3105"/>
      <c r="BG103" s="3112"/>
      <c r="BH103" s="3106"/>
      <c r="BI103" s="3107"/>
      <c r="BJ103" s="3108"/>
      <c r="BK103" s="3109"/>
      <c r="BL103" s="3110"/>
    </row>
    <row r="104" spans="1:64" ht="46.8">
      <c r="A104" s="2924"/>
      <c r="B104" s="2601" t="s">
        <v>334</v>
      </c>
      <c r="C104" s="2151" t="s">
        <v>335</v>
      </c>
      <c r="D104" s="2595" t="s">
        <v>9251</v>
      </c>
      <c r="E104" s="3062">
        <v>2.2000000000000002</v>
      </c>
      <c r="F104" s="2620" t="s">
        <v>27</v>
      </c>
      <c r="G104" s="2108" t="s">
        <v>329</v>
      </c>
      <c r="H104" s="2109" t="s">
        <v>8912</v>
      </c>
      <c r="I104" s="2110" t="s">
        <v>8913</v>
      </c>
      <c r="J104" s="1831" t="str">
        <f>"7-DaHall 1-"&amp;N104&amp;"-"&amp;M104&amp;"-"&amp;O104</f>
        <v>7-DaHall 1-PDU-01-    30AT-40</v>
      </c>
      <c r="K104" s="1839" t="str">
        <f>"7-DaHall 1-"&amp;R104&amp;"-"&amp;Q104&amp;"-"&amp;S104</f>
        <v>7-DaHall 1-PDU-02-    30AT-40</v>
      </c>
      <c r="L104" s="2010" t="s">
        <v>330</v>
      </c>
      <c r="M104" s="2109" t="s">
        <v>331</v>
      </c>
      <c r="N104" s="2109" t="s">
        <v>8749</v>
      </c>
      <c r="O104" s="2114">
        <v>40</v>
      </c>
      <c r="P104" s="2115" t="s">
        <v>330</v>
      </c>
      <c r="Q104" s="2115" t="s">
        <v>331</v>
      </c>
      <c r="R104" s="2115" t="s">
        <v>8750</v>
      </c>
      <c r="S104" s="2110">
        <v>40</v>
      </c>
      <c r="T104" s="897"/>
      <c r="U104" s="953"/>
      <c r="V104" s="897"/>
      <c r="W104" s="953"/>
      <c r="X104" s="897"/>
      <c r="Y104" s="953"/>
      <c r="Z104" s="897"/>
      <c r="AA104" s="953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SUM('7층_부하량(월간_AVG)'!N82:P82)</f>
        <v>3.3593524821224419</v>
      </c>
      <c r="AI104" s="2118">
        <f>SUM('7층_부하량(월간_AVG)'!N50:P50)</f>
        <v>3.0173502175058649</v>
      </c>
      <c r="AJ104" s="1301">
        <f t="shared" si="27"/>
        <v>6.3767026996283072</v>
      </c>
      <c r="AK104" s="2913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479</v>
      </c>
      <c r="AL104" s="2914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444</v>
      </c>
      <c r="AM104" s="2921">
        <f t="shared" si="20"/>
        <v>923</v>
      </c>
      <c r="AN104" s="1331"/>
      <c r="AO104" s="1165"/>
      <c r="AQ104" s="2367">
        <f t="shared" si="21"/>
        <v>1.2405913978494623</v>
      </c>
      <c r="AR104" s="2367">
        <f t="shared" si="22"/>
        <v>0.95940860215053791</v>
      </c>
      <c r="AS104" s="123" t="str">
        <f t="shared" si="28"/>
        <v>적정함</v>
      </c>
      <c r="AT104" t="str">
        <f t="shared" si="18"/>
        <v/>
      </c>
      <c r="AU104" t="str">
        <f t="shared" si="19"/>
        <v/>
      </c>
      <c r="AZ104" s="123"/>
      <c r="BA104" s="123"/>
      <c r="BB104" s="123"/>
      <c r="BC104" s="3103"/>
      <c r="BD104" s="123"/>
      <c r="BE104" s="3104"/>
      <c r="BF104" s="3105"/>
      <c r="BG104" s="3112"/>
      <c r="BH104" s="3106"/>
      <c r="BI104" s="3107"/>
      <c r="BJ104" s="3108"/>
      <c r="BK104" s="3109"/>
      <c r="BL104" s="3110"/>
    </row>
    <row r="105" spans="1:64" ht="46.8">
      <c r="A105" s="2924"/>
      <c r="B105" s="2601" t="s">
        <v>332</v>
      </c>
      <c r="C105" s="2151" t="s">
        <v>333</v>
      </c>
      <c r="D105" s="2595" t="s">
        <v>9251</v>
      </c>
      <c r="E105" s="3062">
        <v>2.2000000000000002</v>
      </c>
      <c r="F105" s="2620" t="s">
        <v>27</v>
      </c>
      <c r="G105" s="2108" t="s">
        <v>329</v>
      </c>
      <c r="H105" s="2109" t="s">
        <v>8914</v>
      </c>
      <c r="I105" s="2110" t="s">
        <v>8915</v>
      </c>
      <c r="J105" s="1831" t="str">
        <f>"7-DaHall 1-"&amp;N105&amp;"-"&amp;M105&amp;"-"&amp;O105</f>
        <v>7-DaHall 1-PDU-01-    30AT-38</v>
      </c>
      <c r="K105" s="1839" t="str">
        <f>"7-DaHall 1-"&amp;R105&amp;"-"&amp;Q105&amp;"-"&amp;S105</f>
        <v>7-DaHall 1-PDU-02-    30AT-38</v>
      </c>
      <c r="L105" s="2010" t="s">
        <v>330</v>
      </c>
      <c r="M105" s="2109" t="s">
        <v>331</v>
      </c>
      <c r="N105" s="2109" t="s">
        <v>8749</v>
      </c>
      <c r="O105" s="2114">
        <v>38</v>
      </c>
      <c r="P105" s="2115" t="s">
        <v>330</v>
      </c>
      <c r="Q105" s="2115" t="s">
        <v>331</v>
      </c>
      <c r="R105" s="2115" t="s">
        <v>8750</v>
      </c>
      <c r="S105" s="2110">
        <v>38</v>
      </c>
      <c r="T105" s="897"/>
      <c r="U105" s="953"/>
      <c r="V105" s="897"/>
      <c r="W105" s="953"/>
      <c r="X105" s="897"/>
      <c r="Y105" s="953"/>
      <c r="Z105" s="897"/>
      <c r="AA105" s="953"/>
      <c r="AB105" s="2152" t="s">
        <v>164</v>
      </c>
      <c r="AC105" s="904" t="s">
        <v>165</v>
      </c>
      <c r="AD105" s="2152" t="s">
        <v>110</v>
      </c>
      <c r="AE105" s="904" t="s">
        <v>111</v>
      </c>
      <c r="AF105" s="2152" t="s">
        <v>31</v>
      </c>
      <c r="AG105" s="904" t="s">
        <v>36</v>
      </c>
      <c r="AH105" s="1194">
        <f>SUM('7층_부하량(월간_AVG)'!N81:P81)</f>
        <v>2.8036552764950282</v>
      </c>
      <c r="AI105" s="2118">
        <f>SUM('7층_부하량(월간_AVG)'!N49:P49)</f>
        <v>3.8731486240173623</v>
      </c>
      <c r="AJ105" s="1301">
        <f t="shared" si="27"/>
        <v>6.6768039005123905</v>
      </c>
      <c r="AK105" s="2913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395.2</v>
      </c>
      <c r="AL105" s="2914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550.9</v>
      </c>
      <c r="AM105" s="2921">
        <f t="shared" si="20"/>
        <v>946.09999999999991</v>
      </c>
      <c r="AN105" s="1331"/>
      <c r="AO105" s="1164"/>
      <c r="AQ105" s="2367">
        <f t="shared" si="21"/>
        <v>1.2716397849462364</v>
      </c>
      <c r="AR105" s="2367">
        <f t="shared" si="22"/>
        <v>0.92836021505376376</v>
      </c>
      <c r="AS105" s="123" t="str">
        <f t="shared" si="28"/>
        <v>적정함</v>
      </c>
      <c r="AT105" t="str">
        <f t="shared" si="18"/>
        <v/>
      </c>
      <c r="AU105" t="str">
        <f t="shared" si="19"/>
        <v/>
      </c>
      <c r="AZ105" s="123"/>
      <c r="BA105" s="123"/>
      <c r="BB105" s="123"/>
      <c r="BC105" s="3103"/>
      <c r="BD105" s="123"/>
      <c r="BE105" s="3104"/>
      <c r="BF105" s="3105"/>
      <c r="BG105" s="3112"/>
      <c r="BH105" s="3106"/>
      <c r="BI105" s="3107"/>
      <c r="BJ105" s="3108"/>
      <c r="BK105" s="3109"/>
      <c r="BL105" s="3110"/>
    </row>
    <row r="106" spans="1:64" ht="46.8">
      <c r="A106" s="2924"/>
      <c r="B106" s="2595" t="s">
        <v>328</v>
      </c>
      <c r="C106" s="2629" t="s">
        <v>329</v>
      </c>
      <c r="D106" s="2595" t="s">
        <v>329</v>
      </c>
      <c r="E106" s="3062">
        <v>2.2000000000000002</v>
      </c>
      <c r="F106" s="2629" t="s">
        <v>27</v>
      </c>
      <c r="G106" s="2629" t="s">
        <v>329</v>
      </c>
      <c r="H106" s="1831" t="s">
        <v>8916</v>
      </c>
      <c r="I106" s="2107" t="s">
        <v>8917</v>
      </c>
      <c r="J106" s="1831" t="str">
        <f t="shared" ref="J106:J119" si="31">"7-DaHall 1-"&amp;N106&amp;"-"&amp;M106&amp;"-"&amp;O106</f>
        <v>7-DaHall 1-PDU-01-    30AT-36</v>
      </c>
      <c r="K106" s="1839" t="str">
        <f t="shared" ref="K106:K119" si="32">"7-DaHall 1-"&amp;R106&amp;"-"&amp;Q106&amp;"-"&amp;S106</f>
        <v>7-DaHall 1-PDU-02-    30AT-36</v>
      </c>
      <c r="L106" s="1831" t="s">
        <v>330</v>
      </c>
      <c r="M106" s="2111" t="s">
        <v>331</v>
      </c>
      <c r="N106" s="2111" t="s">
        <v>8749</v>
      </c>
      <c r="O106" s="2112">
        <v>36</v>
      </c>
      <c r="P106" s="2113" t="s">
        <v>330</v>
      </c>
      <c r="Q106" s="2113" t="s">
        <v>331</v>
      </c>
      <c r="R106" s="2113" t="s">
        <v>8750</v>
      </c>
      <c r="S106" s="2107">
        <v>36</v>
      </c>
      <c r="T106" s="703"/>
      <c r="U106" s="687"/>
      <c r="V106" s="2116"/>
      <c r="W106" s="2608"/>
      <c r="X106" s="1047"/>
      <c r="Y106" s="2117"/>
      <c r="Z106" s="1047"/>
      <c r="AA106" s="2117"/>
      <c r="AB106" s="2152" t="s">
        <v>164</v>
      </c>
      <c r="AC106" s="904" t="s">
        <v>165</v>
      </c>
      <c r="AD106" s="2152" t="s">
        <v>110</v>
      </c>
      <c r="AE106" s="904" t="s">
        <v>111</v>
      </c>
      <c r="AF106" s="2152" t="s">
        <v>31</v>
      </c>
      <c r="AG106" s="904" t="s">
        <v>36</v>
      </c>
      <c r="AH106" s="1194">
        <f>SUM('7층_부하량(월간_AVG)'!N80:P80)</f>
        <v>0</v>
      </c>
      <c r="AI106" s="2118">
        <f>SUM('7층_부하량(월간_AVG)'!N48:P48)</f>
        <v>0</v>
      </c>
      <c r="AJ106" s="1301">
        <f t="shared" si="27"/>
        <v>0</v>
      </c>
      <c r="AK106" s="2913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0</v>
      </c>
      <c r="AL106" s="2914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0</v>
      </c>
      <c r="AM106" s="2921">
        <f t="shared" si="20"/>
        <v>0</v>
      </c>
      <c r="AN106" s="2629"/>
      <c r="AO106" s="2616"/>
      <c r="AQ106" s="2367">
        <f t="shared" si="21"/>
        <v>0</v>
      </c>
      <c r="AR106" s="2367">
        <f t="shared" si="22"/>
        <v>2.2000000000000002</v>
      </c>
      <c r="AS106" s="123" t="str">
        <f t="shared" si="28"/>
        <v>무부하 랙</v>
      </c>
      <c r="AT106" t="str">
        <f t="shared" si="18"/>
        <v/>
      </c>
      <c r="AU106" t="str">
        <f t="shared" si="19"/>
        <v/>
      </c>
      <c r="AZ106" s="123"/>
      <c r="BA106" s="123"/>
      <c r="BB106" s="123"/>
      <c r="BC106" s="3103"/>
      <c r="BD106" s="123"/>
      <c r="BE106" s="3104"/>
      <c r="BF106" s="3105"/>
      <c r="BG106" s="3112"/>
      <c r="BH106" s="3106"/>
      <c r="BI106" s="3107"/>
      <c r="BJ106" s="3108"/>
      <c r="BK106" s="3109"/>
      <c r="BL106" s="3110"/>
    </row>
    <row r="107" spans="1:64" ht="54" customHeight="1">
      <c r="A107" s="2924"/>
      <c r="B107" s="2595" t="s">
        <v>225</v>
      </c>
      <c r="C107" s="2147" t="s">
        <v>226</v>
      </c>
      <c r="D107" s="2595" t="s">
        <v>227</v>
      </c>
      <c r="E107" s="2595"/>
      <c r="F107" s="2595"/>
      <c r="G107" s="2595" t="s">
        <v>27</v>
      </c>
      <c r="H107" s="1811" t="s">
        <v>8918</v>
      </c>
      <c r="I107" s="1843" t="s">
        <v>8919</v>
      </c>
      <c r="J107" s="1811" t="str">
        <f t="shared" si="31"/>
        <v>7-DaHall 1-A-3-35-22</v>
      </c>
      <c r="K107" s="1843" t="str">
        <f t="shared" si="32"/>
        <v>7-DaHall 1-B-3-35-22</v>
      </c>
      <c r="L107" s="1813">
        <v>48</v>
      </c>
      <c r="M107" s="1814">
        <v>35</v>
      </c>
      <c r="N107" s="2626" t="s">
        <v>181</v>
      </c>
      <c r="O107" s="1815">
        <v>22</v>
      </c>
      <c r="P107" s="1853">
        <v>48</v>
      </c>
      <c r="Q107" s="1854">
        <v>35</v>
      </c>
      <c r="R107" s="2609" t="s">
        <v>182</v>
      </c>
      <c r="S107" s="1844">
        <v>22</v>
      </c>
      <c r="T107" s="2626" t="s">
        <v>228</v>
      </c>
      <c r="U107" s="2609" t="s">
        <v>229</v>
      </c>
      <c r="V107" s="2929" t="s">
        <v>185</v>
      </c>
      <c r="W107" s="2928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3017"/>
      <c r="AK107" s="3018"/>
      <c r="AL107" s="2917"/>
      <c r="AM107" s="2918">
        <f t="shared" si="20"/>
        <v>0</v>
      </c>
      <c r="AN107" s="2629"/>
      <c r="AO107" s="2631"/>
      <c r="AQ107" s="2367">
        <f t="shared" si="21"/>
        <v>0</v>
      </c>
      <c r="AR107" s="2367">
        <f t="shared" si="22"/>
        <v>0</v>
      </c>
      <c r="AS107" s="123" t="str">
        <f t="shared" si="23"/>
        <v>미사용 랙</v>
      </c>
      <c r="AT107" t="str">
        <f t="shared" si="18"/>
        <v/>
      </c>
      <c r="AU107" t="str">
        <f t="shared" si="19"/>
        <v/>
      </c>
      <c r="AZ107" s="123"/>
      <c r="BA107" s="123"/>
      <c r="BB107" s="123"/>
      <c r="BC107" s="3103"/>
      <c r="BD107" s="123"/>
      <c r="BE107" s="3104"/>
      <c r="BF107" s="3105"/>
      <c r="BG107" s="3112"/>
      <c r="BH107" s="3106"/>
      <c r="BI107" s="3107"/>
      <c r="BJ107" s="3108"/>
      <c r="BK107" s="3109"/>
      <c r="BL107" s="3110"/>
    </row>
    <row r="108" spans="1:64" ht="54" customHeight="1">
      <c r="A108" s="2924"/>
      <c r="B108" s="2595" t="s">
        <v>220</v>
      </c>
      <c r="C108" s="2147" t="s">
        <v>221</v>
      </c>
      <c r="D108" s="2595" t="s">
        <v>222</v>
      </c>
      <c r="E108" s="2595"/>
      <c r="F108" s="2595"/>
      <c r="G108" s="2595" t="s">
        <v>27</v>
      </c>
      <c r="H108" s="1811" t="s">
        <v>8920</v>
      </c>
      <c r="I108" s="1843" t="s">
        <v>8921</v>
      </c>
      <c r="J108" s="1811" t="str">
        <f t="shared" si="31"/>
        <v>7-DaHall 1-A-3-35-51</v>
      </c>
      <c r="K108" s="1843" t="str">
        <f t="shared" si="32"/>
        <v>7-DaHall 1-B-3-35-51</v>
      </c>
      <c r="L108" s="1813">
        <v>48</v>
      </c>
      <c r="M108" s="1814">
        <v>35</v>
      </c>
      <c r="N108" s="2626" t="s">
        <v>181</v>
      </c>
      <c r="O108" s="1815">
        <v>51</v>
      </c>
      <c r="P108" s="1853">
        <v>48</v>
      </c>
      <c r="Q108" s="1854">
        <v>35</v>
      </c>
      <c r="R108" s="2609" t="s">
        <v>182</v>
      </c>
      <c r="S108" s="1844">
        <v>51</v>
      </c>
      <c r="T108" s="2626" t="s">
        <v>223</v>
      </c>
      <c r="U108" s="2609" t="s">
        <v>224</v>
      </c>
      <c r="V108" s="2929" t="s">
        <v>185</v>
      </c>
      <c r="W108" s="2928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3017"/>
      <c r="AK108" s="3018"/>
      <c r="AL108" s="2917"/>
      <c r="AM108" s="2918">
        <f t="shared" si="20"/>
        <v>0</v>
      </c>
      <c r="AN108" s="2629"/>
      <c r="AO108" s="2631"/>
      <c r="AQ108" s="2367">
        <f t="shared" si="21"/>
        <v>0</v>
      </c>
      <c r="AR108" s="2367">
        <f t="shared" si="22"/>
        <v>0</v>
      </c>
      <c r="AS108" s="123" t="str">
        <f t="shared" si="23"/>
        <v>미사용 랙</v>
      </c>
      <c r="AT108" t="str">
        <f t="shared" si="18"/>
        <v/>
      </c>
      <c r="AU108" t="str">
        <f t="shared" si="19"/>
        <v/>
      </c>
      <c r="AZ108" s="123"/>
      <c r="BA108" s="123"/>
      <c r="BB108" s="123"/>
      <c r="BC108" s="3103"/>
      <c r="BD108" s="123"/>
      <c r="BE108" s="3104"/>
      <c r="BF108" s="3105"/>
      <c r="BG108" s="3112"/>
      <c r="BH108" s="3106"/>
      <c r="BI108" s="3107"/>
      <c r="BJ108" s="3108"/>
      <c r="BK108" s="3109"/>
      <c r="BL108" s="3110"/>
    </row>
    <row r="109" spans="1:64" ht="54" customHeight="1">
      <c r="A109" s="2924"/>
      <c r="B109" s="2595" t="s">
        <v>215</v>
      </c>
      <c r="C109" s="2147" t="s">
        <v>216</v>
      </c>
      <c r="D109" s="2595" t="s">
        <v>217</v>
      </c>
      <c r="E109" s="2595"/>
      <c r="F109" s="2595"/>
      <c r="G109" s="2595" t="s">
        <v>27</v>
      </c>
      <c r="H109" s="1811" t="s">
        <v>8922</v>
      </c>
      <c r="I109" s="1843" t="s">
        <v>8923</v>
      </c>
      <c r="J109" s="1811" t="str">
        <f t="shared" si="31"/>
        <v>7-DaHall 1-A-3-35-50</v>
      </c>
      <c r="K109" s="1843" t="str">
        <f t="shared" si="32"/>
        <v>7-DaHall 1-B-3-35-50</v>
      </c>
      <c r="L109" s="1813">
        <v>48</v>
      </c>
      <c r="M109" s="1814">
        <v>35</v>
      </c>
      <c r="N109" s="2626" t="s">
        <v>181</v>
      </c>
      <c r="O109" s="1815">
        <v>50</v>
      </c>
      <c r="P109" s="1853">
        <v>48</v>
      </c>
      <c r="Q109" s="1854">
        <v>35</v>
      </c>
      <c r="R109" s="2609" t="s">
        <v>182</v>
      </c>
      <c r="S109" s="1844">
        <v>50</v>
      </c>
      <c r="T109" s="2626" t="s">
        <v>218</v>
      </c>
      <c r="U109" s="2609" t="s">
        <v>219</v>
      </c>
      <c r="V109" s="2929" t="s">
        <v>185</v>
      </c>
      <c r="W109" s="2928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3017"/>
      <c r="AK109" s="3018"/>
      <c r="AL109" s="2917"/>
      <c r="AM109" s="2918">
        <f t="shared" si="20"/>
        <v>0</v>
      </c>
      <c r="AN109" s="2629"/>
      <c r="AO109" s="2631"/>
      <c r="AQ109" s="2367">
        <f t="shared" si="21"/>
        <v>0</v>
      </c>
      <c r="AR109" s="2367">
        <f t="shared" si="22"/>
        <v>0</v>
      </c>
      <c r="AS109" s="123" t="str">
        <f t="shared" si="23"/>
        <v>미사용 랙</v>
      </c>
      <c r="AT109" t="str">
        <f t="shared" si="18"/>
        <v/>
      </c>
      <c r="AU109" t="str">
        <f t="shared" si="19"/>
        <v/>
      </c>
      <c r="AZ109" s="123"/>
      <c r="BA109" s="123"/>
      <c r="BB109" s="123"/>
      <c r="BC109" s="3103"/>
      <c r="BD109" s="123"/>
      <c r="BE109" s="3104"/>
      <c r="BF109" s="3105"/>
      <c r="BG109" s="3112"/>
      <c r="BH109" s="3106"/>
      <c r="BI109" s="3107"/>
      <c r="BJ109" s="3108"/>
      <c r="BK109" s="3109"/>
      <c r="BL109" s="3110"/>
    </row>
    <row r="110" spans="1:64" ht="54" customHeight="1">
      <c r="A110" s="2924"/>
      <c r="B110" s="2595" t="s">
        <v>210</v>
      </c>
      <c r="C110" s="2147" t="s">
        <v>211</v>
      </c>
      <c r="D110" s="2595" t="s">
        <v>212</v>
      </c>
      <c r="E110" s="2595"/>
      <c r="F110" s="2595"/>
      <c r="G110" s="2595" t="s">
        <v>27</v>
      </c>
      <c r="H110" s="1811" t="s">
        <v>8924</v>
      </c>
      <c r="I110" s="1843" t="s">
        <v>8925</v>
      </c>
      <c r="J110" s="1811" t="str">
        <f t="shared" si="31"/>
        <v>7-DaHall 1-A-3-50-49</v>
      </c>
      <c r="K110" s="1843" t="str">
        <f t="shared" si="32"/>
        <v>7-DaHall 1-B-3-35-49</v>
      </c>
      <c r="L110" s="1813">
        <v>48</v>
      </c>
      <c r="M110" s="1814">
        <v>50</v>
      </c>
      <c r="N110" s="2626" t="s">
        <v>181</v>
      </c>
      <c r="O110" s="1815">
        <v>49</v>
      </c>
      <c r="P110" s="1853">
        <v>48</v>
      </c>
      <c r="Q110" s="1854">
        <v>35</v>
      </c>
      <c r="R110" s="2609" t="s">
        <v>182</v>
      </c>
      <c r="S110" s="1844">
        <v>49</v>
      </c>
      <c r="T110" s="2626" t="s">
        <v>213</v>
      </c>
      <c r="U110" s="2609" t="s">
        <v>214</v>
      </c>
      <c r="V110" s="2929" t="s">
        <v>185</v>
      </c>
      <c r="W110" s="2928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3017"/>
      <c r="AK110" s="3018"/>
      <c r="AL110" s="2917"/>
      <c r="AM110" s="2918">
        <f t="shared" si="20"/>
        <v>0</v>
      </c>
      <c r="AN110" s="2629"/>
      <c r="AO110" s="2631"/>
      <c r="AQ110" s="2367">
        <f t="shared" si="21"/>
        <v>0</v>
      </c>
      <c r="AR110" s="2367">
        <f t="shared" si="22"/>
        <v>0</v>
      </c>
      <c r="AS110" s="123" t="str">
        <f t="shared" si="23"/>
        <v>미사용 랙</v>
      </c>
      <c r="AT110" t="str">
        <f t="shared" si="18"/>
        <v/>
      </c>
      <c r="AU110" t="str">
        <f t="shared" si="19"/>
        <v/>
      </c>
      <c r="AZ110" s="123"/>
      <c r="BA110" s="123"/>
      <c r="BB110" s="123"/>
      <c r="BC110" s="3103"/>
      <c r="BD110" s="123"/>
      <c r="BE110" s="3104"/>
      <c r="BF110" s="3105"/>
      <c r="BG110" s="3112"/>
      <c r="BH110" s="3106"/>
      <c r="BI110" s="3107"/>
      <c r="BJ110" s="3108"/>
      <c r="BK110" s="3109"/>
      <c r="BL110" s="3110"/>
    </row>
    <row r="111" spans="1:64" ht="54" customHeight="1">
      <c r="A111" s="2924"/>
      <c r="B111" s="2595" t="s">
        <v>205</v>
      </c>
      <c r="C111" s="2147" t="s">
        <v>206</v>
      </c>
      <c r="D111" s="2595" t="s">
        <v>207</v>
      </c>
      <c r="E111" s="2595"/>
      <c r="F111" s="2595"/>
      <c r="G111" s="2595" t="s">
        <v>27</v>
      </c>
      <c r="H111" s="1811" t="s">
        <v>8926</v>
      </c>
      <c r="I111" s="1843" t="s">
        <v>8927</v>
      </c>
      <c r="J111" s="1811" t="str">
        <f t="shared" si="31"/>
        <v>7-DaHall 1-A-3-50-21</v>
      </c>
      <c r="K111" s="1843" t="str">
        <f t="shared" si="32"/>
        <v>7-DaHall 1-B-3-50-21</v>
      </c>
      <c r="L111" s="1813">
        <v>48</v>
      </c>
      <c r="M111" s="1814">
        <v>50</v>
      </c>
      <c r="N111" s="2626" t="s">
        <v>181</v>
      </c>
      <c r="O111" s="1815">
        <v>21</v>
      </c>
      <c r="P111" s="1853">
        <v>48</v>
      </c>
      <c r="Q111" s="1854">
        <v>50</v>
      </c>
      <c r="R111" s="2609" t="s">
        <v>182</v>
      </c>
      <c r="S111" s="1844">
        <v>21</v>
      </c>
      <c r="T111" s="2626" t="s">
        <v>208</v>
      </c>
      <c r="U111" s="2609" t="s">
        <v>209</v>
      </c>
      <c r="V111" s="2929" t="s">
        <v>185</v>
      </c>
      <c r="W111" s="2928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75"/>
      <c r="AI111" s="676"/>
      <c r="AJ111" s="3017"/>
      <c r="AK111" s="3018"/>
      <c r="AL111" s="2917"/>
      <c r="AM111" s="2918">
        <f t="shared" si="20"/>
        <v>0</v>
      </c>
      <c r="AN111" s="2629"/>
      <c r="AO111" s="2631"/>
      <c r="AQ111" s="2367">
        <f t="shared" si="21"/>
        <v>0</v>
      </c>
      <c r="AR111" s="2367">
        <f t="shared" si="22"/>
        <v>0</v>
      </c>
      <c r="AS111" s="123" t="str">
        <f t="shared" si="23"/>
        <v>미사용 랙</v>
      </c>
      <c r="AT111" t="str">
        <f t="shared" si="18"/>
        <v/>
      </c>
      <c r="AU111" t="str">
        <f t="shared" si="19"/>
        <v/>
      </c>
      <c r="AZ111" s="123"/>
      <c r="BA111" s="123"/>
      <c r="BB111" s="123"/>
      <c r="BC111" s="3103"/>
      <c r="BD111" s="123"/>
      <c r="BE111" s="3104"/>
      <c r="BF111" s="3105"/>
      <c r="BG111" s="3112"/>
      <c r="BH111" s="3106"/>
      <c r="BI111" s="3107"/>
      <c r="BJ111" s="3108"/>
      <c r="BK111" s="3109"/>
      <c r="BL111" s="3110"/>
    </row>
    <row r="112" spans="1:64" ht="54" customHeight="1">
      <c r="A112" s="2924"/>
      <c r="B112" s="2595" t="s">
        <v>200</v>
      </c>
      <c r="C112" s="2147" t="s">
        <v>201</v>
      </c>
      <c r="D112" s="2595" t="s">
        <v>202</v>
      </c>
      <c r="E112" s="2595"/>
      <c r="F112" s="2595"/>
      <c r="G112" s="2595" t="s">
        <v>27</v>
      </c>
      <c r="H112" s="1811" t="s">
        <v>8928</v>
      </c>
      <c r="I112" s="1843" t="s">
        <v>8929</v>
      </c>
      <c r="J112" s="1811" t="str">
        <f t="shared" si="31"/>
        <v>7-DaHall 1-A-3-35-20</v>
      </c>
      <c r="K112" s="1843" t="str">
        <f t="shared" si="32"/>
        <v>7-DaHall 1-B-3-50-20</v>
      </c>
      <c r="L112" s="1813">
        <v>48</v>
      </c>
      <c r="M112" s="1814">
        <v>35</v>
      </c>
      <c r="N112" s="2626" t="s">
        <v>181</v>
      </c>
      <c r="O112" s="1815">
        <v>20</v>
      </c>
      <c r="P112" s="1853">
        <v>48</v>
      </c>
      <c r="Q112" s="1854">
        <v>50</v>
      </c>
      <c r="R112" s="2609" t="s">
        <v>182</v>
      </c>
      <c r="S112" s="1844">
        <v>20</v>
      </c>
      <c r="T112" s="2626" t="s">
        <v>203</v>
      </c>
      <c r="U112" s="2609" t="s">
        <v>204</v>
      </c>
      <c r="V112" s="2929" t="s">
        <v>185</v>
      </c>
      <c r="W112" s="2928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75"/>
      <c r="AI112" s="676"/>
      <c r="AJ112" s="3017"/>
      <c r="AK112" s="3018"/>
      <c r="AL112" s="2917"/>
      <c r="AM112" s="2918">
        <f t="shared" si="20"/>
        <v>0</v>
      </c>
      <c r="AN112" s="2629"/>
      <c r="AO112" s="2631"/>
      <c r="AQ112" s="2367">
        <f t="shared" si="21"/>
        <v>0</v>
      </c>
      <c r="AR112" s="2367">
        <f t="shared" si="22"/>
        <v>0</v>
      </c>
      <c r="AS112" s="123" t="str">
        <f t="shared" si="23"/>
        <v>미사용 랙</v>
      </c>
      <c r="AT112" t="str">
        <f t="shared" si="18"/>
        <v/>
      </c>
      <c r="AU112" t="str">
        <f t="shared" si="19"/>
        <v/>
      </c>
      <c r="AZ112" s="123"/>
      <c r="BA112" s="123"/>
      <c r="BB112" s="123"/>
      <c r="BC112" s="3103"/>
      <c r="BD112" s="123"/>
      <c r="BE112" s="3104"/>
      <c r="BF112" s="3105"/>
      <c r="BG112" s="3112"/>
      <c r="BH112" s="3106"/>
      <c r="BI112" s="3107"/>
      <c r="BJ112" s="3108"/>
      <c r="BK112" s="3109"/>
      <c r="BL112" s="3110"/>
    </row>
    <row r="113" spans="1:64" ht="54" customHeight="1">
      <c r="A113" s="2924"/>
      <c r="B113" s="3217" t="s">
        <v>192</v>
      </c>
      <c r="C113" s="3232" t="s">
        <v>193</v>
      </c>
      <c r="D113" s="3217" t="s">
        <v>194</v>
      </c>
      <c r="E113" s="2600"/>
      <c r="F113" s="2595"/>
      <c r="G113" s="2595" t="s">
        <v>27</v>
      </c>
      <c r="H113" s="1811" t="s">
        <v>8930</v>
      </c>
      <c r="I113" s="1843" t="s">
        <v>8931</v>
      </c>
      <c r="J113" s="1811" t="str">
        <f t="shared" si="31"/>
        <v>7-DaHall 1-A-3-35-52</v>
      </c>
      <c r="K113" s="1843" t="str">
        <f t="shared" si="32"/>
        <v>7-DaHall 1-B-3-35-23</v>
      </c>
      <c r="L113" s="1813">
        <v>48</v>
      </c>
      <c r="M113" s="1814">
        <v>35</v>
      </c>
      <c r="N113" s="2626" t="s">
        <v>181</v>
      </c>
      <c r="O113" s="1815">
        <v>52</v>
      </c>
      <c r="P113" s="1853">
        <v>48</v>
      </c>
      <c r="Q113" s="1854">
        <v>35</v>
      </c>
      <c r="R113" s="2609" t="s">
        <v>182</v>
      </c>
      <c r="S113" s="1844">
        <v>23</v>
      </c>
      <c r="T113" s="2626" t="s">
        <v>195</v>
      </c>
      <c r="U113" s="2609" t="s">
        <v>196</v>
      </c>
      <c r="V113" s="2929" t="s">
        <v>185</v>
      </c>
      <c r="W113" s="2928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85"/>
      <c r="AI113" s="686"/>
      <c r="AJ113" s="3017"/>
      <c r="AK113" s="3018"/>
      <c r="AL113" s="2917"/>
      <c r="AM113" s="2918">
        <f t="shared" si="20"/>
        <v>0</v>
      </c>
      <c r="AN113" s="2629"/>
      <c r="AO113" s="2931" t="s">
        <v>197</v>
      </c>
      <c r="AQ113" s="2367">
        <f t="shared" si="21"/>
        <v>0</v>
      </c>
      <c r="AR113" s="2367">
        <f t="shared" si="22"/>
        <v>0</v>
      </c>
      <c r="AS113" s="123" t="str">
        <f t="shared" si="23"/>
        <v>미사용 랙</v>
      </c>
      <c r="AT113" t="str">
        <f t="shared" si="18"/>
        <v/>
      </c>
      <c r="AU113" t="str">
        <f t="shared" si="19"/>
        <v/>
      </c>
      <c r="AZ113" s="123"/>
      <c r="BA113" s="123"/>
      <c r="BB113" s="123"/>
      <c r="BC113" s="3103"/>
      <c r="BD113" s="123"/>
      <c r="BE113" s="3104"/>
      <c r="BF113" s="3105"/>
      <c r="BG113" s="3112"/>
      <c r="BH113" s="3106"/>
      <c r="BI113" s="3107"/>
      <c r="BJ113" s="3108"/>
      <c r="BK113" s="3109"/>
      <c r="BL113" s="3110"/>
    </row>
    <row r="114" spans="1:64" ht="54" customHeight="1">
      <c r="A114" s="2924"/>
      <c r="B114" s="3218"/>
      <c r="C114" s="3233"/>
      <c r="D114" s="3218"/>
      <c r="E114" s="2601"/>
      <c r="F114" s="2595"/>
      <c r="G114" s="2595" t="s">
        <v>27</v>
      </c>
      <c r="H114" s="1811" t="s">
        <v>8932</v>
      </c>
      <c r="I114" s="1843" t="s">
        <v>8933</v>
      </c>
      <c r="J114" s="1811" t="str">
        <f t="shared" si="31"/>
        <v>7-DaHall 1-A-3-35-55</v>
      </c>
      <c r="K114" s="1843" t="str">
        <f t="shared" si="32"/>
        <v>7-DaHall 1-B-3-35-54</v>
      </c>
      <c r="L114" s="1813">
        <v>48</v>
      </c>
      <c r="M114" s="1814">
        <v>35</v>
      </c>
      <c r="N114" s="2626" t="s">
        <v>181</v>
      </c>
      <c r="O114" s="1815">
        <v>55</v>
      </c>
      <c r="P114" s="1853">
        <v>48</v>
      </c>
      <c r="Q114" s="1854">
        <v>35</v>
      </c>
      <c r="R114" s="2609" t="s">
        <v>182</v>
      </c>
      <c r="S114" s="1844">
        <v>54</v>
      </c>
      <c r="T114" s="2626" t="s">
        <v>198</v>
      </c>
      <c r="U114" s="2609" t="s">
        <v>199</v>
      </c>
      <c r="V114" s="2929" t="s">
        <v>185</v>
      </c>
      <c r="W114" s="2928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85"/>
      <c r="AI114" s="686"/>
      <c r="AJ114" s="3017"/>
      <c r="AK114" s="3018"/>
      <c r="AL114" s="2917"/>
      <c r="AM114" s="2918">
        <f t="shared" si="20"/>
        <v>0</v>
      </c>
      <c r="AN114" s="2629"/>
      <c r="AO114" s="2932"/>
      <c r="AQ114" s="2367">
        <f t="shared" si="21"/>
        <v>0</v>
      </c>
      <c r="AR114" s="2367">
        <f t="shared" si="22"/>
        <v>0</v>
      </c>
      <c r="AS114" s="123" t="str">
        <f t="shared" si="23"/>
        <v>미사용 랙</v>
      </c>
      <c r="AT114" t="str">
        <f t="shared" si="18"/>
        <v/>
      </c>
      <c r="AU114" t="str">
        <f t="shared" si="19"/>
        <v/>
      </c>
      <c r="AZ114" s="123"/>
      <c r="BA114" s="123"/>
      <c r="BB114" s="123"/>
      <c r="BC114" s="3103"/>
      <c r="BD114" s="123"/>
      <c r="BE114" s="3104"/>
      <c r="BF114" s="3105"/>
      <c r="BG114" s="3112"/>
      <c r="BH114" s="3106"/>
      <c r="BI114" s="3107"/>
      <c r="BJ114" s="3108"/>
      <c r="BK114" s="3109"/>
      <c r="BL114" s="3110"/>
    </row>
    <row r="115" spans="1:64" ht="54" customHeight="1">
      <c r="A115" s="2924"/>
      <c r="B115" s="2595" t="s">
        <v>187</v>
      </c>
      <c r="C115" s="2147" t="s">
        <v>188</v>
      </c>
      <c r="D115" s="2595" t="s">
        <v>189</v>
      </c>
      <c r="E115" s="2595"/>
      <c r="F115" s="2595"/>
      <c r="G115" s="2595" t="s">
        <v>27</v>
      </c>
      <c r="H115" s="1811" t="s">
        <v>8934</v>
      </c>
      <c r="I115" s="1843" t="s">
        <v>8935</v>
      </c>
      <c r="J115" s="1811" t="str">
        <f t="shared" si="31"/>
        <v>7-DaHall 1-A-3-35-19</v>
      </c>
      <c r="K115" s="1843" t="str">
        <f t="shared" si="32"/>
        <v>7-DaHall 1-B-3-50-19</v>
      </c>
      <c r="L115" s="1813">
        <v>48</v>
      </c>
      <c r="M115" s="1814">
        <v>35</v>
      </c>
      <c r="N115" s="2626" t="s">
        <v>181</v>
      </c>
      <c r="O115" s="1815">
        <v>19</v>
      </c>
      <c r="P115" s="1853">
        <v>48</v>
      </c>
      <c r="Q115" s="1854">
        <v>50</v>
      </c>
      <c r="R115" s="2609" t="s">
        <v>182</v>
      </c>
      <c r="S115" s="1844">
        <v>19</v>
      </c>
      <c r="T115" s="2626" t="s">
        <v>190</v>
      </c>
      <c r="U115" s="2609" t="s">
        <v>191</v>
      </c>
      <c r="V115" s="2929" t="s">
        <v>185</v>
      </c>
      <c r="W115" s="2928" t="s">
        <v>186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3017"/>
      <c r="AK115" s="3018"/>
      <c r="AL115" s="2917"/>
      <c r="AM115" s="2918">
        <f t="shared" si="20"/>
        <v>0</v>
      </c>
      <c r="AN115" s="2629"/>
      <c r="AO115" s="2631"/>
      <c r="AQ115" s="2367">
        <f t="shared" si="21"/>
        <v>0</v>
      </c>
      <c r="AR115" s="2367">
        <f t="shared" si="22"/>
        <v>0</v>
      </c>
      <c r="AS115" s="123" t="str">
        <f t="shared" si="23"/>
        <v>미사용 랙</v>
      </c>
      <c r="AT115" t="str">
        <f t="shared" si="18"/>
        <v/>
      </c>
      <c r="AU115" t="str">
        <f t="shared" si="19"/>
        <v/>
      </c>
      <c r="AZ115" s="123"/>
      <c r="BA115" s="123"/>
      <c r="BB115" s="123"/>
      <c r="BC115" s="3103"/>
      <c r="BD115" s="123"/>
      <c r="BE115" s="3104"/>
      <c r="BF115" s="3105"/>
      <c r="BG115" s="3112"/>
      <c r="BH115" s="3106"/>
      <c r="BI115" s="3107"/>
      <c r="BJ115" s="3108"/>
      <c r="BK115" s="3109"/>
      <c r="BL115" s="3110"/>
    </row>
    <row r="116" spans="1:64" ht="54" customHeight="1">
      <c r="A116" s="2924"/>
      <c r="B116" s="2595" t="s">
        <v>178</v>
      </c>
      <c r="C116" s="2147" t="s">
        <v>179</v>
      </c>
      <c r="D116" s="2595" t="s">
        <v>180</v>
      </c>
      <c r="E116" s="2595"/>
      <c r="F116" s="2595"/>
      <c r="G116" s="2595" t="s">
        <v>27</v>
      </c>
      <c r="H116" s="1811" t="s">
        <v>8936</v>
      </c>
      <c r="I116" s="1843" t="s">
        <v>8937</v>
      </c>
      <c r="J116" s="1811" t="str">
        <f t="shared" si="31"/>
        <v>7-DaHall 1-A-3-35-18</v>
      </c>
      <c r="K116" s="1843" t="str">
        <f t="shared" si="32"/>
        <v>7-DaHall 1-B-3-35-18</v>
      </c>
      <c r="L116" s="1813">
        <v>48</v>
      </c>
      <c r="M116" s="1814">
        <v>35</v>
      </c>
      <c r="N116" s="2626" t="s">
        <v>181</v>
      </c>
      <c r="O116" s="1815">
        <v>18</v>
      </c>
      <c r="P116" s="1853">
        <v>48</v>
      </c>
      <c r="Q116" s="1854">
        <v>35</v>
      </c>
      <c r="R116" s="2609" t="s">
        <v>182</v>
      </c>
      <c r="S116" s="1844">
        <v>18</v>
      </c>
      <c r="T116" s="2626" t="s">
        <v>183</v>
      </c>
      <c r="U116" s="2609" t="s">
        <v>184</v>
      </c>
      <c r="V116" s="2929" t="s">
        <v>185</v>
      </c>
      <c r="W116" s="2928" t="s">
        <v>186</v>
      </c>
      <c r="X116" s="2152" t="s">
        <v>47</v>
      </c>
      <c r="Y116" s="904" t="s">
        <v>48</v>
      </c>
      <c r="Z116" s="2152" t="s">
        <v>49</v>
      </c>
      <c r="AA116" s="904" t="s">
        <v>50</v>
      </c>
      <c r="AB116" s="2152" t="s">
        <v>51</v>
      </c>
      <c r="AC116" s="904" t="s">
        <v>52</v>
      </c>
      <c r="AD116" s="2152" t="s">
        <v>30</v>
      </c>
      <c r="AE116" s="904" t="s">
        <v>35</v>
      </c>
      <c r="AF116" s="2152" t="s">
        <v>31</v>
      </c>
      <c r="AG116" s="904" t="s">
        <v>36</v>
      </c>
      <c r="AH116" s="675"/>
      <c r="AI116" s="676"/>
      <c r="AJ116" s="3017"/>
      <c r="AK116" s="3018"/>
      <c r="AL116" s="2917"/>
      <c r="AM116" s="2918">
        <f t="shared" si="20"/>
        <v>0</v>
      </c>
      <c r="AN116" s="2629"/>
      <c r="AO116" s="2631"/>
      <c r="AQ116" s="2367">
        <f t="shared" si="21"/>
        <v>0</v>
      </c>
      <c r="AR116" s="2367">
        <f t="shared" si="22"/>
        <v>0</v>
      </c>
      <c r="AS116" s="123" t="str">
        <f t="shared" si="23"/>
        <v>미사용 랙</v>
      </c>
      <c r="AT116" t="str">
        <f t="shared" si="18"/>
        <v/>
      </c>
      <c r="AU116" t="str">
        <f t="shared" si="19"/>
        <v/>
      </c>
      <c r="AZ116" s="123"/>
      <c r="BA116" s="123"/>
      <c r="BB116" s="123"/>
      <c r="BC116" s="3103"/>
      <c r="BD116" s="123"/>
      <c r="BE116" s="3104"/>
      <c r="BF116" s="3105"/>
      <c r="BG116" s="3112"/>
      <c r="BH116" s="3106"/>
      <c r="BI116" s="3107"/>
      <c r="BJ116" s="3108"/>
      <c r="BK116" s="3109"/>
      <c r="BL116" s="3110"/>
    </row>
    <row r="117" spans="1:64" ht="32.1" customHeight="1">
      <c r="A117" s="2924"/>
      <c r="B117" s="2595" t="s">
        <v>173</v>
      </c>
      <c r="C117" s="2147" t="s">
        <v>174</v>
      </c>
      <c r="D117" s="2595" t="s">
        <v>175</v>
      </c>
      <c r="E117" s="2595"/>
      <c r="F117" s="2595"/>
      <c r="G117" s="2595" t="s">
        <v>27</v>
      </c>
      <c r="H117" s="1811" t="s">
        <v>8938</v>
      </c>
      <c r="I117" s="1843" t="s">
        <v>8939</v>
      </c>
      <c r="J117" s="1811" t="str">
        <f t="shared" si="31"/>
        <v>7-DaHall 1-A-2-50-22</v>
      </c>
      <c r="K117" s="1843" t="str">
        <f t="shared" si="32"/>
        <v>7-DaHall 1-B-2-50-22</v>
      </c>
      <c r="L117" s="1813">
        <v>48</v>
      </c>
      <c r="M117" s="1814">
        <v>50</v>
      </c>
      <c r="N117" s="2626" t="s">
        <v>41</v>
      </c>
      <c r="O117" s="1815">
        <v>22</v>
      </c>
      <c r="P117" s="1853">
        <v>48</v>
      </c>
      <c r="Q117" s="1854">
        <v>50</v>
      </c>
      <c r="R117" s="2609" t="s">
        <v>42</v>
      </c>
      <c r="S117" s="1844">
        <v>22</v>
      </c>
      <c r="T117" s="2626" t="s">
        <v>176</v>
      </c>
      <c r="U117" s="2609" t="s">
        <v>177</v>
      </c>
      <c r="V117" s="2593" t="s">
        <v>45</v>
      </c>
      <c r="W117" s="2602" t="s">
        <v>46</v>
      </c>
      <c r="X117" s="2152" t="s">
        <v>47</v>
      </c>
      <c r="Y117" s="904" t="s">
        <v>48</v>
      </c>
      <c r="Z117" s="2152" t="s">
        <v>49</v>
      </c>
      <c r="AA117" s="904" t="s">
        <v>50</v>
      </c>
      <c r="AB117" s="2152" t="s">
        <v>51</v>
      </c>
      <c r="AC117" s="904" t="s">
        <v>52</v>
      </c>
      <c r="AD117" s="2152" t="s">
        <v>30</v>
      </c>
      <c r="AE117" s="904" t="s">
        <v>35</v>
      </c>
      <c r="AF117" s="2152" t="s">
        <v>31</v>
      </c>
      <c r="AG117" s="904" t="s">
        <v>36</v>
      </c>
      <c r="AH117" s="675"/>
      <c r="AI117" s="676"/>
      <c r="AJ117" s="3017"/>
      <c r="AK117" s="3018"/>
      <c r="AL117" s="2917"/>
      <c r="AM117" s="2918">
        <f t="shared" si="20"/>
        <v>0</v>
      </c>
      <c r="AN117" s="2629"/>
      <c r="AO117" s="2631"/>
      <c r="AQ117" s="2367">
        <f t="shared" si="21"/>
        <v>0</v>
      </c>
      <c r="AR117" s="2367">
        <f t="shared" si="22"/>
        <v>0</v>
      </c>
      <c r="AS117" s="123" t="str">
        <f t="shared" si="23"/>
        <v>미사용 랙</v>
      </c>
      <c r="AT117" t="str">
        <f t="shared" si="18"/>
        <v/>
      </c>
      <c r="AU117" t="str">
        <f t="shared" si="19"/>
        <v/>
      </c>
      <c r="AZ117" s="123"/>
      <c r="BA117" s="123"/>
      <c r="BB117" s="123"/>
      <c r="BC117" s="3103"/>
      <c r="BD117" s="123"/>
      <c r="BE117" s="3104"/>
      <c r="BF117" s="3105"/>
      <c r="BG117" s="3112"/>
      <c r="BH117" s="3106"/>
      <c r="BI117" s="3107"/>
      <c r="BJ117" s="3108"/>
      <c r="BK117" s="3109"/>
      <c r="BL117" s="3110"/>
    </row>
    <row r="118" spans="1:64" ht="46.8">
      <c r="A118" s="2924"/>
      <c r="B118" s="2595" t="s">
        <v>167</v>
      </c>
      <c r="C118" s="1158" t="s">
        <v>168</v>
      </c>
      <c r="D118" s="2595" t="s">
        <v>169</v>
      </c>
      <c r="E118" s="3062">
        <v>2.2000000000000002</v>
      </c>
      <c r="F118" s="2595" t="s">
        <v>27</v>
      </c>
      <c r="G118" s="2595"/>
      <c r="H118" s="1831" t="s">
        <v>8940</v>
      </c>
      <c r="I118" s="1839" t="s">
        <v>8941</v>
      </c>
      <c r="J118" s="1831" t="str">
        <f t="shared" si="31"/>
        <v>7-DaHall 1-PDU-01-30-14</v>
      </c>
      <c r="K118" s="1839" t="str">
        <f t="shared" si="32"/>
        <v>7-DaHall 1-PDU-02-30-14</v>
      </c>
      <c r="L118" s="1833">
        <v>220</v>
      </c>
      <c r="M118" s="1834">
        <v>30</v>
      </c>
      <c r="N118" s="703" t="s">
        <v>8749</v>
      </c>
      <c r="O118" s="1835">
        <v>14</v>
      </c>
      <c r="P118" s="1840">
        <v>220</v>
      </c>
      <c r="Q118" s="1841">
        <v>30</v>
      </c>
      <c r="R118" s="687" t="s">
        <v>8750</v>
      </c>
      <c r="S118" s="1842">
        <v>14</v>
      </c>
      <c r="T118" s="703" t="s">
        <v>170</v>
      </c>
      <c r="U118" s="687" t="s">
        <v>171</v>
      </c>
      <c r="V118" s="897"/>
      <c r="W118" s="953"/>
      <c r="X118" s="897"/>
      <c r="Y118" s="953"/>
      <c r="Z118" s="897"/>
      <c r="AA118" s="953"/>
      <c r="AB118" s="2152" t="s">
        <v>164</v>
      </c>
      <c r="AC118" s="904" t="s">
        <v>165</v>
      </c>
      <c r="AD118" s="2152" t="s">
        <v>110</v>
      </c>
      <c r="AE118" s="904" t="s">
        <v>111</v>
      </c>
      <c r="AF118" s="2152" t="s">
        <v>31</v>
      </c>
      <c r="AG118" s="904" t="s">
        <v>36</v>
      </c>
      <c r="AH118" s="681">
        <f>SUM('7층_부하량(월간_AVG)'!N69:P69)</f>
        <v>4.2569060973323545</v>
      </c>
      <c r="AI118" s="676">
        <f>SUM('7층_부하량(월간_AVG)'!N37:P37)</f>
        <v>3.0865557429539963</v>
      </c>
      <c r="AJ118" s="1301">
        <f t="shared" ref="AJ118:AJ119" si="33">AH118+AI118</f>
        <v>7.3434618402863503</v>
      </c>
      <c r="AK118" s="2913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667</v>
      </c>
      <c r="AL118" s="2914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364.9</v>
      </c>
      <c r="AM118" s="2921">
        <f t="shared" si="20"/>
        <v>1031.9000000000001</v>
      </c>
      <c r="AN118" s="2629"/>
      <c r="AO118" s="1161" t="s">
        <v>172</v>
      </c>
      <c r="AQ118" s="2367">
        <f t="shared" si="21"/>
        <v>1.3869623655913981</v>
      </c>
      <c r="AR118" s="2367">
        <f t="shared" si="22"/>
        <v>0.81303763440860211</v>
      </c>
      <c r="AS118" s="123" t="str">
        <f>IF(SIGN(AR118)&gt;=0,IF(AM118=0,"무부하 랙","적정함"),"사용초과")</f>
        <v>적정함</v>
      </c>
      <c r="AT118" t="str">
        <f t="shared" si="18"/>
        <v/>
      </c>
      <c r="AU118" t="str">
        <f t="shared" si="19"/>
        <v/>
      </c>
      <c r="AZ118" s="123"/>
      <c r="BA118" s="123"/>
      <c r="BB118" s="123"/>
      <c r="BC118" s="3103"/>
      <c r="BD118" s="123"/>
      <c r="BE118" s="3104"/>
      <c r="BF118" s="3105"/>
      <c r="BG118" s="3112"/>
      <c r="BH118" s="3106"/>
      <c r="BI118" s="3107"/>
      <c r="BJ118" s="3108"/>
      <c r="BK118" s="3109"/>
      <c r="BL118" s="3110"/>
    </row>
    <row r="119" spans="1:64" ht="27" customHeight="1">
      <c r="A119" s="2924"/>
      <c r="B119" s="2595" t="s">
        <v>159</v>
      </c>
      <c r="C119" s="1158" t="s">
        <v>160</v>
      </c>
      <c r="D119" s="2595" t="s">
        <v>161</v>
      </c>
      <c r="E119" s="3062">
        <v>2.2000000000000002</v>
      </c>
      <c r="F119" s="2595" t="s">
        <v>27</v>
      </c>
      <c r="G119" s="2595"/>
      <c r="H119" s="1831" t="s">
        <v>8942</v>
      </c>
      <c r="I119" s="1839" t="s">
        <v>8943</v>
      </c>
      <c r="J119" s="1831" t="str">
        <f t="shared" si="31"/>
        <v>7-DaHall 1-PDU-01-30-16</v>
      </c>
      <c r="K119" s="1839" t="str">
        <f t="shared" si="32"/>
        <v>7-DaHall 1-PDU-02-30-16</v>
      </c>
      <c r="L119" s="1833">
        <v>220</v>
      </c>
      <c r="M119" s="1834">
        <v>30</v>
      </c>
      <c r="N119" s="703" t="s">
        <v>8749</v>
      </c>
      <c r="O119" s="1835">
        <v>16</v>
      </c>
      <c r="P119" s="1840">
        <v>220</v>
      </c>
      <c r="Q119" s="1841">
        <v>30</v>
      </c>
      <c r="R119" s="687" t="s">
        <v>8750</v>
      </c>
      <c r="S119" s="1842">
        <v>16</v>
      </c>
      <c r="T119" s="703" t="s">
        <v>162</v>
      </c>
      <c r="U119" s="687" t="s">
        <v>163</v>
      </c>
      <c r="V119" s="897"/>
      <c r="W119" s="953"/>
      <c r="X119" s="897"/>
      <c r="Y119" s="953"/>
      <c r="Z119" s="897"/>
      <c r="AA119" s="953"/>
      <c r="AB119" s="2152" t="s">
        <v>164</v>
      </c>
      <c r="AC119" s="904" t="s">
        <v>165</v>
      </c>
      <c r="AD119" s="2152" t="s">
        <v>110</v>
      </c>
      <c r="AE119" s="904" t="s">
        <v>111</v>
      </c>
      <c r="AF119" s="2152" t="s">
        <v>31</v>
      </c>
      <c r="AG119" s="904" t="s">
        <v>36</v>
      </c>
      <c r="AH119" s="681">
        <f>SUM('7층_부하량(월간_AVG)'!N70:P70)</f>
        <v>2.3040371063636886</v>
      </c>
      <c r="AI119" s="676">
        <f>SUM('7층_부하량(월간_AVG)'!N38:P38)</f>
        <v>2.9625195479265649</v>
      </c>
      <c r="AJ119" s="1301">
        <f t="shared" si="33"/>
        <v>5.2665566542902535</v>
      </c>
      <c r="AK119" s="2913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335.7</v>
      </c>
      <c r="AL119" s="2914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410.4</v>
      </c>
      <c r="AM119" s="2921">
        <f t="shared" si="20"/>
        <v>746.09999999999991</v>
      </c>
      <c r="AN119" s="2629"/>
      <c r="AO119" s="1162" t="s">
        <v>166</v>
      </c>
      <c r="AQ119" s="2367">
        <f t="shared" si="21"/>
        <v>1.0028225806451612</v>
      </c>
      <c r="AR119" s="2367">
        <f t="shared" si="22"/>
        <v>1.197177419354839</v>
      </c>
      <c r="AS119" s="123" t="str">
        <f>IF(SIGN(AR119)&gt;=0,IF(AM119=0,"무부하 랙","적정함"),"사용초과")</f>
        <v>적정함</v>
      </c>
      <c r="AT119" t="str">
        <f t="shared" si="18"/>
        <v/>
      </c>
      <c r="AU119" t="str">
        <f t="shared" si="19"/>
        <v/>
      </c>
      <c r="AZ119" s="123"/>
      <c r="BA119" s="123"/>
      <c r="BB119" s="123"/>
      <c r="BC119" s="3103"/>
      <c r="BD119" s="123"/>
      <c r="BE119" s="3104"/>
      <c r="BF119" s="3105"/>
      <c r="BG119" s="3112"/>
      <c r="BH119" s="3106"/>
      <c r="BI119" s="3107"/>
      <c r="BJ119" s="3108"/>
      <c r="BK119" s="3109"/>
      <c r="BL119" s="3110"/>
    </row>
    <row r="120" spans="1:64" ht="27" customHeight="1">
      <c r="A120" s="2924"/>
      <c r="B120" s="2595"/>
      <c r="C120" s="684" t="s">
        <v>158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925"/>
      <c r="AL120" s="2926"/>
      <c r="AM120" s="2927">
        <f t="shared" si="20"/>
        <v>0</v>
      </c>
      <c r="AN120" s="2629"/>
      <c r="AO120" s="1161"/>
      <c r="AQ120" s="2367">
        <f t="shared" si="21"/>
        <v>0</v>
      </c>
      <c r="AR120" s="2367">
        <f t="shared" si="22"/>
        <v>0</v>
      </c>
      <c r="AS120" s="123" t="str">
        <f t="shared" si="23"/>
        <v>미사용 랙</v>
      </c>
      <c r="AT120" t="str">
        <f t="shared" si="18"/>
        <v/>
      </c>
      <c r="AU120" t="str">
        <f t="shared" si="19"/>
        <v/>
      </c>
      <c r="AZ120" s="123"/>
      <c r="BA120" s="123"/>
      <c r="BB120" s="123"/>
      <c r="BC120" s="3103"/>
      <c r="BD120" s="123"/>
      <c r="BE120" s="3104"/>
      <c r="BF120" s="3105"/>
      <c r="BG120" s="3112"/>
      <c r="BH120" s="3106"/>
      <c r="BI120" s="3107"/>
      <c r="BJ120" s="3108"/>
      <c r="BK120" s="3109"/>
      <c r="BL120" s="3110"/>
    </row>
    <row r="121" spans="1:64" ht="27" customHeight="1">
      <c r="A121" s="2924"/>
      <c r="B121" s="2595"/>
      <c r="C121" s="684" t="s">
        <v>157</v>
      </c>
      <c r="D121" s="684"/>
      <c r="E121" s="684"/>
      <c r="F121" s="684"/>
      <c r="G121" s="684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925"/>
      <c r="AL121" s="2926"/>
      <c r="AM121" s="2927">
        <f t="shared" si="20"/>
        <v>0</v>
      </c>
      <c r="AN121" s="2629"/>
      <c r="AO121" s="1161"/>
      <c r="AQ121" s="2367">
        <f t="shared" si="21"/>
        <v>0</v>
      </c>
      <c r="AR121" s="2367">
        <f t="shared" si="22"/>
        <v>0</v>
      </c>
      <c r="AS121" s="123" t="str">
        <f t="shared" si="23"/>
        <v>미사용 랙</v>
      </c>
      <c r="AT121" t="str">
        <f t="shared" si="18"/>
        <v/>
      </c>
      <c r="AU121" t="str">
        <f t="shared" si="19"/>
        <v/>
      </c>
      <c r="AZ121" s="123"/>
      <c r="BA121" s="123"/>
      <c r="BB121" s="123"/>
      <c r="BC121" s="3103"/>
      <c r="BD121" s="123"/>
      <c r="BE121" s="3104"/>
      <c r="BF121" s="3105"/>
      <c r="BG121" s="3112"/>
      <c r="BH121" s="3106"/>
      <c r="BI121" s="3107"/>
      <c r="BJ121" s="3108"/>
      <c r="BK121" s="3109"/>
      <c r="BL121" s="3110"/>
    </row>
    <row r="122" spans="1:64" ht="27" customHeight="1">
      <c r="A122" s="2924"/>
      <c r="B122" s="2595"/>
      <c r="C122" s="684" t="s">
        <v>156</v>
      </c>
      <c r="D122" s="684"/>
      <c r="E122" s="684"/>
      <c r="F122" s="684"/>
      <c r="G122" s="684"/>
      <c r="H122" s="1845"/>
      <c r="I122" s="1846"/>
      <c r="J122" s="1845"/>
      <c r="K122" s="1846"/>
      <c r="L122" s="1847"/>
      <c r="M122" s="1848"/>
      <c r="N122" s="897"/>
      <c r="O122" s="1849"/>
      <c r="P122" s="1850"/>
      <c r="Q122" s="1851"/>
      <c r="R122" s="953"/>
      <c r="S122" s="1852"/>
      <c r="T122" s="897"/>
      <c r="U122" s="953"/>
      <c r="V122" s="897"/>
      <c r="W122" s="953"/>
      <c r="X122" s="897"/>
      <c r="Y122" s="953"/>
      <c r="Z122" s="897"/>
      <c r="AA122" s="953"/>
      <c r="AB122" s="897"/>
      <c r="AC122" s="953"/>
      <c r="AD122" s="897"/>
      <c r="AE122" s="953"/>
      <c r="AF122" s="2152" t="s">
        <v>31</v>
      </c>
      <c r="AG122" s="904" t="s">
        <v>36</v>
      </c>
      <c r="AH122" s="955"/>
      <c r="AI122" s="951"/>
      <c r="AJ122" s="1313"/>
      <c r="AK122" s="2925"/>
      <c r="AL122" s="2926"/>
      <c r="AM122" s="2927">
        <f t="shared" si="20"/>
        <v>0</v>
      </c>
      <c r="AN122" s="2629"/>
      <c r="AO122" s="1160"/>
      <c r="AQ122" s="2367">
        <f t="shared" si="21"/>
        <v>0</v>
      </c>
      <c r="AR122" s="2367">
        <f t="shared" si="22"/>
        <v>0</v>
      </c>
      <c r="AS122" s="123" t="str">
        <f t="shared" si="23"/>
        <v>미사용 랙</v>
      </c>
      <c r="AT122" t="str">
        <f t="shared" si="18"/>
        <v/>
      </c>
      <c r="AU122" t="str">
        <f t="shared" si="19"/>
        <v/>
      </c>
      <c r="AZ122" s="123"/>
      <c r="BA122" s="123"/>
      <c r="BB122" s="123"/>
      <c r="BC122" s="3103"/>
      <c r="BD122" s="123"/>
      <c r="BE122" s="3104"/>
      <c r="BF122" s="3105"/>
      <c r="BG122" s="3112"/>
      <c r="BH122" s="3106"/>
      <c r="BI122" s="3107"/>
      <c r="BJ122" s="3108"/>
      <c r="BK122" s="3109"/>
      <c r="BL122" s="3110"/>
    </row>
    <row r="123" spans="1:64" ht="27" customHeight="1">
      <c r="A123" s="2924"/>
      <c r="B123" s="2595"/>
      <c r="C123" s="1156" t="s">
        <v>155</v>
      </c>
      <c r="D123" s="1156"/>
      <c r="E123" s="1156"/>
      <c r="F123" s="1156"/>
      <c r="G123" s="1156"/>
      <c r="H123" s="1845"/>
      <c r="I123" s="1846"/>
      <c r="J123" s="1845"/>
      <c r="K123" s="1846"/>
      <c r="L123" s="1847"/>
      <c r="M123" s="1848"/>
      <c r="N123" s="897"/>
      <c r="O123" s="1849"/>
      <c r="P123" s="1850"/>
      <c r="Q123" s="1851"/>
      <c r="R123" s="953"/>
      <c r="S123" s="1852"/>
      <c r="T123" s="897"/>
      <c r="U123" s="953"/>
      <c r="V123" s="897"/>
      <c r="W123" s="953"/>
      <c r="X123" s="897"/>
      <c r="Y123" s="953"/>
      <c r="Z123" s="897"/>
      <c r="AA123" s="953"/>
      <c r="AB123" s="897"/>
      <c r="AC123" s="953"/>
      <c r="AD123" s="897"/>
      <c r="AE123" s="953"/>
      <c r="AF123" s="2152" t="s">
        <v>31</v>
      </c>
      <c r="AG123" s="904" t="s">
        <v>36</v>
      </c>
      <c r="AH123" s="955"/>
      <c r="AI123" s="951"/>
      <c r="AJ123" s="1313"/>
      <c r="AK123" s="2925"/>
      <c r="AL123" s="2926"/>
      <c r="AM123" s="2927">
        <f t="shared" si="20"/>
        <v>0</v>
      </c>
      <c r="AN123" s="2629"/>
      <c r="AO123" s="2631"/>
      <c r="AQ123" s="2367">
        <f t="shared" si="21"/>
        <v>0</v>
      </c>
      <c r="AR123" s="2367">
        <f t="shared" si="22"/>
        <v>0</v>
      </c>
      <c r="AS123" s="123" t="str">
        <f t="shared" si="23"/>
        <v>미사용 랙</v>
      </c>
      <c r="AT123" t="str">
        <f t="shared" si="18"/>
        <v/>
      </c>
      <c r="AU123" t="str">
        <f t="shared" si="19"/>
        <v/>
      </c>
      <c r="AZ123" s="123"/>
      <c r="BA123" s="123"/>
      <c r="BB123" s="123"/>
      <c r="BC123" s="3103"/>
      <c r="BD123" s="123"/>
      <c r="BE123" s="3104"/>
      <c r="BF123" s="3105"/>
      <c r="BG123" s="3112"/>
      <c r="BH123" s="3106"/>
      <c r="BI123" s="3107"/>
      <c r="BJ123" s="3108"/>
      <c r="BK123" s="3109"/>
      <c r="BL123" s="3110"/>
    </row>
    <row r="124" spans="1:64" ht="27" customHeight="1">
      <c r="A124" s="2924"/>
      <c r="B124" s="2595" t="s">
        <v>150</v>
      </c>
      <c r="C124" s="2595" t="s">
        <v>151</v>
      </c>
      <c r="D124" s="2595" t="s">
        <v>152</v>
      </c>
      <c r="E124" s="2595"/>
      <c r="F124" s="2595"/>
      <c r="G124" s="2595" t="s">
        <v>27</v>
      </c>
      <c r="H124" s="1811" t="s">
        <v>8944</v>
      </c>
      <c r="I124" s="1843" t="s">
        <v>8945</v>
      </c>
      <c r="J124" s="1811" t="str">
        <f t="shared" ref="J124:J132" si="34">"7-DaHall 1-"&amp;N124&amp;"-"&amp;M124&amp;"-"&amp;O124</f>
        <v>7-DaHall 1-A-2-50-12</v>
      </c>
      <c r="K124" s="1843" t="str">
        <f t="shared" ref="K124:K132" si="35">"7-DaHall 1-"&amp;R124&amp;"-"&amp;Q124&amp;"-"&amp;S124</f>
        <v>7-DaHall 1-B-2-50-12</v>
      </c>
      <c r="L124" s="1813">
        <v>48</v>
      </c>
      <c r="M124" s="1814">
        <v>50</v>
      </c>
      <c r="N124" s="2626" t="s">
        <v>41</v>
      </c>
      <c r="O124" s="1815">
        <v>12</v>
      </c>
      <c r="P124" s="1816">
        <v>48</v>
      </c>
      <c r="Q124" s="1817">
        <v>50</v>
      </c>
      <c r="R124" s="2609" t="s">
        <v>42</v>
      </c>
      <c r="S124" s="1844">
        <v>12</v>
      </c>
      <c r="T124" s="2626" t="s">
        <v>153</v>
      </c>
      <c r="U124" s="2609" t="s">
        <v>154</v>
      </c>
      <c r="V124" s="2593" t="s">
        <v>45</v>
      </c>
      <c r="W124" s="2602" t="s">
        <v>46</v>
      </c>
      <c r="X124" s="2589" t="s">
        <v>47</v>
      </c>
      <c r="Y124" s="2591" t="s">
        <v>48</v>
      </c>
      <c r="Z124" s="2589" t="s">
        <v>49</v>
      </c>
      <c r="AA124" s="2591" t="s">
        <v>50</v>
      </c>
      <c r="AB124" s="2626" t="s">
        <v>51</v>
      </c>
      <c r="AC124" s="2609" t="s">
        <v>52</v>
      </c>
      <c r="AD124" s="2626" t="s">
        <v>30</v>
      </c>
      <c r="AE124" s="2609" t="s">
        <v>35</v>
      </c>
      <c r="AF124" s="2152" t="s">
        <v>31</v>
      </c>
      <c r="AG124" s="904" t="s">
        <v>36</v>
      </c>
      <c r="AH124" s="675"/>
      <c r="AI124" s="676"/>
      <c r="AJ124" s="3017"/>
      <c r="AK124" s="3018"/>
      <c r="AL124" s="2917"/>
      <c r="AM124" s="2918">
        <f t="shared" si="20"/>
        <v>0</v>
      </c>
      <c r="AN124" s="2629"/>
      <c r="AO124" s="2631"/>
      <c r="AQ124" s="2367">
        <f t="shared" si="21"/>
        <v>0</v>
      </c>
      <c r="AR124" s="2367">
        <f t="shared" si="22"/>
        <v>0</v>
      </c>
      <c r="AS124" s="123" t="str">
        <f t="shared" si="23"/>
        <v>미사용 랙</v>
      </c>
      <c r="AT124" t="str">
        <f t="shared" si="18"/>
        <v/>
      </c>
      <c r="AU124" t="str">
        <f t="shared" si="19"/>
        <v/>
      </c>
      <c r="AZ124" s="123"/>
      <c r="BA124" s="123"/>
      <c r="BB124" s="123"/>
      <c r="BC124" s="3103"/>
      <c r="BD124" s="123"/>
      <c r="BE124" s="3104"/>
      <c r="BF124" s="3105"/>
      <c r="BG124" s="3112"/>
      <c r="BH124" s="3106"/>
      <c r="BI124" s="3107"/>
      <c r="BJ124" s="3108"/>
      <c r="BK124" s="3109"/>
      <c r="BL124" s="3110"/>
    </row>
    <row r="125" spans="1:64" ht="27.75" customHeight="1" thickBot="1">
      <c r="A125" s="2924" t="s">
        <v>37</v>
      </c>
      <c r="B125" s="2627" t="s">
        <v>98</v>
      </c>
      <c r="C125" s="2148" t="s">
        <v>99</v>
      </c>
      <c r="D125" s="2627" t="s">
        <v>100</v>
      </c>
      <c r="E125" s="2627"/>
      <c r="F125" s="2627"/>
      <c r="G125" s="2627" t="s">
        <v>27</v>
      </c>
      <c r="H125" s="1819" t="s">
        <v>8946</v>
      </c>
      <c r="I125" s="1820" t="s">
        <v>8947</v>
      </c>
      <c r="J125" s="1819" t="str">
        <f t="shared" si="34"/>
        <v>7-DaHall 1-A-2-50-66</v>
      </c>
      <c r="K125" s="1820" t="str">
        <f t="shared" si="35"/>
        <v>7-DaHall 1-B-2-50-66</v>
      </c>
      <c r="L125" s="1821">
        <v>48</v>
      </c>
      <c r="M125" s="1822">
        <v>50</v>
      </c>
      <c r="N125" s="891" t="s">
        <v>41</v>
      </c>
      <c r="O125" s="1823">
        <v>66</v>
      </c>
      <c r="P125" s="1824">
        <v>48</v>
      </c>
      <c r="Q125" s="1825">
        <v>50</v>
      </c>
      <c r="R125" s="892" t="s">
        <v>42</v>
      </c>
      <c r="S125" s="1826">
        <v>66</v>
      </c>
      <c r="T125" s="891" t="s">
        <v>101</v>
      </c>
      <c r="U125" s="892" t="s">
        <v>102</v>
      </c>
      <c r="V125" s="2945" t="s">
        <v>45</v>
      </c>
      <c r="W125" s="2946" t="s">
        <v>46</v>
      </c>
      <c r="X125" s="2945" t="s">
        <v>47</v>
      </c>
      <c r="Y125" s="2946" t="s">
        <v>48</v>
      </c>
      <c r="Z125" s="2945" t="s">
        <v>49</v>
      </c>
      <c r="AA125" s="2946" t="s">
        <v>50</v>
      </c>
      <c r="AB125" s="2945" t="s">
        <v>51</v>
      </c>
      <c r="AC125" s="2946" t="s">
        <v>52</v>
      </c>
      <c r="AD125" s="2945" t="s">
        <v>30</v>
      </c>
      <c r="AE125" s="2946" t="s">
        <v>35</v>
      </c>
      <c r="AF125" s="2945" t="s">
        <v>31</v>
      </c>
      <c r="AG125" s="2946" t="s">
        <v>36</v>
      </c>
      <c r="AH125" s="677"/>
      <c r="AI125" s="678"/>
      <c r="AJ125" s="1310"/>
      <c r="AK125" s="2943"/>
      <c r="AL125" s="2944"/>
      <c r="AM125" s="2921">
        <f t="shared" si="20"/>
        <v>0</v>
      </c>
      <c r="AN125" s="2630"/>
      <c r="AO125" s="679"/>
      <c r="AQ125" s="2367">
        <f t="shared" si="21"/>
        <v>0</v>
      </c>
      <c r="AR125" s="2367">
        <f t="shared" si="22"/>
        <v>0</v>
      </c>
      <c r="AS125" s="123" t="str">
        <f t="shared" si="23"/>
        <v>미사용 랙</v>
      </c>
      <c r="AT125" t="str">
        <f t="shared" si="18"/>
        <v/>
      </c>
      <c r="AU125" t="str">
        <f t="shared" si="19"/>
        <v/>
      </c>
      <c r="AZ125" s="123"/>
      <c r="BA125" s="123"/>
      <c r="BB125" s="123"/>
      <c r="BC125" s="3103"/>
      <c r="BD125" s="123"/>
      <c r="BE125" s="3104"/>
      <c r="BF125" s="3105"/>
      <c r="BG125" s="3112"/>
      <c r="BH125" s="3106"/>
      <c r="BI125" s="3107"/>
      <c r="BJ125" s="3108"/>
      <c r="BK125" s="3109"/>
      <c r="BL125" s="3110"/>
    </row>
    <row r="126" spans="1:64" ht="54.75" customHeight="1" thickBot="1">
      <c r="A126" s="2901"/>
      <c r="B126" s="2595" t="s">
        <v>93</v>
      </c>
      <c r="C126" s="2147" t="s">
        <v>94</v>
      </c>
      <c r="D126" s="2595" t="s">
        <v>95</v>
      </c>
      <c r="E126" s="2595"/>
      <c r="F126" s="2595"/>
      <c r="G126" s="2595" t="s">
        <v>27</v>
      </c>
      <c r="H126" s="1811" t="s">
        <v>8948</v>
      </c>
      <c r="I126" s="1812" t="s">
        <v>8949</v>
      </c>
      <c r="J126" s="1811" t="str">
        <f t="shared" si="34"/>
        <v>7-DaHall 1-A-2-50-67</v>
      </c>
      <c r="K126" s="1812" t="str">
        <f t="shared" si="35"/>
        <v>7-DaHall 1-B-2-50-67</v>
      </c>
      <c r="L126" s="1813">
        <v>48</v>
      </c>
      <c r="M126" s="1814">
        <v>50</v>
      </c>
      <c r="N126" s="2626" t="s">
        <v>41</v>
      </c>
      <c r="O126" s="1815">
        <v>67</v>
      </c>
      <c r="P126" s="1816">
        <v>48</v>
      </c>
      <c r="Q126" s="1817">
        <v>50</v>
      </c>
      <c r="R126" s="890" t="s">
        <v>42</v>
      </c>
      <c r="S126" s="1818">
        <v>67</v>
      </c>
      <c r="T126" s="2626" t="s">
        <v>96</v>
      </c>
      <c r="U126" s="890" t="s">
        <v>97</v>
      </c>
      <c r="V126" s="2945" t="s">
        <v>45</v>
      </c>
      <c r="W126" s="2946" t="s">
        <v>46</v>
      </c>
      <c r="X126" s="2945" t="s">
        <v>47</v>
      </c>
      <c r="Y126" s="2946" t="s">
        <v>48</v>
      </c>
      <c r="Z126" s="2945" t="s">
        <v>49</v>
      </c>
      <c r="AA126" s="2946" t="s">
        <v>50</v>
      </c>
      <c r="AB126" s="2945" t="s">
        <v>51</v>
      </c>
      <c r="AC126" s="2946" t="s">
        <v>52</v>
      </c>
      <c r="AD126" s="2945" t="s">
        <v>30</v>
      </c>
      <c r="AE126" s="2946" t="s">
        <v>35</v>
      </c>
      <c r="AF126" s="2945" t="s">
        <v>31</v>
      </c>
      <c r="AG126" s="2946" t="s">
        <v>36</v>
      </c>
      <c r="AH126" s="675"/>
      <c r="AI126" s="676"/>
      <c r="AJ126" s="3017"/>
      <c r="AK126" s="2943"/>
      <c r="AL126" s="2944"/>
      <c r="AM126" s="2921">
        <f t="shared" si="20"/>
        <v>0</v>
      </c>
      <c r="AN126" s="2629"/>
      <c r="AO126" s="2631"/>
      <c r="AQ126" s="2367">
        <f t="shared" si="21"/>
        <v>0</v>
      </c>
      <c r="AR126" s="2367">
        <f t="shared" si="22"/>
        <v>0</v>
      </c>
      <c r="AS126" s="123" t="str">
        <f t="shared" si="23"/>
        <v>미사용 랙</v>
      </c>
      <c r="AT126" t="str">
        <f t="shared" si="18"/>
        <v/>
      </c>
      <c r="AU126" t="str">
        <f t="shared" si="19"/>
        <v/>
      </c>
      <c r="AZ126" s="123"/>
      <c r="BA126" s="123"/>
      <c r="BB126" s="123"/>
      <c r="BC126" s="3103"/>
      <c r="BD126" s="123"/>
      <c r="BE126" s="3104"/>
      <c r="BF126" s="3105"/>
      <c r="BG126" s="3112"/>
      <c r="BH126" s="3106"/>
      <c r="BI126" s="3107"/>
      <c r="BJ126" s="3108"/>
      <c r="BK126" s="3109"/>
      <c r="BL126" s="3110"/>
    </row>
    <row r="127" spans="1:64" ht="54" customHeight="1">
      <c r="A127" s="2924"/>
      <c r="B127" s="2595" t="s">
        <v>88</v>
      </c>
      <c r="C127" s="2147" t="s">
        <v>89</v>
      </c>
      <c r="D127" s="2595" t="s">
        <v>90</v>
      </c>
      <c r="E127" s="2595"/>
      <c r="F127" s="2595"/>
      <c r="G127" s="2595" t="s">
        <v>27</v>
      </c>
      <c r="H127" s="1811" t="s">
        <v>8950</v>
      </c>
      <c r="I127" s="1812" t="s">
        <v>8951</v>
      </c>
      <c r="J127" s="1811" t="str">
        <f t="shared" si="34"/>
        <v>7-DaHall 1-A-2-35-65</v>
      </c>
      <c r="K127" s="1812" t="str">
        <f t="shared" si="35"/>
        <v>7-DaHall 1-B-2-35-65</v>
      </c>
      <c r="L127" s="1813">
        <v>48</v>
      </c>
      <c r="M127" s="1814">
        <v>35</v>
      </c>
      <c r="N127" s="2626" t="s">
        <v>41</v>
      </c>
      <c r="O127" s="1815">
        <v>65</v>
      </c>
      <c r="P127" s="1816">
        <v>48</v>
      </c>
      <c r="Q127" s="1817">
        <v>35</v>
      </c>
      <c r="R127" s="890" t="s">
        <v>42</v>
      </c>
      <c r="S127" s="1818">
        <v>65</v>
      </c>
      <c r="T127" s="2626" t="s">
        <v>91</v>
      </c>
      <c r="U127" s="890" t="s">
        <v>92</v>
      </c>
      <c r="V127" s="2945" t="s">
        <v>45</v>
      </c>
      <c r="W127" s="2946" t="s">
        <v>46</v>
      </c>
      <c r="X127" s="2945" t="s">
        <v>47</v>
      </c>
      <c r="Y127" s="2946" t="s">
        <v>48</v>
      </c>
      <c r="Z127" s="2945" t="s">
        <v>49</v>
      </c>
      <c r="AA127" s="2946" t="s">
        <v>50</v>
      </c>
      <c r="AB127" s="2945" t="s">
        <v>51</v>
      </c>
      <c r="AC127" s="2946" t="s">
        <v>52</v>
      </c>
      <c r="AD127" s="2945" t="s">
        <v>30</v>
      </c>
      <c r="AE127" s="2946" t="s">
        <v>35</v>
      </c>
      <c r="AF127" s="2945" t="s">
        <v>31</v>
      </c>
      <c r="AG127" s="2946" t="s">
        <v>36</v>
      </c>
      <c r="AH127" s="675"/>
      <c r="AI127" s="676"/>
      <c r="AJ127" s="3017"/>
      <c r="AK127" s="2943"/>
      <c r="AL127" s="2944"/>
      <c r="AM127" s="2921">
        <f t="shared" si="20"/>
        <v>0</v>
      </c>
      <c r="AN127" s="2629"/>
      <c r="AO127" s="2631"/>
      <c r="AQ127" s="2367">
        <f t="shared" si="21"/>
        <v>0</v>
      </c>
      <c r="AR127" s="2367">
        <f t="shared" si="22"/>
        <v>0</v>
      </c>
      <c r="AS127" s="123" t="str">
        <f t="shared" si="23"/>
        <v>미사용 랙</v>
      </c>
      <c r="AT127" t="str">
        <f t="shared" si="18"/>
        <v/>
      </c>
      <c r="AU127" t="str">
        <f t="shared" si="19"/>
        <v/>
      </c>
      <c r="AZ127" s="123"/>
      <c r="BA127" s="123"/>
      <c r="BB127" s="123"/>
      <c r="BC127" s="3103"/>
      <c r="BD127" s="123"/>
      <c r="BE127" s="3104"/>
      <c r="BF127" s="3105"/>
      <c r="BG127" s="3112"/>
      <c r="BH127" s="3106"/>
      <c r="BI127" s="3107"/>
      <c r="BJ127" s="3108"/>
      <c r="BK127" s="3109"/>
      <c r="BL127" s="3110"/>
    </row>
    <row r="128" spans="1:64" ht="54" customHeight="1">
      <c r="A128" s="2924"/>
      <c r="B128" s="2595" t="s">
        <v>83</v>
      </c>
      <c r="C128" s="2147" t="s">
        <v>84</v>
      </c>
      <c r="D128" s="2595" t="s">
        <v>85</v>
      </c>
      <c r="E128" s="2595"/>
      <c r="F128" s="2595"/>
      <c r="G128" s="2595" t="s">
        <v>27</v>
      </c>
      <c r="H128" s="1811" t="s">
        <v>8952</v>
      </c>
      <c r="I128" s="1812" t="s">
        <v>8953</v>
      </c>
      <c r="J128" s="1811" t="str">
        <f t="shared" si="34"/>
        <v>7-DaHall 1-A-2-50-64</v>
      </c>
      <c r="K128" s="1812" t="str">
        <f t="shared" si="35"/>
        <v>7-DaHall 1-B-2-50-64</v>
      </c>
      <c r="L128" s="1813">
        <v>48</v>
      </c>
      <c r="M128" s="1814">
        <v>50</v>
      </c>
      <c r="N128" s="2626" t="s">
        <v>41</v>
      </c>
      <c r="O128" s="1815">
        <v>64</v>
      </c>
      <c r="P128" s="1816">
        <v>48</v>
      </c>
      <c r="Q128" s="1817">
        <v>50</v>
      </c>
      <c r="R128" s="890" t="s">
        <v>42</v>
      </c>
      <c r="S128" s="1818">
        <v>64</v>
      </c>
      <c r="T128" s="2626" t="s">
        <v>86</v>
      </c>
      <c r="U128" s="890" t="s">
        <v>87</v>
      </c>
      <c r="V128" s="2945" t="s">
        <v>45</v>
      </c>
      <c r="W128" s="2946" t="s">
        <v>46</v>
      </c>
      <c r="X128" s="2945" t="s">
        <v>47</v>
      </c>
      <c r="Y128" s="2946" t="s">
        <v>48</v>
      </c>
      <c r="Z128" s="2945" t="s">
        <v>49</v>
      </c>
      <c r="AA128" s="2946" t="s">
        <v>50</v>
      </c>
      <c r="AB128" s="2945" t="s">
        <v>51</v>
      </c>
      <c r="AC128" s="2946" t="s">
        <v>52</v>
      </c>
      <c r="AD128" s="2945" t="s">
        <v>30</v>
      </c>
      <c r="AE128" s="2946" t="s">
        <v>35</v>
      </c>
      <c r="AF128" s="2945" t="s">
        <v>31</v>
      </c>
      <c r="AG128" s="2946" t="s">
        <v>36</v>
      </c>
      <c r="AH128" s="675"/>
      <c r="AI128" s="676"/>
      <c r="AJ128" s="3017"/>
      <c r="AK128" s="2943"/>
      <c r="AL128" s="2944"/>
      <c r="AM128" s="2921">
        <f t="shared" si="20"/>
        <v>0</v>
      </c>
      <c r="AN128" s="2629"/>
      <c r="AO128" s="2631"/>
      <c r="AQ128" s="2367">
        <f t="shared" si="21"/>
        <v>0</v>
      </c>
      <c r="AR128" s="2367">
        <f t="shared" si="22"/>
        <v>0</v>
      </c>
      <c r="AS128" s="123" t="str">
        <f t="shared" si="23"/>
        <v>미사용 랙</v>
      </c>
      <c r="AT128" t="str">
        <f t="shared" si="18"/>
        <v/>
      </c>
      <c r="AU128" t="str">
        <f t="shared" si="19"/>
        <v/>
      </c>
      <c r="AZ128" s="123"/>
      <c r="BA128" s="123"/>
      <c r="BB128" s="123"/>
      <c r="BC128" s="3103"/>
      <c r="BD128" s="123"/>
      <c r="BE128" s="3104"/>
      <c r="BF128" s="3105"/>
      <c r="BG128" s="3112"/>
      <c r="BH128" s="3106"/>
      <c r="BI128" s="3107"/>
      <c r="BJ128" s="3108"/>
      <c r="BK128" s="3109"/>
      <c r="BL128" s="3110"/>
    </row>
    <row r="129" spans="1:64" ht="54" customHeight="1">
      <c r="A129" s="2924"/>
      <c r="B129" s="2595" t="s">
        <v>78</v>
      </c>
      <c r="C129" s="2147" t="s">
        <v>79</v>
      </c>
      <c r="D129" s="2595" t="s">
        <v>80</v>
      </c>
      <c r="E129" s="2595"/>
      <c r="F129" s="2595"/>
      <c r="G129" s="2595" t="s">
        <v>27</v>
      </c>
      <c r="H129" s="1811" t="s">
        <v>8954</v>
      </c>
      <c r="I129" s="1812" t="s">
        <v>8955</v>
      </c>
      <c r="J129" s="1811" t="str">
        <f t="shared" si="34"/>
        <v>7-DaHall 1-A-2-35-60</v>
      </c>
      <c r="K129" s="1812" t="str">
        <f t="shared" si="35"/>
        <v>7-DaHall 1-B-2-35-60</v>
      </c>
      <c r="L129" s="1813">
        <v>48</v>
      </c>
      <c r="M129" s="1814">
        <v>35</v>
      </c>
      <c r="N129" s="2626" t="s">
        <v>41</v>
      </c>
      <c r="O129" s="1815">
        <v>60</v>
      </c>
      <c r="P129" s="1816">
        <v>48</v>
      </c>
      <c r="Q129" s="1817">
        <v>35</v>
      </c>
      <c r="R129" s="890" t="s">
        <v>42</v>
      </c>
      <c r="S129" s="1818">
        <v>60</v>
      </c>
      <c r="T129" s="2626" t="s">
        <v>81</v>
      </c>
      <c r="U129" s="890" t="s">
        <v>82</v>
      </c>
      <c r="V129" s="2945" t="s">
        <v>45</v>
      </c>
      <c r="W129" s="2946" t="s">
        <v>46</v>
      </c>
      <c r="X129" s="2945" t="s">
        <v>47</v>
      </c>
      <c r="Y129" s="2946" t="s">
        <v>48</v>
      </c>
      <c r="Z129" s="2945" t="s">
        <v>49</v>
      </c>
      <c r="AA129" s="2946" t="s">
        <v>50</v>
      </c>
      <c r="AB129" s="2945" t="s">
        <v>51</v>
      </c>
      <c r="AC129" s="2946" t="s">
        <v>52</v>
      </c>
      <c r="AD129" s="2945" t="s">
        <v>30</v>
      </c>
      <c r="AE129" s="2946" t="s">
        <v>35</v>
      </c>
      <c r="AF129" s="2945" t="s">
        <v>31</v>
      </c>
      <c r="AG129" s="2946" t="s">
        <v>36</v>
      </c>
      <c r="AH129" s="675"/>
      <c r="AI129" s="676"/>
      <c r="AJ129" s="3017"/>
      <c r="AK129" s="2943"/>
      <c r="AL129" s="2944"/>
      <c r="AM129" s="2921">
        <f t="shared" si="20"/>
        <v>0</v>
      </c>
      <c r="AN129" s="2629"/>
      <c r="AO129" s="2631"/>
      <c r="AQ129" s="2367">
        <f t="shared" si="21"/>
        <v>0</v>
      </c>
      <c r="AR129" s="2367">
        <f t="shared" si="22"/>
        <v>0</v>
      </c>
      <c r="AS129" s="123" t="str">
        <f t="shared" si="23"/>
        <v>미사용 랙</v>
      </c>
      <c r="AT129" t="str">
        <f t="shared" si="18"/>
        <v/>
      </c>
      <c r="AU129" t="str">
        <f t="shared" si="19"/>
        <v/>
      </c>
      <c r="AZ129" s="123"/>
      <c r="BA129" s="123"/>
      <c r="BB129" s="123"/>
      <c r="BC129" s="3103"/>
      <c r="BD129" s="123"/>
      <c r="BE129" s="3104"/>
      <c r="BF129" s="3105"/>
      <c r="BG129" s="3112"/>
      <c r="BH129" s="3106"/>
      <c r="BI129" s="3107"/>
      <c r="BJ129" s="3108"/>
      <c r="BK129" s="3109"/>
      <c r="BL129" s="3110"/>
    </row>
    <row r="130" spans="1:64" ht="54" customHeight="1">
      <c r="A130" s="2924"/>
      <c r="B130" s="2595" t="s">
        <v>73</v>
      </c>
      <c r="C130" s="2147" t="s">
        <v>74</v>
      </c>
      <c r="D130" s="2595" t="s">
        <v>75</v>
      </c>
      <c r="E130" s="2595"/>
      <c r="F130" s="2595"/>
      <c r="G130" s="2595" t="s">
        <v>27</v>
      </c>
      <c r="H130" s="1811" t="s">
        <v>8956</v>
      </c>
      <c r="I130" s="1812" t="s">
        <v>8957</v>
      </c>
      <c r="J130" s="1811" t="str">
        <f t="shared" si="34"/>
        <v>7-DaHall 1-A-2-35-61</v>
      </c>
      <c r="K130" s="1812" t="str">
        <f t="shared" si="35"/>
        <v>7-DaHall 1-B-2-35-61</v>
      </c>
      <c r="L130" s="1813">
        <v>48</v>
      </c>
      <c r="M130" s="1814">
        <v>35</v>
      </c>
      <c r="N130" s="2626" t="s">
        <v>41</v>
      </c>
      <c r="O130" s="1815">
        <v>61</v>
      </c>
      <c r="P130" s="1816">
        <v>48</v>
      </c>
      <c r="Q130" s="1817">
        <v>35</v>
      </c>
      <c r="R130" s="890" t="s">
        <v>42</v>
      </c>
      <c r="S130" s="1818">
        <v>61</v>
      </c>
      <c r="T130" s="2626" t="s">
        <v>76</v>
      </c>
      <c r="U130" s="890" t="s">
        <v>77</v>
      </c>
      <c r="V130" s="2945" t="s">
        <v>45</v>
      </c>
      <c r="W130" s="2946" t="s">
        <v>46</v>
      </c>
      <c r="X130" s="2945" t="s">
        <v>47</v>
      </c>
      <c r="Y130" s="2946" t="s">
        <v>48</v>
      </c>
      <c r="Z130" s="2945" t="s">
        <v>49</v>
      </c>
      <c r="AA130" s="2946" t="s">
        <v>50</v>
      </c>
      <c r="AB130" s="2945" t="s">
        <v>51</v>
      </c>
      <c r="AC130" s="2946" t="s">
        <v>52</v>
      </c>
      <c r="AD130" s="2945" t="s">
        <v>30</v>
      </c>
      <c r="AE130" s="2946" t="s">
        <v>35</v>
      </c>
      <c r="AF130" s="2945" t="s">
        <v>31</v>
      </c>
      <c r="AG130" s="2946" t="s">
        <v>36</v>
      </c>
      <c r="AH130" s="675"/>
      <c r="AI130" s="676"/>
      <c r="AJ130" s="3017"/>
      <c r="AK130" s="2943"/>
      <c r="AL130" s="2944"/>
      <c r="AM130" s="2921">
        <f t="shared" si="20"/>
        <v>0</v>
      </c>
      <c r="AN130" s="2629"/>
      <c r="AO130" s="2631"/>
      <c r="AQ130" s="2367">
        <f t="shared" si="21"/>
        <v>0</v>
      </c>
      <c r="AR130" s="2367">
        <f t="shared" si="22"/>
        <v>0</v>
      </c>
      <c r="AS130" s="123" t="str">
        <f t="shared" si="23"/>
        <v>미사용 랙</v>
      </c>
      <c r="AT130" t="str">
        <f t="shared" si="18"/>
        <v/>
      </c>
      <c r="AU130" t="str">
        <f t="shared" si="19"/>
        <v/>
      </c>
      <c r="AZ130" s="123"/>
      <c r="BA130" s="123"/>
      <c r="BB130" s="123"/>
      <c r="BC130" s="3103"/>
      <c r="BD130" s="123"/>
      <c r="BE130" s="3104"/>
      <c r="BF130" s="3105"/>
      <c r="BG130" s="3112"/>
      <c r="BH130" s="3106"/>
      <c r="BI130" s="3107"/>
      <c r="BJ130" s="3108"/>
      <c r="BK130" s="3109"/>
      <c r="BL130" s="3110"/>
    </row>
    <row r="131" spans="1:64" ht="54" customHeight="1">
      <c r="A131" s="2924"/>
      <c r="B131" s="2595" t="s">
        <v>68</v>
      </c>
      <c r="C131" s="2147" t="s">
        <v>69</v>
      </c>
      <c r="D131" s="2595" t="s">
        <v>70</v>
      </c>
      <c r="E131" s="2595"/>
      <c r="F131" s="2595"/>
      <c r="G131" s="2595" t="s">
        <v>27</v>
      </c>
      <c r="H131" s="1811" t="s">
        <v>8958</v>
      </c>
      <c r="I131" s="1812" t="s">
        <v>8959</v>
      </c>
      <c r="J131" s="1811" t="str">
        <f t="shared" si="34"/>
        <v>7-DaHall 1-A-2-35-59</v>
      </c>
      <c r="K131" s="1812" t="str">
        <f t="shared" si="35"/>
        <v>7-DaHall 1-B-2-35-59</v>
      </c>
      <c r="L131" s="1813">
        <v>48</v>
      </c>
      <c r="M131" s="1814">
        <v>35</v>
      </c>
      <c r="N131" s="2626" t="s">
        <v>41</v>
      </c>
      <c r="O131" s="1815">
        <v>59</v>
      </c>
      <c r="P131" s="1816">
        <v>48</v>
      </c>
      <c r="Q131" s="1817">
        <v>35</v>
      </c>
      <c r="R131" s="890" t="s">
        <v>42</v>
      </c>
      <c r="S131" s="1818">
        <v>59</v>
      </c>
      <c r="T131" s="2626" t="s">
        <v>71</v>
      </c>
      <c r="U131" s="890" t="s">
        <v>72</v>
      </c>
      <c r="V131" s="2945" t="s">
        <v>45</v>
      </c>
      <c r="W131" s="2946" t="s">
        <v>46</v>
      </c>
      <c r="X131" s="2945" t="s">
        <v>47</v>
      </c>
      <c r="Y131" s="2946" t="s">
        <v>48</v>
      </c>
      <c r="Z131" s="2945" t="s">
        <v>49</v>
      </c>
      <c r="AA131" s="2946" t="s">
        <v>50</v>
      </c>
      <c r="AB131" s="2945" t="s">
        <v>51</v>
      </c>
      <c r="AC131" s="2946" t="s">
        <v>52</v>
      </c>
      <c r="AD131" s="2945" t="s">
        <v>30</v>
      </c>
      <c r="AE131" s="2946" t="s">
        <v>35</v>
      </c>
      <c r="AF131" s="2945" t="s">
        <v>31</v>
      </c>
      <c r="AG131" s="2946" t="s">
        <v>36</v>
      </c>
      <c r="AH131" s="675"/>
      <c r="AI131" s="676"/>
      <c r="AJ131" s="3017"/>
      <c r="AK131" s="2943"/>
      <c r="AL131" s="2944"/>
      <c r="AM131" s="2921">
        <f t="shared" si="20"/>
        <v>0</v>
      </c>
      <c r="AN131" s="2629"/>
      <c r="AO131" s="2631"/>
      <c r="AQ131" s="2367">
        <f t="shared" si="21"/>
        <v>0</v>
      </c>
      <c r="AR131" s="2367">
        <f t="shared" si="22"/>
        <v>0</v>
      </c>
      <c r="AS131" s="123" t="str">
        <f t="shared" si="23"/>
        <v>미사용 랙</v>
      </c>
      <c r="AT131" t="str">
        <f t="shared" si="18"/>
        <v/>
      </c>
      <c r="AU131" t="str">
        <f t="shared" si="19"/>
        <v/>
      </c>
      <c r="AZ131" s="123"/>
      <c r="BA131" s="123"/>
      <c r="BB131" s="123"/>
      <c r="BC131" s="3103"/>
      <c r="BD131" s="123"/>
      <c r="BE131" s="3104"/>
      <c r="BF131" s="3105"/>
      <c r="BG131" s="3112"/>
      <c r="BH131" s="3106"/>
      <c r="BI131" s="3107"/>
      <c r="BJ131" s="3108"/>
      <c r="BK131" s="3109"/>
      <c r="BL131" s="3110"/>
    </row>
    <row r="132" spans="1:64" ht="54" customHeight="1">
      <c r="A132" s="2924"/>
      <c r="B132" s="2595" t="s">
        <v>63</v>
      </c>
      <c r="C132" s="2147" t="s">
        <v>64</v>
      </c>
      <c r="D132" s="2595" t="s">
        <v>65</v>
      </c>
      <c r="E132" s="2595"/>
      <c r="F132" s="2595"/>
      <c r="G132" s="2595" t="s">
        <v>27</v>
      </c>
      <c r="H132" s="1811" t="s">
        <v>8960</v>
      </c>
      <c r="I132" s="1812" t="s">
        <v>8961</v>
      </c>
      <c r="J132" s="1811" t="str">
        <f t="shared" si="34"/>
        <v>7-DaHall 1-A-2-35-56</v>
      </c>
      <c r="K132" s="1812" t="str">
        <f t="shared" si="35"/>
        <v>7-DaHall 1-B-2-35-56</v>
      </c>
      <c r="L132" s="1813">
        <v>48</v>
      </c>
      <c r="M132" s="1814">
        <v>35</v>
      </c>
      <c r="N132" s="2626" t="s">
        <v>41</v>
      </c>
      <c r="O132" s="1815">
        <v>56</v>
      </c>
      <c r="P132" s="1816">
        <v>48</v>
      </c>
      <c r="Q132" s="1817">
        <v>35</v>
      </c>
      <c r="R132" s="890" t="s">
        <v>42</v>
      </c>
      <c r="S132" s="1818">
        <v>56</v>
      </c>
      <c r="T132" s="2626" t="s">
        <v>66</v>
      </c>
      <c r="U132" s="890" t="s">
        <v>67</v>
      </c>
      <c r="V132" s="2945" t="s">
        <v>45</v>
      </c>
      <c r="W132" s="2946" t="s">
        <v>46</v>
      </c>
      <c r="X132" s="2945" t="s">
        <v>47</v>
      </c>
      <c r="Y132" s="2946" t="s">
        <v>48</v>
      </c>
      <c r="Z132" s="2945" t="s">
        <v>49</v>
      </c>
      <c r="AA132" s="2946" t="s">
        <v>50</v>
      </c>
      <c r="AB132" s="2945" t="s">
        <v>51</v>
      </c>
      <c r="AC132" s="2946" t="s">
        <v>52</v>
      </c>
      <c r="AD132" s="2945" t="s">
        <v>30</v>
      </c>
      <c r="AE132" s="2946" t="s">
        <v>35</v>
      </c>
      <c r="AF132" s="2945" t="s">
        <v>31</v>
      </c>
      <c r="AG132" s="2946" t="s">
        <v>36</v>
      </c>
      <c r="AH132" s="675"/>
      <c r="AI132" s="676"/>
      <c r="AJ132" s="3017"/>
      <c r="AK132" s="2943"/>
      <c r="AL132" s="2944"/>
      <c r="AM132" s="2921">
        <f t="shared" si="20"/>
        <v>0</v>
      </c>
      <c r="AN132" s="2629"/>
      <c r="AO132" s="2631"/>
      <c r="AQ132" s="2367">
        <f t="shared" si="21"/>
        <v>0</v>
      </c>
      <c r="AR132" s="2367">
        <f t="shared" si="22"/>
        <v>0</v>
      </c>
      <c r="AS132" s="123" t="str">
        <f t="shared" si="23"/>
        <v>미사용 랙</v>
      </c>
      <c r="AT132" t="str">
        <f t="shared" si="18"/>
        <v/>
      </c>
      <c r="AU132" t="str">
        <f t="shared" si="19"/>
        <v/>
      </c>
      <c r="AZ132" s="123"/>
      <c r="BA132" s="123"/>
      <c r="BB132" s="123"/>
      <c r="BC132" s="3103"/>
      <c r="BD132" s="123"/>
      <c r="BE132" s="3104"/>
      <c r="BF132" s="3105"/>
      <c r="BG132" s="3112"/>
      <c r="BH132" s="3106"/>
      <c r="BI132" s="3107"/>
      <c r="BJ132" s="3108"/>
      <c r="BK132" s="3109"/>
      <c r="BL132" s="3110"/>
    </row>
    <row r="133" spans="1:64" ht="54" customHeight="1">
      <c r="A133" s="2924"/>
      <c r="B133" s="2595" t="s">
        <v>58</v>
      </c>
      <c r="C133" s="2147" t="s">
        <v>59</v>
      </c>
      <c r="D133" s="2595" t="s">
        <v>60</v>
      </c>
      <c r="E133" s="2595"/>
      <c r="F133" s="2595"/>
      <c r="G133" s="2595" t="s">
        <v>27</v>
      </c>
      <c r="H133" s="1811" t="s">
        <v>8962</v>
      </c>
      <c r="I133" s="1812" t="s">
        <v>8963</v>
      </c>
      <c r="J133" s="1811" t="str">
        <f>"7-DaHall 1-"&amp;N133&amp;"-"&amp;M133&amp;"-"&amp;O133</f>
        <v>7-DaHall 1-A-2-35-55</v>
      </c>
      <c r="K133" s="1812" t="str">
        <f>"7-DaHall 1-"&amp;R133&amp;"-"&amp;Q133&amp;"-"&amp;S133</f>
        <v>7-DaHall 1-B-2-35-55</v>
      </c>
      <c r="L133" s="1813">
        <v>48</v>
      </c>
      <c r="M133" s="1814">
        <v>35</v>
      </c>
      <c r="N133" s="2626" t="s">
        <v>41</v>
      </c>
      <c r="O133" s="1815">
        <v>55</v>
      </c>
      <c r="P133" s="1816">
        <v>48</v>
      </c>
      <c r="Q133" s="1817">
        <v>35</v>
      </c>
      <c r="R133" s="890" t="s">
        <v>42</v>
      </c>
      <c r="S133" s="1818">
        <v>55</v>
      </c>
      <c r="T133" s="2626" t="s">
        <v>61</v>
      </c>
      <c r="U133" s="890" t="s">
        <v>62</v>
      </c>
      <c r="V133" s="2945" t="s">
        <v>45</v>
      </c>
      <c r="W133" s="2946" t="s">
        <v>46</v>
      </c>
      <c r="X133" s="2945" t="s">
        <v>47</v>
      </c>
      <c r="Y133" s="2946" t="s">
        <v>48</v>
      </c>
      <c r="Z133" s="2945" t="s">
        <v>49</v>
      </c>
      <c r="AA133" s="2946" t="s">
        <v>50</v>
      </c>
      <c r="AB133" s="2945" t="s">
        <v>51</v>
      </c>
      <c r="AC133" s="2946" t="s">
        <v>52</v>
      </c>
      <c r="AD133" s="2945" t="s">
        <v>30</v>
      </c>
      <c r="AE133" s="2946" t="s">
        <v>35</v>
      </c>
      <c r="AF133" s="2945" t="s">
        <v>31</v>
      </c>
      <c r="AG133" s="2946" t="s">
        <v>36</v>
      </c>
      <c r="AH133" s="675"/>
      <c r="AI133" s="676"/>
      <c r="AJ133" s="3017"/>
      <c r="AK133" s="2943"/>
      <c r="AL133" s="2944"/>
      <c r="AM133" s="2921">
        <f t="shared" si="20"/>
        <v>0</v>
      </c>
      <c r="AN133" s="2629"/>
      <c r="AO133" s="2631"/>
      <c r="AQ133" s="2367">
        <f t="shared" si="21"/>
        <v>0</v>
      </c>
      <c r="AR133" s="2367">
        <f t="shared" si="22"/>
        <v>0</v>
      </c>
      <c r="AS133" s="123" t="str">
        <f t="shared" si="23"/>
        <v>미사용 랙</v>
      </c>
      <c r="AT133" t="str">
        <f t="shared" si="18"/>
        <v/>
      </c>
      <c r="AU133" t="str">
        <f t="shared" si="19"/>
        <v/>
      </c>
      <c r="AZ133" s="123"/>
      <c r="BA133" s="123"/>
      <c r="BB133" s="123"/>
      <c r="BC133" s="3103"/>
      <c r="BD133" s="123"/>
      <c r="BE133" s="3104"/>
      <c r="BF133" s="3105"/>
      <c r="BG133" s="3112"/>
      <c r="BH133" s="3106"/>
      <c r="BI133" s="3107"/>
      <c r="BJ133" s="3108"/>
      <c r="BK133" s="3109"/>
      <c r="BL133" s="3110"/>
    </row>
    <row r="134" spans="1:64" ht="54" customHeight="1">
      <c r="A134" s="2924"/>
      <c r="B134" s="2595" t="s">
        <v>53</v>
      </c>
      <c r="C134" s="2147" t="s">
        <v>54</v>
      </c>
      <c r="D134" s="2595" t="s">
        <v>55</v>
      </c>
      <c r="E134" s="2595"/>
      <c r="F134" s="2595"/>
      <c r="G134" s="2595" t="s">
        <v>27</v>
      </c>
      <c r="H134" s="1811" t="s">
        <v>8964</v>
      </c>
      <c r="I134" s="1812" t="s">
        <v>8965</v>
      </c>
      <c r="J134" s="1811" t="str">
        <f>"7-DaHall 1-"&amp;N134&amp;"-"&amp;M134&amp;"-"&amp;O134</f>
        <v>7-DaHall 1-A-2-35-54</v>
      </c>
      <c r="K134" s="1812" t="str">
        <f>"7-DaHall 1-"&amp;R134&amp;"-"&amp;Q134&amp;"-"&amp;S134</f>
        <v>7-DaHall 1-B-2-35-54</v>
      </c>
      <c r="L134" s="1813">
        <v>48</v>
      </c>
      <c r="M134" s="1814">
        <v>35</v>
      </c>
      <c r="N134" s="2626" t="s">
        <v>41</v>
      </c>
      <c r="O134" s="1815">
        <v>54</v>
      </c>
      <c r="P134" s="1816">
        <v>48</v>
      </c>
      <c r="Q134" s="1817">
        <v>35</v>
      </c>
      <c r="R134" s="890" t="s">
        <v>42</v>
      </c>
      <c r="S134" s="1818">
        <v>54</v>
      </c>
      <c r="T134" s="2626" t="s">
        <v>56</v>
      </c>
      <c r="U134" s="890" t="s">
        <v>57</v>
      </c>
      <c r="V134" s="2945" t="s">
        <v>45</v>
      </c>
      <c r="W134" s="2946" t="s">
        <v>46</v>
      </c>
      <c r="X134" s="2945" t="s">
        <v>47</v>
      </c>
      <c r="Y134" s="2946" t="s">
        <v>48</v>
      </c>
      <c r="Z134" s="2945" t="s">
        <v>49</v>
      </c>
      <c r="AA134" s="2946" t="s">
        <v>50</v>
      </c>
      <c r="AB134" s="2945" t="s">
        <v>51</v>
      </c>
      <c r="AC134" s="2946" t="s">
        <v>52</v>
      </c>
      <c r="AD134" s="2945" t="s">
        <v>30</v>
      </c>
      <c r="AE134" s="2946" t="s">
        <v>35</v>
      </c>
      <c r="AF134" s="2945" t="s">
        <v>31</v>
      </c>
      <c r="AG134" s="2946" t="s">
        <v>36</v>
      </c>
      <c r="AH134" s="675"/>
      <c r="AI134" s="676"/>
      <c r="AJ134" s="3017"/>
      <c r="AK134" s="2943"/>
      <c r="AL134" s="2944"/>
      <c r="AM134" s="2921">
        <f t="shared" si="20"/>
        <v>0</v>
      </c>
      <c r="AN134" s="2629"/>
      <c r="AO134" s="2631"/>
      <c r="AQ134" s="2367">
        <f t="shared" si="21"/>
        <v>0</v>
      </c>
      <c r="AR134" s="2367">
        <f t="shared" si="22"/>
        <v>0</v>
      </c>
      <c r="AS134" s="123" t="str">
        <f t="shared" si="23"/>
        <v>미사용 랙</v>
      </c>
      <c r="AT134" t="str">
        <f t="shared" ref="AT134:AT197" si="36">IF(AS134="사용초과",D134,"")</f>
        <v/>
      </c>
      <c r="AU134" t="str">
        <f t="shared" ref="AU134:AU197" si="37">IF(AT134="","",B134)</f>
        <v/>
      </c>
      <c r="AZ134" s="123"/>
      <c r="BA134" s="123"/>
      <c r="BB134" s="123"/>
      <c r="BC134" s="3103"/>
      <c r="BD134" s="123"/>
      <c r="BE134" s="3104"/>
      <c r="BF134" s="3105"/>
      <c r="BG134" s="3112"/>
      <c r="BH134" s="3106"/>
      <c r="BI134" s="3107"/>
      <c r="BJ134" s="3108"/>
      <c r="BK134" s="3109"/>
      <c r="BL134" s="3110"/>
    </row>
    <row r="135" spans="1:64" ht="54" customHeight="1">
      <c r="A135" s="2924"/>
      <c r="B135" s="2601" t="s">
        <v>38</v>
      </c>
      <c r="C135" s="2606" t="s">
        <v>39</v>
      </c>
      <c r="D135" s="2601" t="s">
        <v>40</v>
      </c>
      <c r="E135" s="2601"/>
      <c r="F135" s="2601"/>
      <c r="G135" s="2601" t="s">
        <v>27</v>
      </c>
      <c r="H135" s="1803" t="s">
        <v>8966</v>
      </c>
      <c r="I135" s="1804" t="s">
        <v>8967</v>
      </c>
      <c r="J135" s="1803" t="str">
        <f>"7-DaHall 1-"&amp;N135&amp;"-"&amp;M135&amp;"-"&amp;O135</f>
        <v>7-DaHall 1-A-2-35-57</v>
      </c>
      <c r="K135" s="1804" t="str">
        <f>"7-DaHall 1-"&amp;R135&amp;"-"&amp;Q135&amp;"-"&amp;S135</f>
        <v>7-DaHall 1-B-2-35-57</v>
      </c>
      <c r="L135" s="1805">
        <v>48</v>
      </c>
      <c r="M135" s="1806">
        <v>35</v>
      </c>
      <c r="N135" s="2590" t="s">
        <v>41</v>
      </c>
      <c r="O135" s="1807">
        <v>57</v>
      </c>
      <c r="P135" s="1808">
        <v>48</v>
      </c>
      <c r="Q135" s="1809">
        <v>35</v>
      </c>
      <c r="R135" s="1303" t="s">
        <v>42</v>
      </c>
      <c r="S135" s="1810">
        <v>57</v>
      </c>
      <c r="T135" s="2590" t="s">
        <v>43</v>
      </c>
      <c r="U135" s="1303" t="s">
        <v>44</v>
      </c>
      <c r="V135" s="2945" t="s">
        <v>45</v>
      </c>
      <c r="W135" s="2946" t="s">
        <v>46</v>
      </c>
      <c r="X135" s="2945" t="s">
        <v>47</v>
      </c>
      <c r="Y135" s="2946" t="s">
        <v>48</v>
      </c>
      <c r="Z135" s="2945" t="s">
        <v>49</v>
      </c>
      <c r="AA135" s="2946" t="s">
        <v>50</v>
      </c>
      <c r="AB135" s="2945" t="s">
        <v>51</v>
      </c>
      <c r="AC135" s="2946" t="s">
        <v>52</v>
      </c>
      <c r="AD135" s="2945" t="s">
        <v>30</v>
      </c>
      <c r="AE135" s="2946" t="s">
        <v>35</v>
      </c>
      <c r="AF135" s="2945" t="s">
        <v>31</v>
      </c>
      <c r="AG135" s="2946" t="s">
        <v>36</v>
      </c>
      <c r="AH135" s="1304"/>
      <c r="AI135" s="1305"/>
      <c r="AJ135" s="3019"/>
      <c r="AK135" s="2943"/>
      <c r="AL135" s="2944"/>
      <c r="AM135" s="2921">
        <f t="shared" si="20"/>
        <v>0</v>
      </c>
      <c r="AN135" s="2620"/>
      <c r="AO135" s="2617"/>
      <c r="AQ135" s="2367">
        <f t="shared" si="21"/>
        <v>0</v>
      </c>
      <c r="AR135" s="2367">
        <f t="shared" si="22"/>
        <v>0</v>
      </c>
      <c r="AS135" s="123" t="str">
        <f t="shared" si="23"/>
        <v>미사용 랙</v>
      </c>
      <c r="AT135" t="str">
        <f t="shared" si="36"/>
        <v/>
      </c>
      <c r="AU135" t="str">
        <f t="shared" si="37"/>
        <v/>
      </c>
      <c r="AZ135" s="123"/>
      <c r="BA135" s="123"/>
      <c r="BB135" s="123"/>
      <c r="BC135" s="3103"/>
      <c r="BD135" s="123"/>
      <c r="BE135" s="3104"/>
      <c r="BF135" s="3105"/>
      <c r="BG135" s="3112"/>
      <c r="BH135" s="3106"/>
      <c r="BI135" s="3107"/>
      <c r="BJ135" s="3108"/>
      <c r="BK135" s="3109"/>
      <c r="BL135" s="3110"/>
    </row>
    <row r="136" spans="1:64" ht="13.5" customHeight="1">
      <c r="A136" s="2924"/>
      <c r="B136" s="2595"/>
      <c r="C136" s="919" t="s">
        <v>658</v>
      </c>
      <c r="D136" s="919"/>
      <c r="E136" s="919"/>
      <c r="F136" s="919"/>
      <c r="G136" s="919"/>
      <c r="H136" s="1845"/>
      <c r="I136" s="1857"/>
      <c r="J136" s="1845"/>
      <c r="K136" s="1857"/>
      <c r="L136" s="1847"/>
      <c r="M136" s="897"/>
      <c r="N136" s="897"/>
      <c r="O136" s="1849"/>
      <c r="P136" s="1858"/>
      <c r="Q136" s="1848"/>
      <c r="R136" s="897"/>
      <c r="S136" s="1849"/>
      <c r="T136" s="897"/>
      <c r="U136" s="897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7"/>
      <c r="AG136" s="897"/>
      <c r="AH136" s="950"/>
      <c r="AI136" s="952"/>
      <c r="AJ136" s="1312"/>
      <c r="AK136" s="2925"/>
      <c r="AL136" s="2926"/>
      <c r="AM136" s="2927">
        <f t="shared" ref="AM136:AM199" si="38">SUBTOTAL(9,AK136:AL136)</f>
        <v>0</v>
      </c>
      <c r="AN136" s="2629"/>
      <c r="AO136" s="2631"/>
      <c r="AQ136" s="2367">
        <f t="shared" ref="AQ136:AQ199" si="39">AM136/(24*31)</f>
        <v>0</v>
      </c>
      <c r="AR136" s="2367">
        <f t="shared" ref="AR136:AR199" si="40">E136-AQ136</f>
        <v>0</v>
      </c>
      <c r="AS136" s="123" t="str">
        <f t="shared" ref="AS136:AS197" si="41">IF(SIGN(AR136)&gt;=0,IF(AM136=0,"미사용 랙","적정함"),"사용초과")</f>
        <v>미사용 랙</v>
      </c>
      <c r="AT136" t="str">
        <f t="shared" si="36"/>
        <v/>
      </c>
      <c r="AU136" t="str">
        <f t="shared" si="37"/>
        <v/>
      </c>
      <c r="AZ136" s="123"/>
      <c r="BA136" s="123"/>
      <c r="BB136" s="123"/>
      <c r="BC136" s="3103"/>
      <c r="BD136" s="123"/>
      <c r="BE136" s="3104"/>
      <c r="BF136" s="3105"/>
      <c r="BG136" s="3112"/>
      <c r="BH136" s="3106"/>
      <c r="BI136" s="3107"/>
      <c r="BJ136" s="3108"/>
      <c r="BK136" s="3109"/>
      <c r="BL136" s="3110"/>
    </row>
    <row r="137" spans="1:64" ht="54" customHeight="1">
      <c r="A137" s="2924"/>
      <c r="B137" s="3217" t="s">
        <v>651</v>
      </c>
      <c r="C137" s="3232" t="s">
        <v>652</v>
      </c>
      <c r="D137" s="3272" t="s">
        <v>9249</v>
      </c>
      <c r="E137" s="2985"/>
      <c r="F137" s="2595"/>
      <c r="G137" s="2595" t="s">
        <v>27</v>
      </c>
      <c r="H137" s="1811" t="s">
        <v>8968</v>
      </c>
      <c r="I137" s="1843" t="s">
        <v>8969</v>
      </c>
      <c r="J137" s="1811" t="str">
        <f>"7-DaHall 1-"&amp;N137&amp;"-"&amp;M137&amp;"-"&amp;O137</f>
        <v>7-DaHall 1-A-1-50-20</v>
      </c>
      <c r="K137" s="1843" t="str">
        <f>"7-DaHall 1-"&amp;R137&amp;"-"&amp;Q137&amp;"-"&amp;S137</f>
        <v>7-DaHall 1-B-1-50-20</v>
      </c>
      <c r="L137" s="1813">
        <v>48</v>
      </c>
      <c r="M137" s="1814">
        <v>50</v>
      </c>
      <c r="N137" s="2626" t="s">
        <v>293</v>
      </c>
      <c r="O137" s="1815">
        <v>20</v>
      </c>
      <c r="P137" s="1853">
        <v>48</v>
      </c>
      <c r="Q137" s="1854">
        <v>50</v>
      </c>
      <c r="R137" s="2609" t="s">
        <v>294</v>
      </c>
      <c r="S137" s="1844">
        <v>20</v>
      </c>
      <c r="T137" s="2626" t="s">
        <v>653</v>
      </c>
      <c r="U137" s="2609" t="s">
        <v>654</v>
      </c>
      <c r="V137" s="2152" t="s">
        <v>297</v>
      </c>
      <c r="W137" s="2928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81"/>
      <c r="AI137" s="676"/>
      <c r="AJ137" s="3017"/>
      <c r="AK137" s="3018"/>
      <c r="AL137" s="2917"/>
      <c r="AM137" s="2918">
        <f t="shared" si="38"/>
        <v>0</v>
      </c>
      <c r="AN137" s="2629" t="s">
        <v>321</v>
      </c>
      <c r="AO137" s="2631"/>
      <c r="AQ137" s="2367">
        <f t="shared" si="39"/>
        <v>0</v>
      </c>
      <c r="AR137" s="2367">
        <f t="shared" si="40"/>
        <v>0</v>
      </c>
      <c r="AS137" s="123" t="str">
        <f t="shared" si="41"/>
        <v>미사용 랙</v>
      </c>
      <c r="AT137" t="str">
        <f t="shared" si="36"/>
        <v/>
      </c>
      <c r="AU137" t="str">
        <f t="shared" si="37"/>
        <v/>
      </c>
      <c r="AZ137" s="123"/>
      <c r="BA137" s="123"/>
      <c r="BB137" s="123"/>
      <c r="BC137" s="3103"/>
      <c r="BD137" s="123"/>
      <c r="BE137" s="3104"/>
      <c r="BF137" s="3105"/>
      <c r="BG137" s="3112"/>
      <c r="BH137" s="3106"/>
      <c r="BI137" s="3107"/>
      <c r="BJ137" s="3108"/>
      <c r="BK137" s="3109"/>
      <c r="BL137" s="3110"/>
    </row>
    <row r="138" spans="1:64" ht="46.8">
      <c r="A138" s="2924"/>
      <c r="B138" s="3218"/>
      <c r="C138" s="3233"/>
      <c r="D138" s="3273"/>
      <c r="E138" s="3062">
        <v>2.2000000000000002</v>
      </c>
      <c r="F138" s="2595" t="s">
        <v>27</v>
      </c>
      <c r="G138" s="2595"/>
      <c r="H138" s="1863"/>
      <c r="I138" s="1921"/>
      <c r="J138" s="1863"/>
      <c r="K138" s="1921"/>
      <c r="L138" s="1864"/>
      <c r="M138" s="941"/>
      <c r="N138" s="941"/>
      <c r="O138" s="1865"/>
      <c r="P138" s="1922"/>
      <c r="Q138" s="1923"/>
      <c r="R138" s="945"/>
      <c r="S138" s="1924"/>
      <c r="T138" s="941" t="s">
        <v>655</v>
      </c>
      <c r="U138" s="945" t="s">
        <v>656</v>
      </c>
      <c r="V138" s="2590"/>
      <c r="W138" s="2594"/>
      <c r="X138" s="2590"/>
      <c r="Y138" s="2594"/>
      <c r="Z138" s="2590"/>
      <c r="AA138" s="1159"/>
      <c r="AB138" s="2590"/>
      <c r="AC138" s="2592"/>
      <c r="AD138" s="2590"/>
      <c r="AE138" s="2592"/>
      <c r="AF138" s="2590"/>
      <c r="AG138" s="2592"/>
      <c r="AH138" s="681"/>
      <c r="AI138" s="676"/>
      <c r="AJ138" s="1301">
        <f t="shared" ref="AJ138" si="42">AH138+AI138</f>
        <v>0</v>
      </c>
      <c r="AK138" s="2913"/>
      <c r="AL138" s="2914"/>
      <c r="AM138" s="2921">
        <f t="shared" si="38"/>
        <v>0</v>
      </c>
      <c r="AN138" s="2629"/>
      <c r="AO138" s="2631" t="s">
        <v>657</v>
      </c>
      <c r="AQ138" s="2367">
        <f t="shared" si="39"/>
        <v>0</v>
      </c>
      <c r="AR138" s="2367">
        <f t="shared" si="40"/>
        <v>2.2000000000000002</v>
      </c>
      <c r="AS138" s="123" t="str">
        <f>IF(SIGN(AR138)&gt;=0,IF(AM138=0,"무부하 랙","적정함"),"사용초과")</f>
        <v>무부하 랙</v>
      </c>
      <c r="AT138" t="str">
        <f t="shared" si="36"/>
        <v/>
      </c>
      <c r="AU138" t="str">
        <f t="shared" si="37"/>
        <v/>
      </c>
      <c r="AZ138" s="123"/>
      <c r="BA138" s="123"/>
      <c r="BB138" s="123"/>
      <c r="BC138" s="3103"/>
      <c r="BD138" s="123"/>
      <c r="BE138" s="3104"/>
      <c r="BF138" s="3105"/>
      <c r="BG138" s="3112"/>
      <c r="BH138" s="3106"/>
      <c r="BI138" s="3107"/>
      <c r="BJ138" s="3108"/>
      <c r="BK138" s="3109"/>
      <c r="BL138" s="3110"/>
    </row>
    <row r="139" spans="1:64" ht="27" customHeight="1">
      <c r="A139" s="2924"/>
      <c r="B139" s="3217" t="s">
        <v>641</v>
      </c>
      <c r="C139" s="3262" t="s">
        <v>642</v>
      </c>
      <c r="D139" s="3239" t="s">
        <v>643</v>
      </c>
      <c r="E139" s="2980"/>
      <c r="F139" s="2595"/>
      <c r="G139" s="2595" t="s">
        <v>27</v>
      </c>
      <c r="H139" s="1811" t="s">
        <v>8970</v>
      </c>
      <c r="I139" s="1843" t="s">
        <v>8971</v>
      </c>
      <c r="J139" s="1811" t="str">
        <f>"7-DaHall 1-"&amp;N139&amp;"-"&amp;M139&amp;"-"&amp;O139</f>
        <v>7-DaHall 1-A-1-35-11(1)</v>
      </c>
      <c r="K139" s="1843" t="str">
        <f>"7-DaHall 1-"&amp;R139&amp;"-"&amp;Q139&amp;"-"&amp;S139</f>
        <v>7-DaHall 1-B-1-35-14(1)</v>
      </c>
      <c r="L139" s="1813">
        <v>48</v>
      </c>
      <c r="M139" s="1814">
        <v>35</v>
      </c>
      <c r="N139" s="2626" t="s">
        <v>293</v>
      </c>
      <c r="O139" s="1815" t="s">
        <v>644</v>
      </c>
      <c r="P139" s="1853">
        <v>48</v>
      </c>
      <c r="Q139" s="1854">
        <v>35</v>
      </c>
      <c r="R139" s="2609" t="s">
        <v>294</v>
      </c>
      <c r="S139" s="1844" t="s">
        <v>645</v>
      </c>
      <c r="T139" s="2626" t="s">
        <v>646</v>
      </c>
      <c r="U139" s="2609" t="s">
        <v>647</v>
      </c>
      <c r="V139" s="2152" t="s">
        <v>297</v>
      </c>
      <c r="W139" s="2928" t="s">
        <v>298</v>
      </c>
      <c r="X139" s="2152" t="s">
        <v>47</v>
      </c>
      <c r="Y139" s="904" t="s">
        <v>48</v>
      </c>
      <c r="Z139" s="2152" t="s">
        <v>49</v>
      </c>
      <c r="AA139" s="904" t="s">
        <v>50</v>
      </c>
      <c r="AB139" s="2152" t="s">
        <v>51</v>
      </c>
      <c r="AC139" s="904" t="s">
        <v>52</v>
      </c>
      <c r="AD139" s="2152" t="s">
        <v>30</v>
      </c>
      <c r="AE139" s="904" t="s">
        <v>35</v>
      </c>
      <c r="AF139" s="2152" t="s">
        <v>31</v>
      </c>
      <c r="AG139" s="904" t="s">
        <v>36</v>
      </c>
      <c r="AH139" s="694"/>
      <c r="AI139" s="686"/>
      <c r="AJ139" s="3234"/>
      <c r="AK139" s="3018"/>
      <c r="AL139" s="2917"/>
      <c r="AM139" s="2918">
        <f t="shared" si="38"/>
        <v>0</v>
      </c>
      <c r="AN139" s="2940" t="s">
        <v>309</v>
      </c>
      <c r="AO139" s="2931" t="s">
        <v>197</v>
      </c>
      <c r="AQ139" s="2367">
        <f t="shared" si="39"/>
        <v>0</v>
      </c>
      <c r="AR139" s="2367">
        <f t="shared" si="40"/>
        <v>0</v>
      </c>
      <c r="AS139" s="123" t="str">
        <f t="shared" si="41"/>
        <v>미사용 랙</v>
      </c>
      <c r="AT139" t="str">
        <f t="shared" si="36"/>
        <v/>
      </c>
      <c r="AU139" t="str">
        <f t="shared" si="37"/>
        <v/>
      </c>
      <c r="AZ139" s="123"/>
      <c r="BA139" s="123"/>
      <c r="BB139" s="123"/>
      <c r="BC139" s="3103"/>
      <c r="BD139" s="123"/>
      <c r="BE139" s="3104"/>
      <c r="BF139" s="3105"/>
      <c r="BG139" s="3112"/>
      <c r="BH139" s="3106"/>
      <c r="BI139" s="3107"/>
      <c r="BJ139" s="3108"/>
      <c r="BK139" s="3109"/>
      <c r="BL139" s="3110"/>
    </row>
    <row r="140" spans="1:64" ht="54" customHeight="1">
      <c r="A140" s="2924"/>
      <c r="B140" s="3218"/>
      <c r="C140" s="3263"/>
      <c r="D140" s="3274"/>
      <c r="E140" s="2608"/>
      <c r="F140" s="2595"/>
      <c r="G140" s="2595" t="s">
        <v>27</v>
      </c>
      <c r="H140" s="1811" t="s">
        <v>8972</v>
      </c>
      <c r="I140" s="1843" t="s">
        <v>8973</v>
      </c>
      <c r="J140" s="1811" t="str">
        <f>"7-DaHall 1-"&amp;N140&amp;"-"&amp;M140&amp;"-"&amp;O140</f>
        <v>7-DaHall 1-A-1-35-15(2)</v>
      </c>
      <c r="K140" s="1843" t="str">
        <f>"7-DaHall 1-"&amp;R140&amp;"-"&amp;Q140&amp;"-"&amp;S140</f>
        <v>7-DaHall 1-B-1-35-15(2)</v>
      </c>
      <c r="L140" s="1813">
        <v>48</v>
      </c>
      <c r="M140" s="1814">
        <v>35</v>
      </c>
      <c r="N140" s="2626" t="s">
        <v>293</v>
      </c>
      <c r="O140" s="1815" t="s">
        <v>648</v>
      </c>
      <c r="P140" s="1853">
        <v>48</v>
      </c>
      <c r="Q140" s="1854">
        <v>35</v>
      </c>
      <c r="R140" s="2609" t="s">
        <v>294</v>
      </c>
      <c r="S140" s="1844" t="s">
        <v>648</v>
      </c>
      <c r="T140" s="2626" t="s">
        <v>649</v>
      </c>
      <c r="U140" s="2609" t="s">
        <v>650</v>
      </c>
      <c r="V140" s="2152" t="s">
        <v>297</v>
      </c>
      <c r="W140" s="2928" t="s">
        <v>298</v>
      </c>
      <c r="X140" s="2152" t="s">
        <v>47</v>
      </c>
      <c r="Y140" s="904" t="s">
        <v>48</v>
      </c>
      <c r="Z140" s="2152" t="s">
        <v>49</v>
      </c>
      <c r="AA140" s="904" t="s">
        <v>50</v>
      </c>
      <c r="AB140" s="2152" t="s">
        <v>51</v>
      </c>
      <c r="AC140" s="904" t="s">
        <v>52</v>
      </c>
      <c r="AD140" s="2152" t="s">
        <v>30</v>
      </c>
      <c r="AE140" s="904" t="s">
        <v>35</v>
      </c>
      <c r="AF140" s="2152" t="s">
        <v>31</v>
      </c>
      <c r="AG140" s="904" t="s">
        <v>36</v>
      </c>
      <c r="AH140" s="694"/>
      <c r="AI140" s="686"/>
      <c r="AJ140" s="3235"/>
      <c r="AK140" s="3018"/>
      <c r="AL140" s="2917"/>
      <c r="AM140" s="2918">
        <f t="shared" si="38"/>
        <v>0</v>
      </c>
      <c r="AN140" s="2939"/>
      <c r="AO140" s="2932"/>
      <c r="AQ140" s="2367">
        <f t="shared" si="39"/>
        <v>0</v>
      </c>
      <c r="AR140" s="2367">
        <f t="shared" si="40"/>
        <v>0</v>
      </c>
      <c r="AS140" s="123" t="str">
        <f t="shared" si="41"/>
        <v>미사용 랙</v>
      </c>
      <c r="AT140" t="str">
        <f t="shared" si="36"/>
        <v/>
      </c>
      <c r="AU140" t="str">
        <f t="shared" si="37"/>
        <v/>
      </c>
      <c r="AZ140" s="123"/>
      <c r="BA140" s="123"/>
      <c r="BB140" s="123"/>
      <c r="BC140" s="3103"/>
      <c r="BD140" s="123"/>
      <c r="BE140" s="3104"/>
      <c r="BF140" s="3105"/>
      <c r="BG140" s="3112"/>
      <c r="BH140" s="3106"/>
      <c r="BI140" s="3107"/>
      <c r="BJ140" s="3108"/>
      <c r="BK140" s="3109"/>
      <c r="BL140" s="3110"/>
    </row>
    <row r="141" spans="1:64" ht="13.5" customHeight="1">
      <c r="A141" s="2924"/>
      <c r="B141" s="2595"/>
      <c r="C141" s="919" t="s">
        <v>640</v>
      </c>
      <c r="D141" s="919"/>
      <c r="E141" s="2595"/>
      <c r="F141" s="2595"/>
      <c r="G141" s="2595"/>
      <c r="H141" s="1914"/>
      <c r="I141" s="1915"/>
      <c r="J141" s="1914"/>
      <c r="K141" s="1915"/>
      <c r="L141" s="1916"/>
      <c r="M141" s="903"/>
      <c r="N141" s="903"/>
      <c r="O141" s="1917"/>
      <c r="P141" s="1918"/>
      <c r="Q141" s="1919"/>
      <c r="R141" s="922"/>
      <c r="S141" s="1920"/>
      <c r="T141" s="903"/>
      <c r="U141" s="922"/>
      <c r="V141" s="903"/>
      <c r="W141" s="1174"/>
      <c r="X141" s="903"/>
      <c r="Y141" s="1168"/>
      <c r="Z141" s="903"/>
      <c r="AA141" s="1168"/>
      <c r="AB141" s="903"/>
      <c r="AC141" s="1168"/>
      <c r="AD141" s="903"/>
      <c r="AE141" s="1168"/>
      <c r="AF141" s="922"/>
      <c r="AG141" s="1168"/>
      <c r="AH141" s="955"/>
      <c r="AI141" s="951"/>
      <c r="AJ141" s="1313"/>
      <c r="AK141" s="2925"/>
      <c r="AL141" s="2926"/>
      <c r="AM141" s="2927">
        <f t="shared" si="38"/>
        <v>0</v>
      </c>
      <c r="AN141" s="2629"/>
      <c r="AO141" s="2631"/>
      <c r="AQ141" s="2367">
        <f t="shared" si="39"/>
        <v>0</v>
      </c>
      <c r="AR141" s="2367">
        <f t="shared" si="40"/>
        <v>0</v>
      </c>
      <c r="AS141" s="123" t="str">
        <f t="shared" si="41"/>
        <v>미사용 랙</v>
      </c>
      <c r="AT141" t="str">
        <f t="shared" si="36"/>
        <v/>
      </c>
      <c r="AU141" t="str">
        <f t="shared" si="37"/>
        <v/>
      </c>
      <c r="AZ141" s="123"/>
      <c r="BA141" s="123"/>
      <c r="BB141" s="123"/>
      <c r="BC141" s="3103"/>
      <c r="BD141" s="123"/>
      <c r="BE141" s="3104"/>
      <c r="BF141" s="3105"/>
      <c r="BG141" s="3112"/>
      <c r="BH141" s="3106"/>
      <c r="BI141" s="3107"/>
      <c r="BJ141" s="3108"/>
      <c r="BK141" s="3109"/>
      <c r="BL141" s="3110"/>
    </row>
    <row r="142" spans="1:64" ht="54" customHeight="1" thickBot="1">
      <c r="A142" s="2924"/>
      <c r="B142" s="2595" t="s">
        <v>635</v>
      </c>
      <c r="C142" s="2147" t="s">
        <v>636</v>
      </c>
      <c r="D142" s="2595" t="s">
        <v>637</v>
      </c>
      <c r="E142" s="2595"/>
      <c r="F142" s="2595"/>
      <c r="G142" s="2595" t="s">
        <v>27</v>
      </c>
      <c r="H142" s="1866" t="s">
        <v>8974</v>
      </c>
      <c r="I142" s="1867" t="s">
        <v>8975</v>
      </c>
      <c r="J142" s="1866" t="str">
        <f>"7-DaHall 1-"&amp;N142&amp;"-"&amp;M142&amp;"-"&amp;O142</f>
        <v>7-DaHall 1-B-1-35-16</v>
      </c>
      <c r="K142" s="1867" t="str">
        <f>"7-DaHall 1-"&amp;R142&amp;"-"&amp;Q142&amp;"-"&amp;S142</f>
        <v>7-DaHall 1-A-1-35-16</v>
      </c>
      <c r="L142" s="1868">
        <v>48</v>
      </c>
      <c r="M142" s="1854">
        <v>35</v>
      </c>
      <c r="N142" s="2609" t="s">
        <v>294</v>
      </c>
      <c r="O142" s="1844">
        <v>16</v>
      </c>
      <c r="P142" s="1869">
        <v>48</v>
      </c>
      <c r="Q142" s="1814">
        <v>35</v>
      </c>
      <c r="R142" s="2626" t="s">
        <v>293</v>
      </c>
      <c r="S142" s="1815">
        <v>16</v>
      </c>
      <c r="T142" s="2609" t="s">
        <v>638</v>
      </c>
      <c r="U142" s="2626" t="s">
        <v>639</v>
      </c>
      <c r="V142" s="693" t="s">
        <v>298</v>
      </c>
      <c r="W142" s="888" t="s">
        <v>297</v>
      </c>
      <c r="X142" s="2609" t="s">
        <v>48</v>
      </c>
      <c r="Y142" s="2626" t="s">
        <v>47</v>
      </c>
      <c r="Z142" s="2609" t="s">
        <v>50</v>
      </c>
      <c r="AA142" s="2626" t="s">
        <v>49</v>
      </c>
      <c r="AB142" s="2609" t="s">
        <v>52</v>
      </c>
      <c r="AC142" s="2626" t="s">
        <v>51</v>
      </c>
      <c r="AD142" s="2609" t="s">
        <v>35</v>
      </c>
      <c r="AE142" s="2626" t="s">
        <v>30</v>
      </c>
      <c r="AF142" s="2609" t="s">
        <v>36</v>
      </c>
      <c r="AG142" s="2626" t="s">
        <v>31</v>
      </c>
      <c r="AH142" s="902"/>
      <c r="AI142" s="924"/>
      <c r="AJ142" s="3017"/>
      <c r="AK142" s="3018"/>
      <c r="AL142" s="2917"/>
      <c r="AM142" s="2918">
        <f t="shared" si="38"/>
        <v>0</v>
      </c>
      <c r="AN142" s="2629" t="s">
        <v>309</v>
      </c>
      <c r="AO142" s="2631"/>
      <c r="AQ142" s="2367">
        <f t="shared" si="39"/>
        <v>0</v>
      </c>
      <c r="AR142" s="2367">
        <f t="shared" si="40"/>
        <v>0</v>
      </c>
      <c r="AS142" s="123" t="str">
        <f t="shared" si="41"/>
        <v>미사용 랙</v>
      </c>
      <c r="AT142" t="str">
        <f t="shared" si="36"/>
        <v/>
      </c>
      <c r="AU142" t="str">
        <f t="shared" si="37"/>
        <v/>
      </c>
      <c r="AZ142" s="123"/>
      <c r="BA142" s="123"/>
      <c r="BB142" s="123"/>
      <c r="BC142" s="3103"/>
      <c r="BD142" s="123"/>
      <c r="BE142" s="3104"/>
      <c r="BF142" s="3105"/>
      <c r="BG142" s="3112"/>
      <c r="BH142" s="3106"/>
      <c r="BI142" s="3107"/>
      <c r="BJ142" s="3108"/>
      <c r="BK142" s="3109"/>
      <c r="BL142" s="3110"/>
    </row>
    <row r="143" spans="1:64" ht="54" customHeight="1" thickBot="1">
      <c r="A143" s="2924"/>
      <c r="B143" s="2595" t="s">
        <v>630</v>
      </c>
      <c r="C143" s="2147" t="s">
        <v>631</v>
      </c>
      <c r="D143" s="2595" t="s">
        <v>632</v>
      </c>
      <c r="E143" s="2595"/>
      <c r="F143" s="2595"/>
      <c r="G143" s="2595" t="s">
        <v>27</v>
      </c>
      <c r="H143" s="1811" t="s">
        <v>8976</v>
      </c>
      <c r="I143" s="1843" t="s">
        <v>8977</v>
      </c>
      <c r="J143" s="1811" t="str">
        <f>"7-DaHall 1-"&amp;N143&amp;"-"&amp;M143&amp;"-"&amp;O143</f>
        <v>7-DaHall 1-A-1-50-17</v>
      </c>
      <c r="K143" s="1843" t="str">
        <f>"7-DaHall 1-"&amp;R143&amp;"-"&amp;Q143&amp;"-"&amp;S143</f>
        <v>7-DaHall 1-B-1-50-17</v>
      </c>
      <c r="L143" s="1813">
        <v>48</v>
      </c>
      <c r="M143" s="1814">
        <v>50</v>
      </c>
      <c r="N143" s="2626" t="s">
        <v>293</v>
      </c>
      <c r="O143" s="1815">
        <v>17</v>
      </c>
      <c r="P143" s="1853">
        <v>48</v>
      </c>
      <c r="Q143" s="1854">
        <v>50</v>
      </c>
      <c r="R143" s="2609" t="s">
        <v>294</v>
      </c>
      <c r="S143" s="1844">
        <v>17</v>
      </c>
      <c r="T143" s="2626" t="s">
        <v>633</v>
      </c>
      <c r="U143" s="2609" t="s">
        <v>634</v>
      </c>
      <c r="V143" s="2947" t="s">
        <v>297</v>
      </c>
      <c r="W143" s="2948" t="s">
        <v>298</v>
      </c>
      <c r="X143" s="2949" t="s">
        <v>47</v>
      </c>
      <c r="Y143" s="2950" t="s">
        <v>48</v>
      </c>
      <c r="Z143" s="2949" t="s">
        <v>49</v>
      </c>
      <c r="AA143" s="2950" t="s">
        <v>50</v>
      </c>
      <c r="AB143" s="2949" t="s">
        <v>51</v>
      </c>
      <c r="AC143" s="2950" t="s">
        <v>52</v>
      </c>
      <c r="AD143" s="2949" t="s">
        <v>30</v>
      </c>
      <c r="AE143" s="2950" t="s">
        <v>35</v>
      </c>
      <c r="AF143" s="2949" t="s">
        <v>31</v>
      </c>
      <c r="AG143" s="2950" t="s">
        <v>36</v>
      </c>
      <c r="AH143" s="681"/>
      <c r="AI143" s="676"/>
      <c r="AJ143" s="3017"/>
      <c r="AK143" s="3018"/>
      <c r="AL143" s="2917"/>
      <c r="AM143" s="2918">
        <f t="shared" si="38"/>
        <v>0</v>
      </c>
      <c r="AN143" s="2629" t="s">
        <v>309</v>
      </c>
      <c r="AO143" s="2631"/>
      <c r="AQ143" s="2367">
        <f t="shared" si="39"/>
        <v>0</v>
      </c>
      <c r="AR143" s="2367">
        <f t="shared" si="40"/>
        <v>0</v>
      </c>
      <c r="AS143" s="123" t="str">
        <f t="shared" si="41"/>
        <v>미사용 랙</v>
      </c>
      <c r="AT143" t="str">
        <f t="shared" si="36"/>
        <v/>
      </c>
      <c r="AU143" t="str">
        <f t="shared" si="37"/>
        <v/>
      </c>
      <c r="AZ143" s="123"/>
      <c r="BA143" s="123"/>
      <c r="BB143" s="123"/>
      <c r="BC143" s="3103"/>
      <c r="BD143" s="123"/>
      <c r="BE143" s="3104"/>
      <c r="BF143" s="3105"/>
      <c r="BG143" s="3112"/>
      <c r="BH143" s="3106"/>
      <c r="BI143" s="3107"/>
      <c r="BJ143" s="3108"/>
      <c r="BK143" s="3109"/>
      <c r="BL143" s="3110"/>
    </row>
    <row r="144" spans="1:64" ht="54" customHeight="1" thickBot="1">
      <c r="A144" s="2924"/>
      <c r="B144" s="2595" t="s">
        <v>625</v>
      </c>
      <c r="C144" s="2147" t="s">
        <v>626</v>
      </c>
      <c r="D144" s="2595" t="s">
        <v>627</v>
      </c>
      <c r="E144" s="2595"/>
      <c r="F144" s="2595"/>
      <c r="G144" s="2595" t="s">
        <v>27</v>
      </c>
      <c r="H144" s="1811" t="s">
        <v>8978</v>
      </c>
      <c r="I144" s="1843" t="s">
        <v>8979</v>
      </c>
      <c r="J144" s="1811" t="str">
        <f>"7-DaHall 1-"&amp;N144&amp;"-"&amp;M144&amp;"-"&amp;O144</f>
        <v>7-DaHall 1-A-1-50-56</v>
      </c>
      <c r="K144" s="1843" t="str">
        <f>"7-DaHall 1-"&amp;R144&amp;"-"&amp;Q144&amp;"-"&amp;S144</f>
        <v>7-DaHall 1-B-1-50-56</v>
      </c>
      <c r="L144" s="1813">
        <v>48</v>
      </c>
      <c r="M144" s="1814">
        <v>50</v>
      </c>
      <c r="N144" s="2626" t="s">
        <v>293</v>
      </c>
      <c r="O144" s="1815">
        <v>56</v>
      </c>
      <c r="P144" s="1853">
        <v>48</v>
      </c>
      <c r="Q144" s="1854">
        <v>50</v>
      </c>
      <c r="R144" s="2609" t="s">
        <v>294</v>
      </c>
      <c r="S144" s="1844">
        <v>56</v>
      </c>
      <c r="T144" s="2626" t="s">
        <v>628</v>
      </c>
      <c r="U144" s="2609" t="s">
        <v>629</v>
      </c>
      <c r="V144" s="2947" t="s">
        <v>297</v>
      </c>
      <c r="W144" s="2948" t="s">
        <v>298</v>
      </c>
      <c r="X144" s="2949" t="s">
        <v>47</v>
      </c>
      <c r="Y144" s="2950" t="s">
        <v>48</v>
      </c>
      <c r="Z144" s="2949" t="s">
        <v>49</v>
      </c>
      <c r="AA144" s="2950" t="s">
        <v>50</v>
      </c>
      <c r="AB144" s="2949" t="s">
        <v>51</v>
      </c>
      <c r="AC144" s="2950" t="s">
        <v>52</v>
      </c>
      <c r="AD144" s="2949" t="s">
        <v>30</v>
      </c>
      <c r="AE144" s="2950" t="s">
        <v>35</v>
      </c>
      <c r="AF144" s="2949" t="s">
        <v>31</v>
      </c>
      <c r="AG144" s="2950" t="s">
        <v>36</v>
      </c>
      <c r="AH144" s="681"/>
      <c r="AI144" s="676"/>
      <c r="AJ144" s="3017"/>
      <c r="AK144" s="3018"/>
      <c r="AL144" s="2917"/>
      <c r="AM144" s="2918">
        <f t="shared" si="38"/>
        <v>0</v>
      </c>
      <c r="AN144" s="2629" t="s">
        <v>309</v>
      </c>
      <c r="AO144" s="2631"/>
      <c r="AQ144" s="2367">
        <f t="shared" si="39"/>
        <v>0</v>
      </c>
      <c r="AR144" s="2367">
        <f t="shared" si="40"/>
        <v>0</v>
      </c>
      <c r="AS144" s="123" t="str">
        <f t="shared" si="41"/>
        <v>미사용 랙</v>
      </c>
      <c r="AT144" t="str">
        <f t="shared" si="36"/>
        <v/>
      </c>
      <c r="AU144" t="str">
        <f t="shared" si="37"/>
        <v/>
      </c>
      <c r="AZ144" s="123"/>
      <c r="BA144" s="123"/>
      <c r="BB144" s="123"/>
      <c r="BC144" s="3103"/>
      <c r="BD144" s="123"/>
      <c r="BE144" s="3104"/>
      <c r="BF144" s="3105"/>
      <c r="BG144" s="3112"/>
      <c r="BH144" s="3106"/>
      <c r="BI144" s="3107"/>
      <c r="BJ144" s="3108"/>
      <c r="BK144" s="3109"/>
      <c r="BL144" s="3110"/>
    </row>
    <row r="145" spans="1:64" ht="27" customHeight="1">
      <c r="A145" s="2909" t="s">
        <v>619</v>
      </c>
      <c r="B145" s="672" t="s">
        <v>620</v>
      </c>
      <c r="C145" s="2154" t="s">
        <v>621</v>
      </c>
      <c r="D145" s="672" t="s">
        <v>622</v>
      </c>
      <c r="E145" s="672"/>
      <c r="F145" s="672"/>
      <c r="G145" s="672" t="s">
        <v>27</v>
      </c>
      <c r="H145" s="1908" t="s">
        <v>8980</v>
      </c>
      <c r="I145" s="1909" t="s">
        <v>8981</v>
      </c>
      <c r="J145" s="1908" t="str">
        <f>"7-DaHall 1-"&amp;N145&amp;"-"&amp;M145&amp;"-"&amp;O145</f>
        <v>7-DaHall 1-A-1-100-19</v>
      </c>
      <c r="K145" s="1909" t="str">
        <f>"7-DaHall 1-"&amp;R145&amp;"-"&amp;Q145&amp;"-"&amp;S145</f>
        <v>7-DaHall 1-B-1-100-19</v>
      </c>
      <c r="L145" s="1910">
        <v>48</v>
      </c>
      <c r="M145" s="1814">
        <v>100</v>
      </c>
      <c r="N145" s="889" t="s">
        <v>293</v>
      </c>
      <c r="O145" s="1911">
        <v>19</v>
      </c>
      <c r="P145" s="1912">
        <v>48</v>
      </c>
      <c r="Q145" s="1854">
        <v>100</v>
      </c>
      <c r="R145" s="900" t="s">
        <v>294</v>
      </c>
      <c r="S145" s="1913">
        <v>19</v>
      </c>
      <c r="T145" s="889" t="s">
        <v>623</v>
      </c>
      <c r="U145" s="900" t="s">
        <v>624</v>
      </c>
      <c r="V145" s="2947" t="s">
        <v>297</v>
      </c>
      <c r="W145" s="2948" t="s">
        <v>298</v>
      </c>
      <c r="X145" s="2949" t="s">
        <v>47</v>
      </c>
      <c r="Y145" s="2950" t="s">
        <v>48</v>
      </c>
      <c r="Z145" s="2949" t="s">
        <v>49</v>
      </c>
      <c r="AA145" s="2950" t="s">
        <v>50</v>
      </c>
      <c r="AB145" s="2949" t="s">
        <v>51</v>
      </c>
      <c r="AC145" s="2950" t="s">
        <v>52</v>
      </c>
      <c r="AD145" s="2949" t="s">
        <v>30</v>
      </c>
      <c r="AE145" s="2950" t="s">
        <v>35</v>
      </c>
      <c r="AF145" s="2949" t="s">
        <v>31</v>
      </c>
      <c r="AG145" s="2950" t="s">
        <v>36</v>
      </c>
      <c r="AH145" s="680"/>
      <c r="AI145" s="673"/>
      <c r="AJ145" s="3019"/>
      <c r="AK145" s="3018"/>
      <c r="AL145" s="2917"/>
      <c r="AM145" s="2918">
        <f t="shared" si="38"/>
        <v>0</v>
      </c>
      <c r="AN145" s="882" t="s">
        <v>315</v>
      </c>
      <c r="AO145" s="674"/>
      <c r="AQ145" s="2367">
        <f t="shared" si="39"/>
        <v>0</v>
      </c>
      <c r="AR145" s="2367">
        <f t="shared" si="40"/>
        <v>0</v>
      </c>
      <c r="AS145" s="123" t="str">
        <f t="shared" si="41"/>
        <v>미사용 랙</v>
      </c>
      <c r="AT145" t="str">
        <f t="shared" si="36"/>
        <v/>
      </c>
      <c r="AU145" t="str">
        <f t="shared" si="37"/>
        <v/>
      </c>
      <c r="AZ145" s="123"/>
      <c r="BA145" s="123"/>
      <c r="BB145" s="123"/>
      <c r="BC145" s="3103"/>
      <c r="BD145" s="123"/>
      <c r="BE145" s="3104"/>
      <c r="BF145" s="3105"/>
      <c r="BG145" s="3112"/>
      <c r="BH145" s="3106"/>
      <c r="BI145" s="3107"/>
      <c r="BJ145" s="3108"/>
      <c r="BK145" s="3109"/>
      <c r="BL145" s="3110"/>
    </row>
    <row r="146" spans="1:64" ht="62.4">
      <c r="A146" s="2924"/>
      <c r="B146" s="2595" t="s">
        <v>513</v>
      </c>
      <c r="C146" s="1166" t="s">
        <v>514</v>
      </c>
      <c r="D146" s="2600" t="s">
        <v>9249</v>
      </c>
      <c r="E146" s="3062">
        <v>1.6</v>
      </c>
      <c r="F146" s="2595" t="s">
        <v>27</v>
      </c>
      <c r="G146" s="2595"/>
      <c r="H146" s="1831" t="s">
        <v>8982</v>
      </c>
      <c r="I146" s="1839" t="s">
        <v>8983</v>
      </c>
      <c r="J146" s="1831" t="str">
        <f>"7-DaHall 1-"&amp;N146&amp;"-"&amp;M146&amp;"-"&amp;O146</f>
        <v>7-DaHall 1-RPP-01-30-32</v>
      </c>
      <c r="K146" s="1839" t="str">
        <f>"7-DaHall 1-"&amp;R146&amp;"-"&amp;Q146&amp;"-"&amp;S146</f>
        <v>7-DaHall 1-RPP-02-30-26</v>
      </c>
      <c r="L146" s="1833">
        <v>220</v>
      </c>
      <c r="M146" s="1834">
        <v>30</v>
      </c>
      <c r="N146" s="703" t="s">
        <v>8775</v>
      </c>
      <c r="O146" s="1835">
        <v>32</v>
      </c>
      <c r="P146" s="1840">
        <v>220</v>
      </c>
      <c r="Q146" s="1841">
        <v>30</v>
      </c>
      <c r="R146" s="687" t="s">
        <v>8776</v>
      </c>
      <c r="S146" s="1842">
        <v>26</v>
      </c>
      <c r="T146" s="703" t="s">
        <v>515</v>
      </c>
      <c r="U146" s="687" t="s">
        <v>516</v>
      </c>
      <c r="V146" s="2626" t="s">
        <v>517</v>
      </c>
      <c r="W146" s="2609" t="s">
        <v>518</v>
      </c>
      <c r="X146" s="2626" t="s">
        <v>450</v>
      </c>
      <c r="Y146" s="2609" t="s">
        <v>460</v>
      </c>
      <c r="Z146" s="2626" t="s">
        <v>451</v>
      </c>
      <c r="AA146" s="2609" t="s">
        <v>461</v>
      </c>
      <c r="AB146" s="2626" t="s">
        <v>452</v>
      </c>
      <c r="AC146" s="2609" t="s">
        <v>519</v>
      </c>
      <c r="AD146" s="2626" t="s">
        <v>30</v>
      </c>
      <c r="AE146" s="2609" t="s">
        <v>35</v>
      </c>
      <c r="AF146" s="2626" t="s">
        <v>31</v>
      </c>
      <c r="AG146" s="2609" t="s">
        <v>36</v>
      </c>
      <c r="AH146" s="681">
        <f>SUM('7층_부하량(월간_AVG)'!N21:P21)</f>
        <v>0</v>
      </c>
      <c r="AI146" s="676">
        <f>SUM('7층_부하량(월간_AVG)'!N107:P107)</f>
        <v>0.42734076380786234</v>
      </c>
      <c r="AJ146" s="1301">
        <f>AH146+AI146</f>
        <v>0.42734076380786234</v>
      </c>
      <c r="AK146" s="2913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0</v>
      </c>
      <c r="AL146" s="2914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26.4</v>
      </c>
      <c r="AM146" s="2921">
        <f t="shared" si="38"/>
        <v>26.4</v>
      </c>
      <c r="AN146" s="2620" t="s">
        <v>520</v>
      </c>
      <c r="AO146" s="2631"/>
      <c r="AQ146" s="2367">
        <f t="shared" si="39"/>
        <v>3.5483870967741936E-2</v>
      </c>
      <c r="AR146" s="2367">
        <f t="shared" si="40"/>
        <v>1.5645161290322582</v>
      </c>
      <c r="AS146" s="123" t="str">
        <f>IF(SIGN(AR146)&gt;=0,IF(AM146=0,"무부하 랙","적정함"),"사용초과")</f>
        <v>적정함</v>
      </c>
      <c r="AT146" t="str">
        <f t="shared" si="36"/>
        <v/>
      </c>
      <c r="AU146" t="str">
        <f t="shared" si="37"/>
        <v/>
      </c>
      <c r="AZ146" s="123"/>
      <c r="BA146" s="123"/>
      <c r="BB146" s="123"/>
      <c r="BC146" s="3103"/>
      <c r="BD146" s="123"/>
      <c r="BE146" s="3104"/>
      <c r="BF146" s="3105"/>
      <c r="BG146" s="3112"/>
      <c r="BH146" s="3106"/>
      <c r="BI146" s="3107"/>
      <c r="BJ146" s="3108"/>
      <c r="BK146" s="3109"/>
      <c r="BL146" s="3110"/>
    </row>
    <row r="147" spans="1:64" ht="62.4">
      <c r="A147" s="2924"/>
      <c r="B147" s="2595" t="s">
        <v>508</v>
      </c>
      <c r="C147" s="1158" t="s">
        <v>509</v>
      </c>
      <c r="D147" s="2595" t="s">
        <v>9249</v>
      </c>
      <c r="E147" s="3062">
        <v>1.6</v>
      </c>
      <c r="F147" s="2595" t="s">
        <v>27</v>
      </c>
      <c r="G147" s="2595"/>
      <c r="H147" s="1863"/>
      <c r="I147" s="1888"/>
      <c r="J147" s="1863"/>
      <c r="K147" s="1888"/>
      <c r="L147" s="1864"/>
      <c r="M147" s="941"/>
      <c r="N147" s="941"/>
      <c r="O147" s="1865"/>
      <c r="P147" s="1889"/>
      <c r="Q147" s="1890"/>
      <c r="R147" s="941"/>
      <c r="S147" s="1865"/>
      <c r="T147" s="941" t="s">
        <v>510</v>
      </c>
      <c r="U147" s="941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7"/>
      <c r="AG147" s="897"/>
      <c r="AH147" s="950"/>
      <c r="AI147" s="951"/>
      <c r="AJ147" s="1312"/>
      <c r="AK147" s="2913"/>
      <c r="AL147" s="2914"/>
      <c r="AM147" s="2921">
        <f t="shared" si="38"/>
        <v>0</v>
      </c>
      <c r="AN147" s="2629"/>
      <c r="AO147" s="688" t="s">
        <v>512</v>
      </c>
      <c r="AQ147" s="2367">
        <f t="shared" si="39"/>
        <v>0</v>
      </c>
      <c r="AR147" s="2367">
        <f t="shared" si="40"/>
        <v>1.6</v>
      </c>
      <c r="AS147" s="123" t="str">
        <f>IF(SIGN(AR147)&gt;=0,IF(AM147=0,"무부하 랙","적정함"),"사용초과")</f>
        <v>무부하 랙</v>
      </c>
      <c r="AT147" t="str">
        <f t="shared" si="36"/>
        <v/>
      </c>
      <c r="AU147" t="str">
        <f t="shared" si="37"/>
        <v/>
      </c>
      <c r="AZ147" s="123"/>
      <c r="BA147" s="123"/>
      <c r="BB147" s="123"/>
      <c r="BC147" s="3103"/>
      <c r="BD147" s="123"/>
      <c r="BE147" s="3104"/>
      <c r="BF147" s="3105"/>
      <c r="BG147" s="3112"/>
      <c r="BH147" s="3106"/>
      <c r="BI147" s="3107"/>
      <c r="BJ147" s="3108"/>
      <c r="BK147" s="3109"/>
      <c r="BL147" s="3110"/>
    </row>
    <row r="148" spans="1:64" ht="40.049999999999997" customHeight="1">
      <c r="A148" s="2924"/>
      <c r="B148" s="2595" t="s">
        <v>502</v>
      </c>
      <c r="C148" s="1158" t="s">
        <v>503</v>
      </c>
      <c r="D148" s="2595" t="s">
        <v>9249</v>
      </c>
      <c r="E148" s="3062">
        <v>1.6</v>
      </c>
      <c r="F148" s="2595" t="s">
        <v>27</v>
      </c>
      <c r="G148" s="2595"/>
      <c r="H148" s="1831" t="s">
        <v>8984</v>
      </c>
      <c r="I148" s="1839" t="s">
        <v>8985</v>
      </c>
      <c r="J148" s="1831" t="str">
        <f t="shared" ref="J148" si="43">"7-DaHall 1-"&amp;N148&amp;"-"&amp;M148&amp;"-"&amp;O148</f>
        <v>7-DaHall 1-RPP-01-30-12</v>
      </c>
      <c r="K148" s="1839" t="str">
        <f t="shared" ref="K148" si="44">"7-DaHall 1-"&amp;R148&amp;"-"&amp;Q148&amp;"-"&amp;S148</f>
        <v>7-DaHall 1-RPP-02-20-17</v>
      </c>
      <c r="L148" s="1833">
        <v>220</v>
      </c>
      <c r="M148" s="1834">
        <v>30</v>
      </c>
      <c r="N148" s="703" t="s">
        <v>8775</v>
      </c>
      <c r="O148" s="1835">
        <v>12</v>
      </c>
      <c r="P148" s="1840">
        <v>220</v>
      </c>
      <c r="Q148" s="1841">
        <v>20</v>
      </c>
      <c r="R148" s="687" t="s">
        <v>8776</v>
      </c>
      <c r="S148" s="1842">
        <v>17</v>
      </c>
      <c r="T148" s="703" t="s">
        <v>504</v>
      </c>
      <c r="U148" s="687" t="s">
        <v>505</v>
      </c>
      <c r="V148" s="2626" t="s">
        <v>506</v>
      </c>
      <c r="W148" s="2609" t="s">
        <v>507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SUM('7층_부하량(월간_AVG)'!N11:P11)</f>
        <v>4.1870727699500492</v>
      </c>
      <c r="AI148" s="676">
        <f>SUM('7층_부하량(월간_AVG)'!D103:F103)</f>
        <v>3.1085118739641748</v>
      </c>
      <c r="AJ148" s="1301">
        <f t="shared" ref="AJ148" si="45">AH148+AI148</f>
        <v>7.295584643914224</v>
      </c>
      <c r="AK148" s="2913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608.6</v>
      </c>
      <c r="AL148" s="2914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436.9</v>
      </c>
      <c r="AM148" s="2921">
        <f t="shared" si="38"/>
        <v>1045.5</v>
      </c>
      <c r="AN148" s="2629"/>
      <c r="AO148" s="2631"/>
      <c r="AQ148" s="2367">
        <f t="shared" si="39"/>
        <v>1.405241935483871</v>
      </c>
      <c r="AR148" s="2367">
        <f t="shared" si="40"/>
        <v>0.19475806451612909</v>
      </c>
      <c r="AS148" s="123" t="str">
        <f>IF(SIGN(AR148)&gt;=0,IF(AM148=0,"무부하 랙","적정함"),"사용초과")</f>
        <v>적정함</v>
      </c>
      <c r="AT148" t="str">
        <f t="shared" si="36"/>
        <v/>
      </c>
      <c r="AU148" t="str">
        <f t="shared" si="37"/>
        <v/>
      </c>
      <c r="AZ148" s="123"/>
      <c r="BA148" s="123"/>
      <c r="BB148" s="123"/>
      <c r="BC148" s="3103"/>
      <c r="BD148" s="123"/>
      <c r="BE148" s="3104"/>
      <c r="BF148" s="3105"/>
      <c r="BG148" s="3112"/>
      <c r="BH148" s="3106"/>
      <c r="BI148" s="3107"/>
      <c r="BJ148" s="3108"/>
      <c r="BK148" s="3109"/>
      <c r="BL148" s="3110"/>
    </row>
    <row r="149" spans="1:64" ht="54" customHeight="1">
      <c r="A149" s="2924"/>
      <c r="B149" s="3217" t="s">
        <v>494</v>
      </c>
      <c r="C149" s="3237" t="s">
        <v>495</v>
      </c>
      <c r="D149" s="3239" t="s">
        <v>9249</v>
      </c>
      <c r="E149" s="2980"/>
      <c r="F149" s="2624"/>
      <c r="G149" s="2624" t="s">
        <v>27</v>
      </c>
      <c r="H149" s="1811" t="s">
        <v>8986</v>
      </c>
      <c r="I149" s="1843" t="s">
        <v>8987</v>
      </c>
      <c r="J149" s="1811" t="str">
        <f>"7-DaHall 1-"&amp;N149&amp;"-"&amp;M149&amp;"-"&amp;O149</f>
        <v>7-DaHall 1-A-1-35-44</v>
      </c>
      <c r="K149" s="1843" t="str">
        <f>"7-DaHall 1-"&amp;R149&amp;"-"&amp;Q149&amp;"-"&amp;S149</f>
        <v>7-DaHall 1-B-1-35-6</v>
      </c>
      <c r="L149" s="1813">
        <v>48</v>
      </c>
      <c r="M149" s="1814">
        <v>35</v>
      </c>
      <c r="N149" s="2626" t="s">
        <v>293</v>
      </c>
      <c r="O149" s="1815">
        <v>44</v>
      </c>
      <c r="P149" s="1853">
        <v>48</v>
      </c>
      <c r="Q149" s="1854">
        <v>35</v>
      </c>
      <c r="R149" s="2609" t="s">
        <v>294</v>
      </c>
      <c r="S149" s="1844">
        <v>6</v>
      </c>
      <c r="T149" s="2626" t="s">
        <v>496</v>
      </c>
      <c r="U149" s="2609" t="s">
        <v>497</v>
      </c>
      <c r="V149" s="2626" t="s">
        <v>297</v>
      </c>
      <c r="W149" s="2609" t="s">
        <v>298</v>
      </c>
      <c r="X149" s="2626" t="s">
        <v>435</v>
      </c>
      <c r="Y149" s="2609" t="s">
        <v>436</v>
      </c>
      <c r="Z149" s="2626" t="s">
        <v>49</v>
      </c>
      <c r="AA149" s="2609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81"/>
      <c r="AI149" s="676"/>
      <c r="AJ149" s="3017"/>
      <c r="AK149" s="3018"/>
      <c r="AL149" s="2917"/>
      <c r="AM149" s="2918">
        <f t="shared" si="38"/>
        <v>0</v>
      </c>
      <c r="AN149" s="2629"/>
      <c r="AO149" s="2631"/>
      <c r="AQ149" s="2367">
        <f t="shared" si="39"/>
        <v>0</v>
      </c>
      <c r="AR149" s="2367">
        <f t="shared" si="40"/>
        <v>0</v>
      </c>
      <c r="AS149" s="123" t="str">
        <f t="shared" si="41"/>
        <v>미사용 랙</v>
      </c>
      <c r="AT149" t="str">
        <f t="shared" si="36"/>
        <v/>
      </c>
      <c r="AU149" t="str">
        <f t="shared" si="37"/>
        <v/>
      </c>
      <c r="AZ149" s="123"/>
      <c r="BA149" s="123"/>
      <c r="BB149" s="123"/>
      <c r="BC149" s="3103"/>
      <c r="BD149" s="123"/>
      <c r="BE149" s="3104"/>
      <c r="BF149" s="3105"/>
      <c r="BG149" s="3112"/>
      <c r="BH149" s="3106"/>
      <c r="BI149" s="3107"/>
      <c r="BJ149" s="3108"/>
      <c r="BK149" s="3109"/>
      <c r="BL149" s="3110"/>
    </row>
    <row r="150" spans="1:64" ht="40.049999999999997" customHeight="1">
      <c r="A150" s="2924"/>
      <c r="B150" s="3218"/>
      <c r="C150" s="3275"/>
      <c r="D150" s="3274"/>
      <c r="E150" s="3062">
        <v>1.6</v>
      </c>
      <c r="F150" s="2597" t="s">
        <v>27</v>
      </c>
      <c r="G150" s="2597"/>
      <c r="H150" s="1831" t="s">
        <v>8988</v>
      </c>
      <c r="I150" s="1839" t="s">
        <v>8989</v>
      </c>
      <c r="J150" s="1831" t="str">
        <f>"7-DaHall 1-"&amp;N150&amp;"-"&amp;M150&amp;"-"&amp;O150</f>
        <v>7-DaHall 1-RPP-01-30-10</v>
      </c>
      <c r="K150" s="1839" t="str">
        <f>"7-DaHall 1-"&amp;R150&amp;"-"&amp;Q150&amp;"-"&amp;S150</f>
        <v>7-DaHall 1-RPP-02-20-15</v>
      </c>
      <c r="L150" s="1833">
        <v>220</v>
      </c>
      <c r="M150" s="1834">
        <v>30</v>
      </c>
      <c r="N150" s="703" t="s">
        <v>8775</v>
      </c>
      <c r="O150" s="1835">
        <v>10</v>
      </c>
      <c r="P150" s="1840">
        <v>220</v>
      </c>
      <c r="Q150" s="1841">
        <v>20</v>
      </c>
      <c r="R150" s="687" t="s">
        <v>8776</v>
      </c>
      <c r="S150" s="1842">
        <v>15</v>
      </c>
      <c r="T150" s="703" t="s">
        <v>498</v>
      </c>
      <c r="U150" s="687" t="s">
        <v>499</v>
      </c>
      <c r="V150" s="2626" t="s">
        <v>500</v>
      </c>
      <c r="W150" s="2609" t="s">
        <v>501</v>
      </c>
      <c r="X150" s="2152" t="s">
        <v>450</v>
      </c>
      <c r="Y150" s="904" t="s">
        <v>460</v>
      </c>
      <c r="Z150" s="2152" t="s">
        <v>451</v>
      </c>
      <c r="AA150" s="904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SUM('7층_부하량(월간_AVG)'!N10:P10)</f>
        <v>1.6802836904159473</v>
      </c>
      <c r="AI150" s="676">
        <f>SUM('7층_부하량(월간_AVG)'!D102:F102)</f>
        <v>1.7628952982927228</v>
      </c>
      <c r="AJ150" s="1301">
        <f t="shared" ref="AJ150" si="46">AH150+AI150</f>
        <v>3.4431789887086701</v>
      </c>
      <c r="AK150" s="2913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241.3</v>
      </c>
      <c r="AL150" s="2914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272.10000000000002</v>
      </c>
      <c r="AM150" s="2921">
        <f t="shared" si="38"/>
        <v>513.40000000000009</v>
      </c>
      <c r="AN150" s="2629"/>
      <c r="AO150" s="2631"/>
      <c r="AQ150" s="2367">
        <f t="shared" si="39"/>
        <v>0.69005376344086033</v>
      </c>
      <c r="AR150" s="2367">
        <f t="shared" si="40"/>
        <v>0.90994623655913975</v>
      </c>
      <c r="AS150" s="123" t="str">
        <f>IF(SIGN(AR150)&gt;=0,IF(AM150=0,"무부하 랙","적정함"),"사용초과")</f>
        <v>적정함</v>
      </c>
      <c r="AT150" t="str">
        <f t="shared" si="36"/>
        <v/>
      </c>
      <c r="AU150" t="str">
        <f t="shared" si="37"/>
        <v/>
      </c>
      <c r="AZ150" s="123"/>
      <c r="BA150" s="123"/>
      <c r="BB150" s="123"/>
      <c r="BC150" s="3103"/>
      <c r="BD150" s="123"/>
      <c r="BE150" s="3104"/>
      <c r="BF150" s="3105"/>
      <c r="BG150" s="3112"/>
      <c r="BH150" s="3106"/>
      <c r="BI150" s="3107"/>
      <c r="BJ150" s="3108"/>
      <c r="BK150" s="3109"/>
      <c r="BL150" s="3110"/>
    </row>
    <row r="151" spans="1:64" ht="54" customHeight="1">
      <c r="A151" s="2924"/>
      <c r="B151" s="3217" t="s">
        <v>486</v>
      </c>
      <c r="C151" s="3237" t="s">
        <v>487</v>
      </c>
      <c r="D151" s="3239" t="s">
        <v>9249</v>
      </c>
      <c r="E151" s="2980"/>
      <c r="F151" s="2624"/>
      <c r="G151" s="2624" t="s">
        <v>27</v>
      </c>
      <c r="H151" s="1811" t="s">
        <v>8990</v>
      </c>
      <c r="I151" s="1843" t="s">
        <v>8991</v>
      </c>
      <c r="J151" s="1811" t="str">
        <f>"7-DaHall 1-"&amp;N151&amp;"-"&amp;M151&amp;"-"&amp;O151</f>
        <v>7-DaHall 1-A-1-35-43</v>
      </c>
      <c r="K151" s="1843" t="str">
        <f>"7-DaHall 1-"&amp;R151&amp;"-"&amp;Q151&amp;"-"&amp;S151</f>
        <v>7-DaHall 1-B-1-35-5</v>
      </c>
      <c r="L151" s="1813">
        <v>48</v>
      </c>
      <c r="M151" s="1814">
        <v>35</v>
      </c>
      <c r="N151" s="2626" t="s">
        <v>293</v>
      </c>
      <c r="O151" s="1815">
        <v>43</v>
      </c>
      <c r="P151" s="1853">
        <v>48</v>
      </c>
      <c r="Q151" s="1854">
        <v>35</v>
      </c>
      <c r="R151" s="2609" t="s">
        <v>294</v>
      </c>
      <c r="S151" s="1844">
        <v>5</v>
      </c>
      <c r="T151" s="2626" t="s">
        <v>488</v>
      </c>
      <c r="U151" s="2609" t="s">
        <v>489</v>
      </c>
      <c r="V151" s="2589" t="s">
        <v>297</v>
      </c>
      <c r="W151" s="2591" t="s">
        <v>298</v>
      </c>
      <c r="X151" s="2589" t="s">
        <v>435</v>
      </c>
      <c r="Y151" s="2591" t="s">
        <v>436</v>
      </c>
      <c r="Z151" s="2589" t="s">
        <v>49</v>
      </c>
      <c r="AA151" s="2591" t="s">
        <v>50</v>
      </c>
      <c r="AB151" s="2152" t="s">
        <v>51</v>
      </c>
      <c r="AC151" s="904" t="s">
        <v>52</v>
      </c>
      <c r="AD151" s="2152" t="s">
        <v>30</v>
      </c>
      <c r="AE151" s="904" t="s">
        <v>35</v>
      </c>
      <c r="AF151" s="2152" t="s">
        <v>31</v>
      </c>
      <c r="AG151" s="904" t="s">
        <v>36</v>
      </c>
      <c r="AH151" s="675"/>
      <c r="AI151" s="676"/>
      <c r="AJ151" s="3017"/>
      <c r="AK151" s="3018"/>
      <c r="AL151" s="2917"/>
      <c r="AM151" s="2918">
        <f t="shared" si="38"/>
        <v>0</v>
      </c>
      <c r="AN151" s="2629"/>
      <c r="AO151" s="2631"/>
      <c r="AQ151" s="2367">
        <f t="shared" si="39"/>
        <v>0</v>
      </c>
      <c r="AR151" s="2367">
        <f t="shared" si="40"/>
        <v>0</v>
      </c>
      <c r="AS151" s="123" t="str">
        <f t="shared" si="41"/>
        <v>미사용 랙</v>
      </c>
      <c r="AT151" t="str">
        <f t="shared" si="36"/>
        <v/>
      </c>
      <c r="AU151" t="str">
        <f t="shared" si="37"/>
        <v/>
      </c>
      <c r="AZ151" s="123"/>
      <c r="BA151" s="123"/>
      <c r="BB151" s="123"/>
      <c r="BC151" s="3103"/>
      <c r="BD151" s="123"/>
      <c r="BE151" s="3104"/>
      <c r="BF151" s="3105"/>
      <c r="BG151" s="3112"/>
      <c r="BH151" s="3106"/>
      <c r="BI151" s="3107"/>
      <c r="BJ151" s="3108"/>
      <c r="BK151" s="3109"/>
      <c r="BL151" s="3110"/>
    </row>
    <row r="152" spans="1:64" ht="62.4">
      <c r="A152" s="2924"/>
      <c r="B152" s="3218"/>
      <c r="C152" s="3275"/>
      <c r="D152" s="3274"/>
      <c r="E152" s="3062">
        <v>1.6</v>
      </c>
      <c r="F152" s="2597" t="s">
        <v>27</v>
      </c>
      <c r="G152" s="2597"/>
      <c r="H152" s="1831" t="s">
        <v>8992</v>
      </c>
      <c r="I152" s="1839" t="s">
        <v>8993</v>
      </c>
      <c r="J152" s="1831" t="str">
        <f>"7-DaHall 1-"&amp;N152&amp;"-"&amp;M152&amp;"-"&amp;O152</f>
        <v>7-DaHall 1-RPP-01-30-8</v>
      </c>
      <c r="K152" s="1839" t="str">
        <f>"7-DaHall 1-"&amp;R152&amp;"-"&amp;Q152&amp;"-"&amp;S152</f>
        <v>7-DaHall 1-RPP-02-20-13</v>
      </c>
      <c r="L152" s="1833">
        <v>220</v>
      </c>
      <c r="M152" s="1834">
        <v>30</v>
      </c>
      <c r="N152" s="703" t="s">
        <v>8775</v>
      </c>
      <c r="O152" s="1835">
        <v>8</v>
      </c>
      <c r="P152" s="1840">
        <v>220</v>
      </c>
      <c r="Q152" s="1841">
        <v>20</v>
      </c>
      <c r="R152" s="687" t="s">
        <v>8776</v>
      </c>
      <c r="S152" s="1842">
        <v>13</v>
      </c>
      <c r="T152" s="703" t="s">
        <v>490</v>
      </c>
      <c r="U152" s="687" t="s">
        <v>491</v>
      </c>
      <c r="V152" s="2626" t="s">
        <v>492</v>
      </c>
      <c r="W152" s="2609" t="s">
        <v>493</v>
      </c>
      <c r="X152" s="2626" t="s">
        <v>450</v>
      </c>
      <c r="Y152" s="2609" t="s">
        <v>460</v>
      </c>
      <c r="Z152" s="2626" t="s">
        <v>451</v>
      </c>
      <c r="AA152" s="2609" t="s">
        <v>461</v>
      </c>
      <c r="AB152" s="2152" t="s">
        <v>51</v>
      </c>
      <c r="AC152" s="904" t="s">
        <v>52</v>
      </c>
      <c r="AD152" s="2152" t="s">
        <v>30</v>
      </c>
      <c r="AE152" s="904" t="s">
        <v>35</v>
      </c>
      <c r="AF152" s="2152" t="s">
        <v>31</v>
      </c>
      <c r="AG152" s="904" t="s">
        <v>36</v>
      </c>
      <c r="AH152" s="681">
        <f>SUM('7층_부하량(월간_AVG)'!N9:P9)</f>
        <v>2.386762985791961</v>
      </c>
      <c r="AI152" s="676">
        <f>SUM('7층_부하량(월간_AVG)'!D101:F101)</f>
        <v>2.8491649598101079</v>
      </c>
      <c r="AJ152" s="1301">
        <f t="shared" ref="AJ152" si="47">AH152+AI152</f>
        <v>5.2359279456020689</v>
      </c>
      <c r="AK152" s="2913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342.5</v>
      </c>
      <c r="AL152" s="2914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392.7</v>
      </c>
      <c r="AM152" s="2921">
        <f t="shared" si="38"/>
        <v>735.2</v>
      </c>
      <c r="AN152" s="2629"/>
      <c r="AO152" s="2631"/>
      <c r="AQ152" s="2367">
        <f t="shared" si="39"/>
        <v>0.98817204301075279</v>
      </c>
      <c r="AR152" s="2367">
        <f t="shared" si="40"/>
        <v>0.6118279569892473</v>
      </c>
      <c r="AS152" s="123" t="str">
        <f>IF(SIGN(AR152)&gt;=0,IF(AM152=0,"무부하 랙","적정함"),"사용초과")</f>
        <v>적정함</v>
      </c>
      <c r="AT152" t="str">
        <f t="shared" si="36"/>
        <v/>
      </c>
      <c r="AU152" t="str">
        <f t="shared" si="37"/>
        <v/>
      </c>
      <c r="AZ152" s="123"/>
      <c r="BA152" s="123"/>
      <c r="BB152" s="123"/>
      <c r="BC152" s="3103"/>
      <c r="BD152" s="123"/>
      <c r="BE152" s="3104"/>
      <c r="BF152" s="3105"/>
      <c r="BG152" s="3112"/>
      <c r="BH152" s="3106"/>
      <c r="BI152" s="3107"/>
      <c r="BJ152" s="3108"/>
      <c r="BK152" s="3109"/>
      <c r="BL152" s="3110"/>
    </row>
    <row r="153" spans="1:64" ht="62.4">
      <c r="A153" s="2924"/>
      <c r="B153" s="2595" t="s">
        <v>481</v>
      </c>
      <c r="C153" s="2599" t="s">
        <v>482</v>
      </c>
      <c r="D153" s="2600" t="s">
        <v>9249</v>
      </c>
      <c r="E153" s="3060">
        <v>1.6</v>
      </c>
      <c r="F153" s="2595" t="s">
        <v>27</v>
      </c>
      <c r="G153" s="2595"/>
      <c r="H153" s="1872" t="s">
        <v>8994</v>
      </c>
      <c r="I153" s="1870" t="s">
        <v>8995</v>
      </c>
      <c r="J153" s="1831" t="str">
        <f>"7-DaHall 1-"&amp;R153&amp;"-"&amp;Q153&amp;"-"&amp;S153</f>
        <v>7-DaHall 1-PDU-01-30-8</v>
      </c>
      <c r="K153" s="1839" t="str">
        <f>"7-DaHall 1-"&amp;N153&amp;"-"&amp;M153&amp;"-"&amp;O153</f>
        <v>7-DaHall 1-RPP-02-20-9</v>
      </c>
      <c r="L153" s="1873">
        <v>220</v>
      </c>
      <c r="M153" s="1841">
        <v>20</v>
      </c>
      <c r="N153" s="687" t="s">
        <v>8776</v>
      </c>
      <c r="O153" s="1842">
        <v>9</v>
      </c>
      <c r="P153" s="1871">
        <v>220</v>
      </c>
      <c r="Q153" s="1834">
        <v>30</v>
      </c>
      <c r="R153" s="703" t="s">
        <v>8749</v>
      </c>
      <c r="S153" s="1835">
        <v>8</v>
      </c>
      <c r="T153" s="687" t="s">
        <v>483</v>
      </c>
      <c r="U153" s="703" t="s">
        <v>484</v>
      </c>
      <c r="V153" s="2609" t="s">
        <v>485</v>
      </c>
      <c r="W153" s="733"/>
      <c r="X153" s="2609" t="s">
        <v>460</v>
      </c>
      <c r="Y153" s="733"/>
      <c r="Z153" s="2591" t="s">
        <v>461</v>
      </c>
      <c r="AA153" s="733"/>
      <c r="AB153" s="2591" t="s">
        <v>52</v>
      </c>
      <c r="AC153" s="2626" t="s">
        <v>164</v>
      </c>
      <c r="AD153" s="2591" t="s">
        <v>35</v>
      </c>
      <c r="AE153" s="2626" t="s">
        <v>110</v>
      </c>
      <c r="AF153" s="2609" t="s">
        <v>36</v>
      </c>
      <c r="AG153" s="2626" t="s">
        <v>31</v>
      </c>
      <c r="AH153" s="924">
        <f>SUM('7층_부하량(월간_AVG)'!N66:P66)</f>
        <v>1.8066486203581242</v>
      </c>
      <c r="AI153" s="902">
        <f>SUM('7층_부하량(월간_AVG)'!D99:F99)</f>
        <v>1.170950985289744</v>
      </c>
      <c r="AJ153" s="1301">
        <f>AI153+AH153</f>
        <v>2.9775996056478684</v>
      </c>
      <c r="AK153" s="2913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267.3</v>
      </c>
      <c r="AL153" s="2914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186.3</v>
      </c>
      <c r="AM153" s="2921">
        <f t="shared" si="38"/>
        <v>453.6</v>
      </c>
      <c r="AN153" s="2629"/>
      <c r="AO153" s="2631"/>
      <c r="AQ153" s="2367">
        <f t="shared" si="39"/>
        <v>0.60967741935483877</v>
      </c>
      <c r="AR153" s="2367">
        <f t="shared" si="40"/>
        <v>0.99032258064516132</v>
      </c>
      <c r="AS153" s="123" t="str">
        <f>IF(SIGN(AR153)&gt;=0,IF(AM153=0,"무부하 랙","적정함"),"사용초과")</f>
        <v>적정함</v>
      </c>
      <c r="AT153" t="str">
        <f t="shared" si="36"/>
        <v/>
      </c>
      <c r="AU153" t="str">
        <f t="shared" si="37"/>
        <v/>
      </c>
      <c r="AZ153" s="123"/>
      <c r="BA153" s="123"/>
      <c r="BB153" s="123"/>
      <c r="BC153" s="3103"/>
      <c r="BD153" s="123"/>
      <c r="BE153" s="3104"/>
      <c r="BF153" s="3105"/>
      <c r="BG153" s="3112"/>
      <c r="BH153" s="3106"/>
      <c r="BI153" s="3107"/>
      <c r="BJ153" s="3108"/>
      <c r="BK153" s="3109"/>
      <c r="BL153" s="3110"/>
    </row>
    <row r="154" spans="1:64" ht="63" thickBot="1">
      <c r="A154" s="2924"/>
      <c r="B154" s="2595" t="s">
        <v>479</v>
      </c>
      <c r="C154" s="1158" t="s">
        <v>480</v>
      </c>
      <c r="D154" s="2595" t="s">
        <v>9249</v>
      </c>
      <c r="E154" s="3059">
        <v>1.6</v>
      </c>
      <c r="F154" s="2595" t="s">
        <v>27</v>
      </c>
      <c r="G154" s="2595"/>
      <c r="H154" s="1885"/>
      <c r="I154" s="1881"/>
      <c r="J154" s="1885"/>
      <c r="K154" s="1881"/>
      <c r="L154" s="1886"/>
      <c r="M154" s="957"/>
      <c r="N154" s="957"/>
      <c r="O154" s="1887"/>
      <c r="P154" s="1882"/>
      <c r="Q154" s="1883"/>
      <c r="R154" s="943"/>
      <c r="S154" s="1884"/>
      <c r="T154" s="957"/>
      <c r="U154" s="943" t="s">
        <v>478</v>
      </c>
      <c r="V154" s="957"/>
      <c r="W154" s="942"/>
      <c r="X154" s="957"/>
      <c r="Y154" s="942"/>
      <c r="Z154" s="957"/>
      <c r="AA154" s="942"/>
      <c r="AB154" s="957"/>
      <c r="AC154" s="942"/>
      <c r="AD154" s="957"/>
      <c r="AE154" s="942"/>
      <c r="AF154" s="957"/>
      <c r="AG154" s="941"/>
      <c r="AH154" s="957"/>
      <c r="AI154" s="682"/>
      <c r="AJ154" s="1301">
        <f t="shared" ref="AJ154:AJ164" si="48">AH154+AI154</f>
        <v>0</v>
      </c>
      <c r="AK154" s="2913"/>
      <c r="AL154" s="2914"/>
      <c r="AM154" s="2921">
        <f t="shared" si="38"/>
        <v>0</v>
      </c>
      <c r="AN154" s="2629" t="s">
        <v>121</v>
      </c>
      <c r="AO154" s="2631"/>
      <c r="AQ154" s="2367">
        <f t="shared" si="39"/>
        <v>0</v>
      </c>
      <c r="AR154" s="2367">
        <f t="shared" si="40"/>
        <v>1.6</v>
      </c>
      <c r="AS154" s="123" t="str">
        <f>IF(SIGN(AR154)&gt;=0,IF(AM154=0,"무부하 랙","적정함"),"사용초과")</f>
        <v>무부하 랙</v>
      </c>
      <c r="AT154" t="str">
        <f t="shared" si="36"/>
        <v/>
      </c>
      <c r="AU154" t="str">
        <f t="shared" si="37"/>
        <v/>
      </c>
      <c r="AZ154" s="123"/>
      <c r="BA154" s="123"/>
      <c r="BB154" s="123"/>
      <c r="BC154" s="3103"/>
      <c r="BD154" s="123"/>
      <c r="BE154" s="3104"/>
      <c r="BF154" s="3105"/>
      <c r="BG154" s="3112"/>
      <c r="BH154" s="3106"/>
      <c r="BI154" s="3107"/>
      <c r="BJ154" s="3108"/>
      <c r="BK154" s="3109"/>
      <c r="BL154" s="3110"/>
    </row>
    <row r="155" spans="1:64" ht="63" thickBot="1">
      <c r="A155" s="2909" t="s">
        <v>475</v>
      </c>
      <c r="B155" s="672" t="s">
        <v>476</v>
      </c>
      <c r="C155" s="1157" t="s">
        <v>477</v>
      </c>
      <c r="D155" s="672" t="s">
        <v>9249</v>
      </c>
      <c r="E155" s="3061">
        <v>1.6</v>
      </c>
      <c r="F155" s="672" t="s">
        <v>27</v>
      </c>
      <c r="G155" s="2601"/>
      <c r="H155" s="1827"/>
      <c r="I155" s="1881"/>
      <c r="J155" s="1827"/>
      <c r="K155" s="1881"/>
      <c r="L155" s="1828"/>
      <c r="M155" s="896"/>
      <c r="N155" s="896"/>
      <c r="O155" s="1830"/>
      <c r="P155" s="1882"/>
      <c r="Q155" s="1883"/>
      <c r="R155" s="943"/>
      <c r="S155" s="1884"/>
      <c r="T155" s="896"/>
      <c r="U155" s="943" t="s">
        <v>478</v>
      </c>
      <c r="V155" s="896"/>
      <c r="W155" s="944"/>
      <c r="X155" s="896"/>
      <c r="Y155" s="944"/>
      <c r="Z155" s="896"/>
      <c r="AA155" s="944"/>
      <c r="AB155" s="896"/>
      <c r="AC155" s="944"/>
      <c r="AD155" s="896"/>
      <c r="AE155" s="944"/>
      <c r="AF155" s="896"/>
      <c r="AG155" s="943"/>
      <c r="AH155" s="896"/>
      <c r="AI155" s="692"/>
      <c r="AJ155" s="3016">
        <f t="shared" si="48"/>
        <v>0</v>
      </c>
      <c r="AK155" s="2913"/>
      <c r="AL155" s="2914"/>
      <c r="AM155" s="2921">
        <f t="shared" si="38"/>
        <v>0</v>
      </c>
      <c r="AN155" s="882" t="s">
        <v>121</v>
      </c>
      <c r="AO155" s="674"/>
      <c r="AQ155" s="2367">
        <f t="shared" si="39"/>
        <v>0</v>
      </c>
      <c r="AR155" s="2367">
        <f t="shared" si="40"/>
        <v>1.6</v>
      </c>
      <c r="AS155" s="123" t="str">
        <f>IF(SIGN(AR155)&gt;=0,IF(AM155=0,"무부하 랙","적정함"),"사용초과")</f>
        <v>무부하 랙</v>
      </c>
      <c r="AT155" t="str">
        <f t="shared" si="36"/>
        <v/>
      </c>
      <c r="AU155" t="str">
        <f t="shared" si="37"/>
        <v/>
      </c>
      <c r="AZ155" s="123"/>
      <c r="BA155" s="123"/>
      <c r="BB155" s="123"/>
      <c r="BC155" s="3103"/>
      <c r="BD155" s="123"/>
      <c r="BE155" s="3104"/>
      <c r="BF155" s="3105"/>
      <c r="BG155" s="3112"/>
      <c r="BH155" s="3106"/>
      <c r="BI155" s="3107"/>
      <c r="BJ155" s="3108"/>
      <c r="BK155" s="3109"/>
      <c r="BL155" s="3110"/>
    </row>
    <row r="156" spans="1:64" ht="54.75" customHeight="1" thickBot="1">
      <c r="A156" s="2924"/>
      <c r="B156" s="2595" t="s">
        <v>322</v>
      </c>
      <c r="C156" s="2147" t="s">
        <v>323</v>
      </c>
      <c r="D156" s="2595" t="s">
        <v>324</v>
      </c>
      <c r="E156" s="2595"/>
      <c r="F156" s="2595"/>
      <c r="G156" s="2595" t="s">
        <v>27</v>
      </c>
      <c r="H156" s="1811" t="s">
        <v>8996</v>
      </c>
      <c r="I156" s="1843" t="s">
        <v>8997</v>
      </c>
      <c r="J156" s="1811" t="str">
        <f>"7-DaHall 1-"&amp;N156&amp;"-"&amp;M156&amp;"-"&amp;O156</f>
        <v>7-DaHall 1-A-1-100-24</v>
      </c>
      <c r="K156" s="1843" t="str">
        <f>"7-DaHall 1-"&amp;R156&amp;"-"&amp;Q156&amp;"-"&amp;S156</f>
        <v>7-DaHall 1-B-1-100-24</v>
      </c>
      <c r="L156" s="1813">
        <v>48</v>
      </c>
      <c r="M156" s="1814">
        <v>100</v>
      </c>
      <c r="N156" s="2626" t="s">
        <v>293</v>
      </c>
      <c r="O156" s="1815">
        <v>24</v>
      </c>
      <c r="P156" s="1853">
        <v>48</v>
      </c>
      <c r="Q156" s="1854">
        <v>100</v>
      </c>
      <c r="R156" s="2609" t="s">
        <v>294</v>
      </c>
      <c r="S156" s="1844">
        <v>24</v>
      </c>
      <c r="T156" s="2626" t="s">
        <v>325</v>
      </c>
      <c r="U156" s="2609" t="s">
        <v>326</v>
      </c>
      <c r="V156" s="2929" t="s">
        <v>297</v>
      </c>
      <c r="W156" s="2928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49" t="s">
        <v>31</v>
      </c>
      <c r="AG156" s="2950" t="s">
        <v>36</v>
      </c>
      <c r="AH156" s="681"/>
      <c r="AI156" s="676"/>
      <c r="AJ156" s="3017"/>
      <c r="AK156" s="3018"/>
      <c r="AL156" s="2917"/>
      <c r="AM156" s="2918">
        <f t="shared" si="38"/>
        <v>0</v>
      </c>
      <c r="AN156" s="2629" t="s">
        <v>327</v>
      </c>
      <c r="AO156" s="2616"/>
      <c r="AQ156" s="2367">
        <f t="shared" si="39"/>
        <v>0</v>
      </c>
      <c r="AR156" s="2367">
        <f t="shared" si="40"/>
        <v>0</v>
      </c>
      <c r="AS156" s="123" t="str">
        <f t="shared" si="41"/>
        <v>미사용 랙</v>
      </c>
      <c r="AT156" t="str">
        <f t="shared" si="36"/>
        <v/>
      </c>
      <c r="AU156" t="str">
        <f t="shared" si="37"/>
        <v/>
      </c>
      <c r="AZ156" s="123"/>
      <c r="BA156" s="123"/>
      <c r="BB156" s="123"/>
      <c r="BC156" s="3103"/>
      <c r="BD156" s="123"/>
      <c r="BE156" s="3104"/>
      <c r="BF156" s="3105"/>
      <c r="BG156" s="3112"/>
      <c r="BH156" s="3106"/>
      <c r="BI156" s="3107"/>
      <c r="BJ156" s="3108"/>
      <c r="BK156" s="3109"/>
      <c r="BL156" s="3110"/>
    </row>
    <row r="157" spans="1:64" ht="54.75" customHeight="1" thickBot="1">
      <c r="A157" s="2924"/>
      <c r="B157" s="2595" t="s">
        <v>316</v>
      </c>
      <c r="C157" s="2147" t="s">
        <v>317</v>
      </c>
      <c r="D157" s="2595" t="s">
        <v>318</v>
      </c>
      <c r="E157" s="2595"/>
      <c r="F157" s="2595"/>
      <c r="G157" s="2595" t="s">
        <v>27</v>
      </c>
      <c r="H157" s="1811" t="s">
        <v>8998</v>
      </c>
      <c r="I157" s="1843" t="s">
        <v>8999</v>
      </c>
      <c r="J157" s="1811" t="str">
        <f t="shared" ref="J157:J169" si="49">"7-DaHall 1-"&amp;N157&amp;"-"&amp;M157&amp;"-"&amp;O157</f>
        <v>7-DaHall 1-A-1-100-7</v>
      </c>
      <c r="K157" s="1843" t="str">
        <f t="shared" ref="K157:K169" si="50">"7-DaHall 1-"&amp;R157&amp;"-"&amp;Q157&amp;"-"&amp;S157</f>
        <v>7-DaHall 1-B-1-100-7</v>
      </c>
      <c r="L157" s="1813">
        <v>48</v>
      </c>
      <c r="M157" s="1814">
        <v>100</v>
      </c>
      <c r="N157" s="2626" t="s">
        <v>293</v>
      </c>
      <c r="O157" s="1815">
        <v>7</v>
      </c>
      <c r="P157" s="1853">
        <v>48</v>
      </c>
      <c r="Q157" s="1854">
        <v>100</v>
      </c>
      <c r="R157" s="2609" t="s">
        <v>294</v>
      </c>
      <c r="S157" s="1844">
        <v>7</v>
      </c>
      <c r="T157" s="2626" t="s">
        <v>319</v>
      </c>
      <c r="U157" s="2609" t="s">
        <v>320</v>
      </c>
      <c r="V157" s="2929" t="s">
        <v>297</v>
      </c>
      <c r="W157" s="2928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49" t="s">
        <v>31</v>
      </c>
      <c r="AG157" s="2950" t="s">
        <v>36</v>
      </c>
      <c r="AH157" s="681"/>
      <c r="AI157" s="676"/>
      <c r="AJ157" s="3017"/>
      <c r="AK157" s="3018"/>
      <c r="AL157" s="2917"/>
      <c r="AM157" s="2918">
        <f t="shared" si="38"/>
        <v>0</v>
      </c>
      <c r="AN157" s="2629" t="s">
        <v>321</v>
      </c>
      <c r="AO157" s="2631"/>
      <c r="AQ157" s="2367">
        <f t="shared" si="39"/>
        <v>0</v>
      </c>
      <c r="AR157" s="2367">
        <f t="shared" si="40"/>
        <v>0</v>
      </c>
      <c r="AS157" s="123" t="str">
        <f t="shared" si="41"/>
        <v>미사용 랙</v>
      </c>
      <c r="AT157" t="str">
        <f t="shared" si="36"/>
        <v/>
      </c>
      <c r="AU157" t="str">
        <f t="shared" si="37"/>
        <v/>
      </c>
      <c r="AZ157" s="123"/>
      <c r="BA157" s="123"/>
      <c r="BB157" s="123"/>
      <c r="BC157" s="3103"/>
      <c r="BD157" s="123"/>
      <c r="BE157" s="3104"/>
      <c r="BF157" s="3105"/>
      <c r="BG157" s="3112"/>
      <c r="BH157" s="3106"/>
      <c r="BI157" s="3107"/>
      <c r="BJ157" s="3108"/>
      <c r="BK157" s="3109"/>
      <c r="BL157" s="3110"/>
    </row>
    <row r="158" spans="1:64" ht="54.75" customHeight="1" thickBot="1">
      <c r="A158" s="2924"/>
      <c r="B158" s="2595" t="s">
        <v>310</v>
      </c>
      <c r="C158" s="2147" t="s">
        <v>311</v>
      </c>
      <c r="D158" s="2595" t="s">
        <v>312</v>
      </c>
      <c r="E158" s="2595"/>
      <c r="F158" s="2595"/>
      <c r="G158" s="2595" t="s">
        <v>27</v>
      </c>
      <c r="H158" s="1811" t="s">
        <v>9000</v>
      </c>
      <c r="I158" s="1843" t="s">
        <v>9001</v>
      </c>
      <c r="J158" s="1811" t="str">
        <f t="shared" si="49"/>
        <v>7-DaHall 1-A-1-50-57</v>
      </c>
      <c r="K158" s="1843" t="str">
        <f t="shared" si="50"/>
        <v>7-DaHall 1-B-1-50-57</v>
      </c>
      <c r="L158" s="1813">
        <v>48</v>
      </c>
      <c r="M158" s="1814">
        <v>50</v>
      </c>
      <c r="N158" s="2626" t="s">
        <v>293</v>
      </c>
      <c r="O158" s="1815">
        <v>57</v>
      </c>
      <c r="P158" s="1853">
        <v>48</v>
      </c>
      <c r="Q158" s="1854">
        <v>50</v>
      </c>
      <c r="R158" s="2609" t="s">
        <v>294</v>
      </c>
      <c r="S158" s="1844">
        <v>57</v>
      </c>
      <c r="T158" s="2626" t="s">
        <v>313</v>
      </c>
      <c r="U158" s="2609" t="s">
        <v>314</v>
      </c>
      <c r="V158" s="2929" t="s">
        <v>297</v>
      </c>
      <c r="W158" s="2928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49" t="s">
        <v>31</v>
      </c>
      <c r="AG158" s="2950" t="s">
        <v>36</v>
      </c>
      <c r="AH158" s="681"/>
      <c r="AI158" s="676"/>
      <c r="AJ158" s="3017"/>
      <c r="AK158" s="3018"/>
      <c r="AL158" s="2917"/>
      <c r="AM158" s="2918">
        <f t="shared" si="38"/>
        <v>0</v>
      </c>
      <c r="AN158" s="2629" t="s">
        <v>315</v>
      </c>
      <c r="AO158" s="2631"/>
      <c r="AQ158" s="2367">
        <f t="shared" si="39"/>
        <v>0</v>
      </c>
      <c r="AR158" s="2367">
        <f t="shared" si="40"/>
        <v>0</v>
      </c>
      <c r="AS158" s="123" t="str">
        <f t="shared" si="41"/>
        <v>미사용 랙</v>
      </c>
      <c r="AT158" t="str">
        <f t="shared" si="36"/>
        <v/>
      </c>
      <c r="AU158" t="str">
        <f t="shared" si="37"/>
        <v/>
      </c>
      <c r="AZ158" s="123"/>
      <c r="BA158" s="123"/>
      <c r="BB158" s="123"/>
      <c r="BC158" s="3103"/>
      <c r="BD158" s="123"/>
      <c r="BE158" s="3104"/>
      <c r="BF158" s="3105"/>
      <c r="BG158" s="3112"/>
      <c r="BH158" s="3106"/>
      <c r="BI158" s="3107"/>
      <c r="BJ158" s="3108"/>
      <c r="BK158" s="3109"/>
      <c r="BL158" s="3110"/>
    </row>
    <row r="159" spans="1:64" ht="54.75" customHeight="1" thickBot="1">
      <c r="A159" s="2924"/>
      <c r="B159" s="2595" t="s">
        <v>304</v>
      </c>
      <c r="C159" s="2147" t="s">
        <v>305</v>
      </c>
      <c r="D159" s="2595" t="s">
        <v>306</v>
      </c>
      <c r="E159" s="2595"/>
      <c r="F159" s="2595"/>
      <c r="G159" s="2595" t="s">
        <v>27</v>
      </c>
      <c r="H159" s="1811" t="s">
        <v>9002</v>
      </c>
      <c r="I159" s="1843" t="s">
        <v>9003</v>
      </c>
      <c r="J159" s="1811" t="str">
        <f t="shared" si="49"/>
        <v>7-DaHall 1-A-1-50-21</v>
      </c>
      <c r="K159" s="1843" t="str">
        <f t="shared" si="50"/>
        <v>7-DaHall 1-B-1-50-21</v>
      </c>
      <c r="L159" s="1813">
        <v>48</v>
      </c>
      <c r="M159" s="1814">
        <v>50</v>
      </c>
      <c r="N159" s="2626" t="s">
        <v>293</v>
      </c>
      <c r="O159" s="1815">
        <v>21</v>
      </c>
      <c r="P159" s="1853">
        <v>48</v>
      </c>
      <c r="Q159" s="1854">
        <v>50</v>
      </c>
      <c r="R159" s="2609" t="s">
        <v>294</v>
      </c>
      <c r="S159" s="1844">
        <v>21</v>
      </c>
      <c r="T159" s="2626" t="s">
        <v>307</v>
      </c>
      <c r="U159" s="2609" t="s">
        <v>308</v>
      </c>
      <c r="V159" s="2929" t="s">
        <v>297</v>
      </c>
      <c r="W159" s="2928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49" t="s">
        <v>31</v>
      </c>
      <c r="AG159" s="2950" t="s">
        <v>36</v>
      </c>
      <c r="AH159" s="681"/>
      <c r="AI159" s="676"/>
      <c r="AJ159" s="3017"/>
      <c r="AK159" s="3018"/>
      <c r="AL159" s="2917"/>
      <c r="AM159" s="2918">
        <f t="shared" si="38"/>
        <v>0</v>
      </c>
      <c r="AN159" s="2629" t="s">
        <v>309</v>
      </c>
      <c r="AO159" s="2631"/>
      <c r="AQ159" s="2367">
        <f t="shared" si="39"/>
        <v>0</v>
      </c>
      <c r="AR159" s="2367">
        <f t="shared" si="40"/>
        <v>0</v>
      </c>
      <c r="AS159" s="123" t="str">
        <f t="shared" si="41"/>
        <v>미사용 랙</v>
      </c>
      <c r="AT159" t="str">
        <f t="shared" si="36"/>
        <v/>
      </c>
      <c r="AU159" t="str">
        <f t="shared" si="37"/>
        <v/>
      </c>
      <c r="AZ159" s="123"/>
      <c r="BA159" s="123"/>
      <c r="BB159" s="123"/>
      <c r="BC159" s="3103"/>
      <c r="BD159" s="123"/>
      <c r="BE159" s="3104"/>
      <c r="BF159" s="3105"/>
      <c r="BG159" s="3112"/>
      <c r="BH159" s="3106"/>
      <c r="BI159" s="3107"/>
      <c r="BJ159" s="3108"/>
      <c r="BK159" s="3109"/>
      <c r="BL159" s="3110"/>
    </row>
    <row r="160" spans="1:64" ht="27" customHeight="1" thickBot="1">
      <c r="A160" s="2924"/>
      <c r="B160" s="2595" t="s">
        <v>299</v>
      </c>
      <c r="C160" s="2147" t="s">
        <v>300</v>
      </c>
      <c r="D160" s="2595" t="s">
        <v>301</v>
      </c>
      <c r="E160" s="2595"/>
      <c r="F160" s="2595"/>
      <c r="G160" s="2595" t="s">
        <v>27</v>
      </c>
      <c r="H160" s="1811" t="s">
        <v>9004</v>
      </c>
      <c r="I160" s="1843" t="s">
        <v>9005</v>
      </c>
      <c r="J160" s="1811" t="str">
        <f t="shared" si="49"/>
        <v>7-DaHall 1-A-1-100-18</v>
      </c>
      <c r="K160" s="1843" t="str">
        <f t="shared" si="50"/>
        <v>7-DaHall 1-B-1-100-18</v>
      </c>
      <c r="L160" s="1813">
        <v>48</v>
      </c>
      <c r="M160" s="1814">
        <v>100</v>
      </c>
      <c r="N160" s="2626" t="s">
        <v>293</v>
      </c>
      <c r="O160" s="1815">
        <v>18</v>
      </c>
      <c r="P160" s="1853">
        <v>48</v>
      </c>
      <c r="Q160" s="1854">
        <v>100</v>
      </c>
      <c r="R160" s="2609" t="s">
        <v>294</v>
      </c>
      <c r="S160" s="1844">
        <v>18</v>
      </c>
      <c r="T160" s="2626" t="s">
        <v>302</v>
      </c>
      <c r="U160" s="2609" t="s">
        <v>303</v>
      </c>
      <c r="V160" s="2929" t="s">
        <v>297</v>
      </c>
      <c r="W160" s="2928" t="s">
        <v>298</v>
      </c>
      <c r="X160" s="2152" t="s">
        <v>47</v>
      </c>
      <c r="Y160" s="904" t="s">
        <v>48</v>
      </c>
      <c r="Z160" s="2152" t="s">
        <v>49</v>
      </c>
      <c r="AA160" s="904" t="s">
        <v>50</v>
      </c>
      <c r="AB160" s="2152" t="s">
        <v>51</v>
      </c>
      <c r="AC160" s="904" t="s">
        <v>52</v>
      </c>
      <c r="AD160" s="2152" t="s">
        <v>30</v>
      </c>
      <c r="AE160" s="904" t="s">
        <v>35</v>
      </c>
      <c r="AF160" s="2949" t="s">
        <v>31</v>
      </c>
      <c r="AG160" s="2950" t="s">
        <v>36</v>
      </c>
      <c r="AH160" s="681"/>
      <c r="AI160" s="676"/>
      <c r="AJ160" s="3017"/>
      <c r="AK160" s="3018"/>
      <c r="AL160" s="2917"/>
      <c r="AM160" s="2918">
        <f t="shared" si="38"/>
        <v>0</v>
      </c>
      <c r="AN160" s="2629"/>
      <c r="AO160" s="2631"/>
      <c r="AQ160" s="2367">
        <f t="shared" si="39"/>
        <v>0</v>
      </c>
      <c r="AR160" s="2367">
        <f t="shared" si="40"/>
        <v>0</v>
      </c>
      <c r="AS160" s="123" t="str">
        <f t="shared" si="41"/>
        <v>미사용 랙</v>
      </c>
      <c r="AT160" t="str">
        <f t="shared" si="36"/>
        <v/>
      </c>
      <c r="AU160" t="str">
        <f t="shared" si="37"/>
        <v/>
      </c>
      <c r="AZ160" s="123"/>
      <c r="BA160" s="123"/>
      <c r="BB160" s="123"/>
      <c r="BC160" s="3103"/>
      <c r="BD160" s="123"/>
      <c r="BE160" s="3104"/>
      <c r="BF160" s="3105"/>
      <c r="BG160" s="3112"/>
      <c r="BH160" s="3106"/>
      <c r="BI160" s="3107"/>
      <c r="BJ160" s="3108"/>
      <c r="BK160" s="3109"/>
      <c r="BL160" s="3110"/>
    </row>
    <row r="161" spans="1:64" ht="27" customHeight="1" thickBot="1">
      <c r="A161" s="2924"/>
      <c r="B161" s="2595" t="s">
        <v>290</v>
      </c>
      <c r="C161" s="2147" t="s">
        <v>291</v>
      </c>
      <c r="D161" s="2595" t="s">
        <v>292</v>
      </c>
      <c r="E161" s="2595"/>
      <c r="F161" s="2595"/>
      <c r="G161" s="2595" t="s">
        <v>27</v>
      </c>
      <c r="H161" s="1811" t="s">
        <v>9006</v>
      </c>
      <c r="I161" s="1843" t="s">
        <v>9007</v>
      </c>
      <c r="J161" s="1811" t="str">
        <f t="shared" si="49"/>
        <v>7-DaHall 1-A-1-100-23</v>
      </c>
      <c r="K161" s="1843" t="str">
        <f t="shared" si="50"/>
        <v>7-DaHall 1-B-1-100-23</v>
      </c>
      <c r="L161" s="1813">
        <v>48</v>
      </c>
      <c r="M161" s="1814">
        <v>100</v>
      </c>
      <c r="N161" s="2626" t="s">
        <v>293</v>
      </c>
      <c r="O161" s="1815">
        <v>23</v>
      </c>
      <c r="P161" s="1853">
        <v>48</v>
      </c>
      <c r="Q161" s="1854">
        <v>100</v>
      </c>
      <c r="R161" s="2609" t="s">
        <v>294</v>
      </c>
      <c r="S161" s="1844">
        <v>23</v>
      </c>
      <c r="T161" s="2626" t="s">
        <v>295</v>
      </c>
      <c r="U161" s="2609" t="s">
        <v>296</v>
      </c>
      <c r="V161" s="2929" t="s">
        <v>297</v>
      </c>
      <c r="W161" s="2928" t="s">
        <v>298</v>
      </c>
      <c r="X161" s="2152" t="s">
        <v>47</v>
      </c>
      <c r="Y161" s="904" t="s">
        <v>48</v>
      </c>
      <c r="Z161" s="2152" t="s">
        <v>49</v>
      </c>
      <c r="AA161" s="904" t="s">
        <v>50</v>
      </c>
      <c r="AB161" s="2152" t="s">
        <v>51</v>
      </c>
      <c r="AC161" s="904" t="s">
        <v>52</v>
      </c>
      <c r="AD161" s="2152" t="s">
        <v>30</v>
      </c>
      <c r="AE161" s="904" t="s">
        <v>35</v>
      </c>
      <c r="AF161" s="2949" t="s">
        <v>31</v>
      </c>
      <c r="AG161" s="2950" t="s">
        <v>36</v>
      </c>
      <c r="AH161" s="681"/>
      <c r="AI161" s="676"/>
      <c r="AJ161" s="3017"/>
      <c r="AK161" s="3018"/>
      <c r="AL161" s="2917"/>
      <c r="AM161" s="2918">
        <f t="shared" si="38"/>
        <v>0</v>
      </c>
      <c r="AN161" s="2629"/>
      <c r="AO161" s="2631"/>
      <c r="AQ161" s="2367">
        <f t="shared" si="39"/>
        <v>0</v>
      </c>
      <c r="AR161" s="2367">
        <f t="shared" si="40"/>
        <v>0</v>
      </c>
      <c r="AS161" s="123" t="str">
        <f t="shared" si="41"/>
        <v>미사용 랙</v>
      </c>
      <c r="AT161" t="str">
        <f t="shared" si="36"/>
        <v/>
      </c>
      <c r="AU161" t="str">
        <f t="shared" si="37"/>
        <v/>
      </c>
      <c r="AZ161" s="123"/>
      <c r="BA161" s="123"/>
      <c r="BB161" s="123"/>
      <c r="BC161" s="3103"/>
      <c r="BD161" s="123"/>
      <c r="BE161" s="3104"/>
      <c r="BF161" s="3105"/>
      <c r="BG161" s="3112"/>
      <c r="BH161" s="3106"/>
      <c r="BI161" s="3107"/>
      <c r="BJ161" s="3108"/>
      <c r="BK161" s="3109"/>
      <c r="BL161" s="3110"/>
    </row>
    <row r="162" spans="1:64" ht="47.4" thickBot="1">
      <c r="A162" s="2909" t="s">
        <v>284</v>
      </c>
      <c r="B162" s="672" t="s">
        <v>285</v>
      </c>
      <c r="C162" s="2150" t="s">
        <v>286</v>
      </c>
      <c r="D162" s="672" t="s">
        <v>9249</v>
      </c>
      <c r="E162" s="3061">
        <v>1.6</v>
      </c>
      <c r="F162" s="672" t="s">
        <v>27</v>
      </c>
      <c r="G162" s="672"/>
      <c r="H162" s="1831" t="s">
        <v>9008</v>
      </c>
      <c r="I162" s="1839" t="s">
        <v>9009</v>
      </c>
      <c r="J162" s="1831" t="str">
        <f t="shared" si="49"/>
        <v>7-DaHall 1-PDU-01-30-30</v>
      </c>
      <c r="K162" s="1839" t="str">
        <f t="shared" si="50"/>
        <v>7-DaHall 1-PDU-02-30-30</v>
      </c>
      <c r="L162" s="1833">
        <v>220</v>
      </c>
      <c r="M162" s="1834">
        <v>30</v>
      </c>
      <c r="N162" s="703" t="s">
        <v>8749</v>
      </c>
      <c r="O162" s="1835">
        <v>30</v>
      </c>
      <c r="P162" s="1840">
        <v>220</v>
      </c>
      <c r="Q162" s="1841">
        <v>30</v>
      </c>
      <c r="R162" s="687" t="s">
        <v>8750</v>
      </c>
      <c r="S162" s="1842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4" t="s">
        <v>108</v>
      </c>
      <c r="AC162" s="900" t="s">
        <v>109</v>
      </c>
      <c r="AD162" s="894" t="s">
        <v>110</v>
      </c>
      <c r="AE162" s="900" t="s">
        <v>289</v>
      </c>
      <c r="AF162" s="2949" t="s">
        <v>31</v>
      </c>
      <c r="AG162" s="2950" t="s">
        <v>36</v>
      </c>
      <c r="AH162" s="680">
        <f>SUM('7층_부하량(월간_AVG)'!N77:P77)</f>
        <v>0.34999170866740886</v>
      </c>
      <c r="AI162" s="1353">
        <f>SUM('7층_부하량(월간_AVG)'!N45:P45)</f>
        <v>0.56678855180643595</v>
      </c>
      <c r="AJ162" s="1302">
        <f t="shared" si="48"/>
        <v>0.91678026047384487</v>
      </c>
      <c r="AK162" s="2913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2" s="2914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56.7</v>
      </c>
      <c r="AM162" s="2927">
        <f t="shared" si="38"/>
        <v>98.5</v>
      </c>
      <c r="AN162" s="882"/>
      <c r="AO162" s="674"/>
      <c r="AQ162" s="2367">
        <f t="shared" si="39"/>
        <v>0.13239247311827956</v>
      </c>
      <c r="AR162" s="2367">
        <f t="shared" si="40"/>
        <v>1.4676075268817206</v>
      </c>
      <c r="AS162" s="123" t="str">
        <f t="shared" ref="AS162:AS175" si="51">IF(SIGN(AR162)&gt;=0,IF(AM162=0,"무부하 랙","적정함"),"사용초과")</f>
        <v>적정함</v>
      </c>
      <c r="AT162" t="str">
        <f t="shared" si="36"/>
        <v/>
      </c>
      <c r="AU162" t="str">
        <f t="shared" si="37"/>
        <v/>
      </c>
      <c r="AZ162" s="123"/>
      <c r="BA162" s="123"/>
      <c r="BB162" s="123"/>
      <c r="BC162" s="3103"/>
      <c r="BD162" s="123"/>
      <c r="BE162" s="3104"/>
      <c r="BF162" s="3105"/>
      <c r="BG162" s="3112"/>
      <c r="BH162" s="3106"/>
      <c r="BI162" s="3107"/>
      <c r="BJ162" s="3108"/>
      <c r="BK162" s="3109"/>
      <c r="BL162" s="3110"/>
    </row>
    <row r="163" spans="1:64" ht="47.4" thickBot="1">
      <c r="A163" s="2924"/>
      <c r="B163" s="2595" t="s">
        <v>145</v>
      </c>
      <c r="C163" s="2149" t="s">
        <v>146</v>
      </c>
      <c r="D163" s="2595" t="s">
        <v>9249</v>
      </c>
      <c r="E163" s="3062">
        <v>1.6</v>
      </c>
      <c r="F163" s="2595" t="s">
        <v>27</v>
      </c>
      <c r="G163" s="2595"/>
      <c r="H163" s="1831" t="s">
        <v>9010</v>
      </c>
      <c r="I163" s="1839" t="s">
        <v>9011</v>
      </c>
      <c r="J163" s="1831" t="str">
        <f t="shared" si="49"/>
        <v>7-DaHall 1-PDU-01-30-13</v>
      </c>
      <c r="K163" s="1839" t="str">
        <f t="shared" si="50"/>
        <v>7-DaHall 1-PDU-02-30-13</v>
      </c>
      <c r="L163" s="1833">
        <v>220</v>
      </c>
      <c r="M163" s="1834">
        <v>30</v>
      </c>
      <c r="N163" s="703" t="s">
        <v>8749</v>
      </c>
      <c r="O163" s="1835">
        <v>13</v>
      </c>
      <c r="P163" s="1840">
        <v>220</v>
      </c>
      <c r="Q163" s="1841">
        <v>30</v>
      </c>
      <c r="R163" s="687" t="s">
        <v>8750</v>
      </c>
      <c r="S163" s="1842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949" t="s">
        <v>108</v>
      </c>
      <c r="AC163" s="2950" t="s">
        <v>109</v>
      </c>
      <c r="AD163" s="2949" t="s">
        <v>110</v>
      </c>
      <c r="AE163" s="2950" t="s">
        <v>111</v>
      </c>
      <c r="AF163" s="2949" t="s">
        <v>31</v>
      </c>
      <c r="AG163" s="2950" t="s">
        <v>36</v>
      </c>
      <c r="AH163" s="681">
        <f>SUM('7층_부하량(월간_AVG)'!D69:F69)</f>
        <v>6.6154733629984976</v>
      </c>
      <c r="AI163" s="682">
        <f>SUM('7층_부하량(월간_AVG)'!D37:F37)</f>
        <v>5.2359115275273327</v>
      </c>
      <c r="AJ163" s="1301">
        <f t="shared" si="48"/>
        <v>11.85138489052583</v>
      </c>
      <c r="AK163" s="2913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1042.3</v>
      </c>
      <c r="AL163" s="2914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813</v>
      </c>
      <c r="AM163" s="2921">
        <f t="shared" si="38"/>
        <v>1855.3</v>
      </c>
      <c r="AN163" s="2629" t="s">
        <v>121</v>
      </c>
      <c r="AO163" s="683" t="s">
        <v>149</v>
      </c>
      <c r="AQ163" s="2367">
        <f t="shared" si="39"/>
        <v>2.4936827956989247</v>
      </c>
      <c r="AR163" s="2367">
        <f t="shared" si="40"/>
        <v>-0.89368279569892461</v>
      </c>
      <c r="AS163" s="123" t="str">
        <f t="shared" si="51"/>
        <v>사용초과</v>
      </c>
      <c r="AT163" t="str">
        <f t="shared" si="36"/>
        <v>Sejong Telecom Inc.</v>
      </c>
      <c r="AU163" t="str">
        <f t="shared" si="37"/>
        <v>C401</v>
      </c>
      <c r="AZ163" s="123"/>
      <c r="BA163" s="123"/>
      <c r="BB163" s="123"/>
      <c r="BC163" s="3103"/>
      <c r="BD163" s="123"/>
      <c r="BE163" s="3104"/>
      <c r="BF163" s="3105"/>
      <c r="BG163" s="3112"/>
      <c r="BH163" s="3106"/>
      <c r="BI163" s="3107"/>
      <c r="BJ163" s="3108"/>
      <c r="BK163" s="3109"/>
      <c r="BL163" s="3110"/>
    </row>
    <row r="164" spans="1:64" ht="47.4" thickBot="1">
      <c r="A164" s="2924"/>
      <c r="B164" s="2595" t="s">
        <v>140</v>
      </c>
      <c r="C164" s="2149" t="s">
        <v>141</v>
      </c>
      <c r="D164" s="2595" t="s">
        <v>9249</v>
      </c>
      <c r="E164" s="3062">
        <v>1.6</v>
      </c>
      <c r="F164" s="2595" t="s">
        <v>27</v>
      </c>
      <c r="G164" s="2595"/>
      <c r="H164" s="1831" t="s">
        <v>9012</v>
      </c>
      <c r="I164" s="1839" t="s">
        <v>9013</v>
      </c>
      <c r="J164" s="1831" t="str">
        <f t="shared" si="49"/>
        <v>7-DaHall 1-PDU-01-30-11</v>
      </c>
      <c r="K164" s="1839" t="str">
        <f t="shared" si="50"/>
        <v>7-DaHall 1-PDU-02-30-11</v>
      </c>
      <c r="L164" s="1833">
        <v>220</v>
      </c>
      <c r="M164" s="1834">
        <v>30</v>
      </c>
      <c r="N164" s="703" t="s">
        <v>8749</v>
      </c>
      <c r="O164" s="1835">
        <v>11</v>
      </c>
      <c r="P164" s="1840">
        <v>220</v>
      </c>
      <c r="Q164" s="1841">
        <v>30</v>
      </c>
      <c r="R164" s="687" t="s">
        <v>8750</v>
      </c>
      <c r="S164" s="1842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949" t="s">
        <v>108</v>
      </c>
      <c r="AC164" s="2950" t="s">
        <v>109</v>
      </c>
      <c r="AD164" s="2949" t="s">
        <v>110</v>
      </c>
      <c r="AE164" s="2950" t="s">
        <v>111</v>
      </c>
      <c r="AF164" s="2949" t="s">
        <v>31</v>
      </c>
      <c r="AG164" s="2950" t="s">
        <v>36</v>
      </c>
      <c r="AH164" s="681">
        <f>SUM('7층_부하량(월간_AVG)'!D68:F68)</f>
        <v>6.8216466705460546</v>
      </c>
      <c r="AI164" s="682">
        <f>SUM('7층_부하량(월간_AVG)'!D36:F36)</f>
        <v>5.6836857671698908</v>
      </c>
      <c r="AJ164" s="1301">
        <f t="shared" si="48"/>
        <v>12.505332437715946</v>
      </c>
      <c r="AK164" s="2913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1003.9</v>
      </c>
      <c r="AL164" s="2914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807.7</v>
      </c>
      <c r="AM164" s="2921">
        <f t="shared" si="38"/>
        <v>1811.6</v>
      </c>
      <c r="AN164" s="2629" t="s">
        <v>121</v>
      </c>
      <c r="AO164" s="683" t="s">
        <v>144</v>
      </c>
      <c r="AQ164" s="2367">
        <f t="shared" si="39"/>
        <v>2.4349462365591394</v>
      </c>
      <c r="AR164" s="2367">
        <f t="shared" si="40"/>
        <v>-0.83494623655913935</v>
      </c>
      <c r="AS164" s="123" t="str">
        <f t="shared" si="51"/>
        <v>사용초과</v>
      </c>
      <c r="AT164" t="str">
        <f t="shared" si="36"/>
        <v>Sejong Telecom Inc.</v>
      </c>
      <c r="AU164" t="str">
        <f t="shared" si="37"/>
        <v>C402</v>
      </c>
      <c r="AZ164" s="123"/>
      <c r="BA164" s="123"/>
      <c r="BB164" s="123"/>
      <c r="BC164" s="3103"/>
      <c r="BD164" s="123"/>
      <c r="BE164" s="3104"/>
      <c r="BF164" s="3105"/>
      <c r="BG164" s="3112"/>
      <c r="BH164" s="3106"/>
      <c r="BI164" s="3107"/>
      <c r="BJ164" s="3108"/>
      <c r="BK164" s="3109"/>
      <c r="BL164" s="3110"/>
    </row>
    <row r="165" spans="1:64" ht="47.4" thickBot="1">
      <c r="A165" s="2924"/>
      <c r="B165" s="3217" t="s">
        <v>134</v>
      </c>
      <c r="C165" s="3276" t="s">
        <v>135</v>
      </c>
      <c r="D165" s="3217" t="s">
        <v>9249</v>
      </c>
      <c r="E165" s="3282">
        <v>1.6</v>
      </c>
      <c r="F165" s="2595" t="s">
        <v>27</v>
      </c>
      <c r="G165" s="2595"/>
      <c r="H165" s="1831" t="s">
        <v>9014</v>
      </c>
      <c r="I165" s="1839" t="s">
        <v>9015</v>
      </c>
      <c r="J165" s="1831" t="str">
        <f t="shared" si="49"/>
        <v>7-DaHall 1-PDU-01-30-17</v>
      </c>
      <c r="K165" s="1839" t="str">
        <f t="shared" si="50"/>
        <v>7-DaHall 1-PDU-02-30-17</v>
      </c>
      <c r="L165" s="1833">
        <v>220</v>
      </c>
      <c r="M165" s="1834">
        <v>30</v>
      </c>
      <c r="N165" s="703" t="s">
        <v>8749</v>
      </c>
      <c r="O165" s="1835">
        <v>17</v>
      </c>
      <c r="P165" s="1840">
        <v>220</v>
      </c>
      <c r="Q165" s="1841">
        <v>30</v>
      </c>
      <c r="R165" s="687" t="s">
        <v>8750</v>
      </c>
      <c r="S165" s="1842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949" t="s">
        <v>108</v>
      </c>
      <c r="AC165" s="2950" t="s">
        <v>109</v>
      </c>
      <c r="AD165" s="2949" t="s">
        <v>110</v>
      </c>
      <c r="AE165" s="2950" t="s">
        <v>111</v>
      </c>
      <c r="AF165" s="2949" t="s">
        <v>31</v>
      </c>
      <c r="AG165" s="2950" t="s">
        <v>36</v>
      </c>
      <c r="AH165" s="681">
        <f>SUM('7층_부하량(월간_AVG)'!D71:F71)</f>
        <v>2.9124464214114925</v>
      </c>
      <c r="AI165" s="682">
        <f>SUM('7층_부하량(월간_AVG)'!D39:F39)</f>
        <v>3.3701472780608719</v>
      </c>
      <c r="AJ165" s="3278">
        <f>AH165+AI165+AH166+AI166</f>
        <v>13.379923270045818</v>
      </c>
      <c r="AK165" s="2913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443.6</v>
      </c>
      <c r="AL165" s="2914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551.6</v>
      </c>
      <c r="AM165" s="2921">
        <f t="shared" si="38"/>
        <v>995.2</v>
      </c>
      <c r="AN165" s="2940" t="s">
        <v>121</v>
      </c>
      <c r="AO165" s="2631"/>
      <c r="AQ165" s="2367">
        <f t="shared" si="39"/>
        <v>1.3376344086021505</v>
      </c>
      <c r="AR165" s="2367">
        <f t="shared" si="40"/>
        <v>0.26236559139784954</v>
      </c>
      <c r="AS165" s="123" t="str">
        <f t="shared" si="51"/>
        <v>적정함</v>
      </c>
      <c r="AT165" t="str">
        <f t="shared" si="36"/>
        <v/>
      </c>
      <c r="AU165" t="str">
        <f t="shared" si="37"/>
        <v/>
      </c>
      <c r="AZ165" s="123"/>
      <c r="BA165" s="123"/>
      <c r="BB165" s="123"/>
      <c r="BC165" s="3103"/>
      <c r="BD165" s="123"/>
      <c r="BE165" s="3104"/>
      <c r="BF165" s="3105"/>
      <c r="BG165" s="3112"/>
      <c r="BH165" s="3106"/>
      <c r="BI165" s="3107"/>
      <c r="BJ165" s="3108"/>
      <c r="BK165" s="3109"/>
      <c r="BL165" s="3110"/>
    </row>
    <row r="166" spans="1:64" ht="47.4" thickBot="1">
      <c r="A166" s="2924"/>
      <c r="B166" s="3218"/>
      <c r="C166" s="3277"/>
      <c r="D166" s="3218"/>
      <c r="E166" s="3282"/>
      <c r="F166" s="2595" t="s">
        <v>27</v>
      </c>
      <c r="G166" s="2595"/>
      <c r="H166" s="1831" t="s">
        <v>9016</v>
      </c>
      <c r="I166" s="1839" t="s">
        <v>9017</v>
      </c>
      <c r="J166" s="1831" t="str">
        <f t="shared" si="49"/>
        <v>7-DaHall 1-PDU-01-30-27</v>
      </c>
      <c r="K166" s="1839" t="str">
        <f t="shared" si="50"/>
        <v>7-DaHall 1-PDU-02-30-27</v>
      </c>
      <c r="L166" s="1833">
        <v>220</v>
      </c>
      <c r="M166" s="1834">
        <v>30</v>
      </c>
      <c r="N166" s="703" t="s">
        <v>8749</v>
      </c>
      <c r="O166" s="1835">
        <v>27</v>
      </c>
      <c r="P166" s="1840">
        <v>220</v>
      </c>
      <c r="Q166" s="1841">
        <v>30</v>
      </c>
      <c r="R166" s="687" t="s">
        <v>8750</v>
      </c>
      <c r="S166" s="1842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949" t="s">
        <v>108</v>
      </c>
      <c r="AC166" s="2950" t="s">
        <v>109</v>
      </c>
      <c r="AD166" s="2949" t="s">
        <v>110</v>
      </c>
      <c r="AE166" s="2950" t="s">
        <v>111</v>
      </c>
      <c r="AF166" s="2949" t="s">
        <v>31</v>
      </c>
      <c r="AG166" s="2950" t="s">
        <v>36</v>
      </c>
      <c r="AH166" s="681">
        <f>SUM('7층_부하량(월간_AVG)'!D76:F76)</f>
        <v>3.2907864645213585</v>
      </c>
      <c r="AI166" s="682">
        <f>SUM('7층_부하량(월간_AVG)'!D44:F44)</f>
        <v>3.8065431060520942</v>
      </c>
      <c r="AJ166" s="3279"/>
      <c r="AK166" s="2913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535.20000000000005</v>
      </c>
      <c r="AL166" s="2914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602.6</v>
      </c>
      <c r="AM166" s="2921">
        <f t="shared" si="38"/>
        <v>1137.8000000000002</v>
      </c>
      <c r="AN166" s="2939"/>
      <c r="AO166" s="2631"/>
      <c r="AQ166" s="2367">
        <f t="shared" si="39"/>
        <v>1.5293010752688174</v>
      </c>
      <c r="AR166" s="2367">
        <f t="shared" si="40"/>
        <v>-1.5293010752688174</v>
      </c>
      <c r="AS166" s="123" t="str">
        <f t="shared" si="51"/>
        <v>사용초과</v>
      </c>
      <c r="AT166">
        <f t="shared" si="36"/>
        <v>0</v>
      </c>
      <c r="AU166">
        <f t="shared" si="37"/>
        <v>0</v>
      </c>
      <c r="AZ166" s="123"/>
      <c r="BA166" s="123"/>
      <c r="BB166" s="123"/>
      <c r="BC166" s="3103"/>
      <c r="BD166" s="123"/>
      <c r="BE166" s="3104"/>
      <c r="BF166" s="3105"/>
      <c r="BG166" s="3112"/>
      <c r="BH166" s="3106"/>
      <c r="BI166" s="3107"/>
      <c r="BJ166" s="3108"/>
      <c r="BK166" s="3109"/>
      <c r="BL166" s="3110"/>
    </row>
    <row r="167" spans="1:64" ht="47.4" thickBot="1">
      <c r="A167" s="2924"/>
      <c r="B167" s="2595" t="s">
        <v>130</v>
      </c>
      <c r="C167" s="2611" t="s">
        <v>131</v>
      </c>
      <c r="D167" s="2600" t="s">
        <v>9249</v>
      </c>
      <c r="E167" s="3062">
        <v>1.6</v>
      </c>
      <c r="F167" s="2595" t="s">
        <v>27</v>
      </c>
      <c r="G167" s="2595"/>
      <c r="H167" s="1831" t="s">
        <v>9018</v>
      </c>
      <c r="I167" s="1839" t="s">
        <v>9019</v>
      </c>
      <c r="J167" s="1831" t="str">
        <f t="shared" si="49"/>
        <v>7-DaHall 1-PDU-01-30-19</v>
      </c>
      <c r="K167" s="1839" t="str">
        <f t="shared" si="50"/>
        <v>7-DaHall 1-PDU-02-30-19</v>
      </c>
      <c r="L167" s="1833">
        <v>220</v>
      </c>
      <c r="M167" s="1834">
        <v>30</v>
      </c>
      <c r="N167" s="703" t="s">
        <v>8749</v>
      </c>
      <c r="O167" s="1835">
        <v>19</v>
      </c>
      <c r="P167" s="1840">
        <v>220</v>
      </c>
      <c r="Q167" s="1841">
        <v>30</v>
      </c>
      <c r="R167" s="687" t="s">
        <v>8750</v>
      </c>
      <c r="S167" s="1842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949" t="s">
        <v>108</v>
      </c>
      <c r="AC167" s="2950" t="s">
        <v>109</v>
      </c>
      <c r="AD167" s="2949" t="s">
        <v>110</v>
      </c>
      <c r="AE167" s="2950" t="s">
        <v>111</v>
      </c>
      <c r="AF167" s="2949" t="s">
        <v>31</v>
      </c>
      <c r="AG167" s="2950" t="s">
        <v>36</v>
      </c>
      <c r="AH167" s="681">
        <f>SUM('7층_부하량(월간_AVG)'!D72:F72)</f>
        <v>3.9229666391435707</v>
      </c>
      <c r="AI167" s="682">
        <f>SUM('7층_부하량(월간_AVG)'!D40:F40)</f>
        <v>8.9022973311430516</v>
      </c>
      <c r="AJ167" s="1301">
        <f>AH167+AI167</f>
        <v>12.825263970286622</v>
      </c>
      <c r="AK167" s="2913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601.6</v>
      </c>
      <c r="AL167" s="2914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1369.7</v>
      </c>
      <c r="AM167" s="2921">
        <f t="shared" si="38"/>
        <v>1971.3000000000002</v>
      </c>
      <c r="AN167" s="2619" t="s">
        <v>121</v>
      </c>
      <c r="AO167" s="2631"/>
      <c r="AQ167" s="2367">
        <f t="shared" si="39"/>
        <v>2.6495967741935487</v>
      </c>
      <c r="AR167" s="2367">
        <f t="shared" si="40"/>
        <v>-1.0495967741935486</v>
      </c>
      <c r="AS167" s="123" t="str">
        <f t="shared" si="51"/>
        <v>사용초과</v>
      </c>
      <c r="AT167" t="str">
        <f t="shared" si="36"/>
        <v>Sejong Telecom Inc.</v>
      </c>
      <c r="AU167" t="str">
        <f t="shared" si="37"/>
        <v>C404</v>
      </c>
      <c r="AZ167" s="123"/>
      <c r="BA167" s="123"/>
      <c r="BB167" s="123"/>
      <c r="BC167" s="3103"/>
      <c r="BD167" s="123"/>
      <c r="BE167" s="3104"/>
      <c r="BF167" s="3105"/>
      <c r="BG167" s="3112"/>
      <c r="BH167" s="3106"/>
      <c r="BI167" s="3107"/>
      <c r="BJ167" s="3108"/>
      <c r="BK167" s="3109"/>
      <c r="BL167" s="3110"/>
    </row>
    <row r="168" spans="1:64" ht="47.4" thickBot="1">
      <c r="A168" s="2924"/>
      <c r="B168" s="2595" t="s">
        <v>126</v>
      </c>
      <c r="C168" s="2149" t="s">
        <v>127</v>
      </c>
      <c r="D168" s="2600" t="s">
        <v>9249</v>
      </c>
      <c r="E168" s="3062">
        <v>1.6</v>
      </c>
      <c r="F168" s="2595" t="s">
        <v>27</v>
      </c>
      <c r="G168" s="2595"/>
      <c r="H168" s="1831" t="s">
        <v>9020</v>
      </c>
      <c r="I168" s="1839" t="s">
        <v>9021</v>
      </c>
      <c r="J168" s="1831" t="str">
        <f t="shared" si="49"/>
        <v>7-DaHall 1-PDU-01-30-21</v>
      </c>
      <c r="K168" s="1839" t="str">
        <f t="shared" si="50"/>
        <v>7-DaHall 1-PDU-02-30-21</v>
      </c>
      <c r="L168" s="1833">
        <v>220</v>
      </c>
      <c r="M168" s="1834">
        <v>30</v>
      </c>
      <c r="N168" s="703" t="s">
        <v>8749</v>
      </c>
      <c r="O168" s="1835">
        <v>21</v>
      </c>
      <c r="P168" s="1840">
        <v>220</v>
      </c>
      <c r="Q168" s="1841">
        <v>30</v>
      </c>
      <c r="R168" s="687" t="s">
        <v>8750</v>
      </c>
      <c r="S168" s="1842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949" t="s">
        <v>108</v>
      </c>
      <c r="AC168" s="2950" t="s">
        <v>109</v>
      </c>
      <c r="AD168" s="2949" t="s">
        <v>110</v>
      </c>
      <c r="AE168" s="2950" t="s">
        <v>111</v>
      </c>
      <c r="AF168" s="2949" t="s">
        <v>31</v>
      </c>
      <c r="AG168" s="2950" t="s">
        <v>36</v>
      </c>
      <c r="AH168" s="681">
        <f>SUM('7층_부하량(월간_AVG)'!D73:F73)</f>
        <v>3.948377786713444</v>
      </c>
      <c r="AI168" s="682">
        <f>SUM('7층_부하량(월간_AVG)'!D41:F41)</f>
        <v>4.0772155493752953</v>
      </c>
      <c r="AJ168" s="1301">
        <f>AH168+AI168</f>
        <v>8.0255933360887397</v>
      </c>
      <c r="AK168" s="2913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606</v>
      </c>
      <c r="AL168" s="2914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630.70000000000005</v>
      </c>
      <c r="AM168" s="2921">
        <f t="shared" si="38"/>
        <v>1236.7</v>
      </c>
      <c r="AN168" s="2629" t="s">
        <v>121</v>
      </c>
      <c r="AO168" s="2631"/>
      <c r="AQ168" s="2367">
        <f t="shared" si="39"/>
        <v>1.662231182795699</v>
      </c>
      <c r="AR168" s="2367">
        <f t="shared" si="40"/>
        <v>-6.2231182795698947E-2</v>
      </c>
      <c r="AS168" s="123" t="str">
        <f t="shared" si="51"/>
        <v>사용초과</v>
      </c>
      <c r="AT168" t="str">
        <f t="shared" si="36"/>
        <v>Sejong Telecom Inc.</v>
      </c>
      <c r="AU168" t="str">
        <f t="shared" si="37"/>
        <v>C405</v>
      </c>
      <c r="AZ168" s="123"/>
      <c r="BA168" s="123"/>
      <c r="BB168" s="123"/>
      <c r="BC168" s="3103"/>
      <c r="BD168" s="123"/>
      <c r="BE168" s="3104"/>
      <c r="BF168" s="3105"/>
      <c r="BG168" s="3112"/>
      <c r="BH168" s="3106"/>
      <c r="BI168" s="3107"/>
      <c r="BJ168" s="3108"/>
      <c r="BK168" s="3109"/>
      <c r="BL168" s="3110"/>
    </row>
    <row r="169" spans="1:64" ht="47.4" thickBot="1">
      <c r="A169" s="2924"/>
      <c r="B169" s="2595" t="s">
        <v>122</v>
      </c>
      <c r="C169" s="2149" t="s">
        <v>123</v>
      </c>
      <c r="D169" s="2600" t="s">
        <v>9249</v>
      </c>
      <c r="E169" s="3062">
        <v>1.6</v>
      </c>
      <c r="F169" s="2595" t="s">
        <v>27</v>
      </c>
      <c r="G169" s="2595"/>
      <c r="H169" s="1831" t="s">
        <v>9022</v>
      </c>
      <c r="I169" s="1839" t="s">
        <v>9023</v>
      </c>
      <c r="J169" s="1831" t="str">
        <f t="shared" si="49"/>
        <v>7-DaHall 1-PDU-01-30-23</v>
      </c>
      <c r="K169" s="1839" t="str">
        <f t="shared" si="50"/>
        <v>7-DaHall 1-PDU-02-30-23</v>
      </c>
      <c r="L169" s="1833">
        <v>220</v>
      </c>
      <c r="M169" s="1834">
        <v>30</v>
      </c>
      <c r="N169" s="703" t="s">
        <v>8749</v>
      </c>
      <c r="O169" s="1835">
        <v>23</v>
      </c>
      <c r="P169" s="1840">
        <v>220</v>
      </c>
      <c r="Q169" s="1841">
        <v>30</v>
      </c>
      <c r="R169" s="687" t="s">
        <v>8750</v>
      </c>
      <c r="S169" s="1842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949" t="s">
        <v>108</v>
      </c>
      <c r="AC169" s="2950" t="s">
        <v>109</v>
      </c>
      <c r="AD169" s="2949" t="s">
        <v>110</v>
      </c>
      <c r="AE169" s="2950" t="s">
        <v>111</v>
      </c>
      <c r="AF169" s="2949" t="s">
        <v>31</v>
      </c>
      <c r="AG169" s="2950" t="s">
        <v>36</v>
      </c>
      <c r="AH169" s="681">
        <f>SUM('7층_부하량(월간_AVG)'!D74:F74)</f>
        <v>1.8260453557245937</v>
      </c>
      <c r="AI169" s="682">
        <f>SUM('7층_부하량(월간_AVG)'!D42:F42)</f>
        <v>2.6367674980235698</v>
      </c>
      <c r="AJ169" s="1301">
        <f t="shared" ref="AJ169" si="52">AH169+AI169</f>
        <v>4.4628128537481633</v>
      </c>
      <c r="AK169" s="2913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274.2</v>
      </c>
      <c r="AL169" s="2914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397.5</v>
      </c>
      <c r="AM169" s="2921">
        <f t="shared" si="38"/>
        <v>671.7</v>
      </c>
      <c r="AN169" s="2629" t="s">
        <v>121</v>
      </c>
      <c r="AO169" s="2631"/>
      <c r="AQ169" s="2367">
        <f t="shared" si="39"/>
        <v>0.9028225806451613</v>
      </c>
      <c r="AR169" s="2367">
        <f t="shared" si="40"/>
        <v>0.69717741935483879</v>
      </c>
      <c r="AS169" s="123" t="str">
        <f t="shared" si="51"/>
        <v>적정함</v>
      </c>
      <c r="AT169" t="str">
        <f t="shared" si="36"/>
        <v/>
      </c>
      <c r="AU169" t="str">
        <f t="shared" si="37"/>
        <v/>
      </c>
      <c r="AZ169" s="123"/>
      <c r="BA169" s="123"/>
      <c r="BB169" s="123"/>
      <c r="BC169" s="3103"/>
      <c r="BD169" s="123"/>
      <c r="BE169" s="3104"/>
      <c r="BF169" s="3105"/>
      <c r="BG169" s="3112"/>
      <c r="BH169" s="3106"/>
      <c r="BI169" s="3107"/>
      <c r="BJ169" s="3108"/>
      <c r="BK169" s="3109"/>
      <c r="BL169" s="3110"/>
    </row>
    <row r="170" spans="1:64" ht="27" customHeight="1" thickBot="1">
      <c r="A170" s="2924"/>
      <c r="B170" s="2595" t="s">
        <v>117</v>
      </c>
      <c r="C170" s="2149" t="s">
        <v>118</v>
      </c>
      <c r="D170" s="2600" t="s">
        <v>9249</v>
      </c>
      <c r="E170" s="3060">
        <v>1.6</v>
      </c>
      <c r="F170" s="2595" t="s">
        <v>27</v>
      </c>
      <c r="G170" s="2595"/>
      <c r="H170" s="1831" t="s">
        <v>9024</v>
      </c>
      <c r="I170" s="1839" t="s">
        <v>9025</v>
      </c>
      <c r="J170" s="1831" t="str">
        <f>"7-DaHall 1-"&amp;N170&amp;"-"&amp;M170&amp;"-"&amp;O170</f>
        <v>7-DaHall 1-PDU-01-30-25</v>
      </c>
      <c r="K170" s="1839" t="str">
        <f>"7-DaHall 1-"&amp;R170&amp;"-"&amp;Q170&amp;"-"&amp;S170</f>
        <v>7-DaHall 1-PDU-02-30-25</v>
      </c>
      <c r="L170" s="1833">
        <v>220</v>
      </c>
      <c r="M170" s="1834">
        <v>30</v>
      </c>
      <c r="N170" s="703" t="s">
        <v>8749</v>
      </c>
      <c r="O170" s="1835">
        <v>25</v>
      </c>
      <c r="P170" s="1840">
        <v>220</v>
      </c>
      <c r="Q170" s="1841">
        <v>30</v>
      </c>
      <c r="R170" s="687" t="s">
        <v>8750</v>
      </c>
      <c r="S170" s="1842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949" t="s">
        <v>108</v>
      </c>
      <c r="AC170" s="2950" t="s">
        <v>109</v>
      </c>
      <c r="AD170" s="2949" t="s">
        <v>110</v>
      </c>
      <c r="AE170" s="2950" t="s">
        <v>111</v>
      </c>
      <c r="AF170" s="2949" t="s">
        <v>31</v>
      </c>
      <c r="AG170" s="2950" t="s">
        <v>36</v>
      </c>
      <c r="AH170" s="681">
        <f>SUM('7층_부하량(월간_AVG)'!D75:F75)</f>
        <v>1.8648915152585053</v>
      </c>
      <c r="AI170" s="682">
        <f>SUM('7층_부하량(월간_AVG)'!D43:F43)</f>
        <v>2.1204284058600513</v>
      </c>
      <c r="AJ170" s="1301">
        <f>AH170+AI170</f>
        <v>3.9853199211185566</v>
      </c>
      <c r="AK170" s="2913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289.3</v>
      </c>
      <c r="AL170" s="2914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317</v>
      </c>
      <c r="AM170" s="2921">
        <f t="shared" si="38"/>
        <v>606.29999999999995</v>
      </c>
      <c r="AN170" s="2629" t="s">
        <v>121</v>
      </c>
      <c r="AO170" s="2631"/>
      <c r="AQ170" s="2367">
        <f t="shared" si="39"/>
        <v>0.81491935483870959</v>
      </c>
      <c r="AR170" s="2367">
        <f t="shared" si="40"/>
        <v>0.7850806451612905</v>
      </c>
      <c r="AS170" s="123" t="str">
        <f t="shared" si="51"/>
        <v>적정함</v>
      </c>
      <c r="AT170" t="str">
        <f t="shared" si="36"/>
        <v/>
      </c>
      <c r="AU170" t="str">
        <f t="shared" si="37"/>
        <v/>
      </c>
      <c r="AZ170" s="123"/>
      <c r="BA170" s="123"/>
      <c r="BB170" s="123"/>
      <c r="BC170" s="3103"/>
      <c r="BD170" s="123"/>
      <c r="BE170" s="3104"/>
      <c r="BF170" s="3105"/>
      <c r="BG170" s="3112"/>
      <c r="BH170" s="3106"/>
      <c r="BI170" s="3107"/>
      <c r="BJ170" s="3108"/>
      <c r="BK170" s="3109"/>
      <c r="BL170" s="3110"/>
    </row>
    <row r="171" spans="1:64" ht="27" customHeight="1" thickBot="1">
      <c r="A171" s="2924"/>
      <c r="B171" s="2595" t="s">
        <v>113</v>
      </c>
      <c r="C171" s="2149" t="s">
        <v>114</v>
      </c>
      <c r="D171" s="2595" t="s">
        <v>9249</v>
      </c>
      <c r="E171" s="3059">
        <v>1.6</v>
      </c>
      <c r="F171" s="2595" t="s">
        <v>27</v>
      </c>
      <c r="G171" s="2595"/>
      <c r="H171" s="1831" t="s">
        <v>9026</v>
      </c>
      <c r="I171" s="1832" t="s">
        <v>9027</v>
      </c>
      <c r="J171" s="1831" t="str">
        <f>"7-DaHall 1-"&amp;N171&amp;"-"&amp;M171&amp;"-"&amp;O171</f>
        <v>7-DaHall 1-PDU-01-30-32</v>
      </c>
      <c r="K171" s="1832" t="str">
        <f>"7-DaHall 1-"&amp;R171&amp;"-"&amp;Q171&amp;"-"&amp;S171</f>
        <v>7-DaHall 1-PDU-02-30-32</v>
      </c>
      <c r="L171" s="1833">
        <v>220</v>
      </c>
      <c r="M171" s="1834">
        <v>30</v>
      </c>
      <c r="N171" s="703" t="s">
        <v>8749</v>
      </c>
      <c r="O171" s="1835">
        <v>32</v>
      </c>
      <c r="P171" s="1836">
        <v>220</v>
      </c>
      <c r="Q171" s="1837">
        <v>30</v>
      </c>
      <c r="R171" s="1364" t="s">
        <v>8750</v>
      </c>
      <c r="S171" s="1838">
        <v>32</v>
      </c>
      <c r="T171" s="703" t="s">
        <v>106</v>
      </c>
      <c r="U171" s="1364" t="s">
        <v>107</v>
      </c>
      <c r="V171" s="733"/>
      <c r="W171" s="733"/>
      <c r="X171" s="733"/>
      <c r="Y171" s="733"/>
      <c r="Z171" s="733"/>
      <c r="AA171" s="733"/>
      <c r="AB171" s="2949" t="s">
        <v>108</v>
      </c>
      <c r="AC171" s="2950" t="s">
        <v>109</v>
      </c>
      <c r="AD171" s="2949" t="s">
        <v>110</v>
      </c>
      <c r="AE171" s="2950" t="s">
        <v>111</v>
      </c>
      <c r="AF171" s="2949" t="s">
        <v>31</v>
      </c>
      <c r="AG171" s="2950" t="s">
        <v>36</v>
      </c>
      <c r="AH171" s="681">
        <f>SUM('7층_부하량(월간_AVG)'!N78:P78)</f>
        <v>2.1103717380149996</v>
      </c>
      <c r="AI171" s="682">
        <f>SUM('7층_부하량(월간_AVG)'!N46:P46)</f>
        <v>1.9005430965946679</v>
      </c>
      <c r="AJ171" s="1301">
        <f t="shared" ref="AJ171" si="53">AH171+AI171</f>
        <v>4.0109148346096672</v>
      </c>
      <c r="AK171" s="2913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292.8</v>
      </c>
      <c r="AL171" s="2914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246.4</v>
      </c>
      <c r="AM171" s="2921">
        <f t="shared" si="38"/>
        <v>539.20000000000005</v>
      </c>
      <c r="AN171" s="2629" t="s">
        <v>115</v>
      </c>
      <c r="AO171" s="1365" t="s">
        <v>116</v>
      </c>
      <c r="AQ171" s="2367">
        <f t="shared" si="39"/>
        <v>0.72473118279569904</v>
      </c>
      <c r="AR171" s="2367">
        <f t="shared" si="40"/>
        <v>0.87526881720430105</v>
      </c>
      <c r="AS171" s="123" t="str">
        <f t="shared" si="51"/>
        <v>적정함</v>
      </c>
      <c r="AT171" t="str">
        <f t="shared" si="36"/>
        <v/>
      </c>
      <c r="AU171" t="str">
        <f t="shared" si="37"/>
        <v/>
      </c>
      <c r="AZ171" s="123"/>
      <c r="BA171" s="123"/>
      <c r="BB171" s="123"/>
      <c r="BC171" s="3103"/>
      <c r="BD171" s="123"/>
      <c r="BE171" s="3104"/>
      <c r="BF171" s="3105"/>
      <c r="BG171" s="3112"/>
      <c r="BH171" s="3106"/>
      <c r="BI171" s="3107"/>
      <c r="BJ171" s="3108"/>
      <c r="BK171" s="3109"/>
      <c r="BL171" s="3110"/>
    </row>
    <row r="172" spans="1:64" ht="47.4" thickBot="1">
      <c r="A172" s="2909" t="s">
        <v>103</v>
      </c>
      <c r="B172" s="2271" t="s">
        <v>104</v>
      </c>
      <c r="C172" s="2271" t="s">
        <v>105</v>
      </c>
      <c r="D172" s="672" t="s">
        <v>9249</v>
      </c>
      <c r="E172" s="3212">
        <v>2.2000000000000002</v>
      </c>
      <c r="F172" s="672" t="s">
        <v>27</v>
      </c>
      <c r="G172" s="672"/>
      <c r="H172" s="1831" t="s">
        <v>9028</v>
      </c>
      <c r="I172" s="1832" t="s">
        <v>9029</v>
      </c>
      <c r="J172" s="1831" t="str">
        <f>"7-DaHall 1-"&amp;N172&amp;"-"&amp;M172&amp;"-"&amp;O172</f>
        <v>7-DaHall 1-PDU-01-30-41</v>
      </c>
      <c r="K172" s="1832" t="str">
        <f>"7-DaHall 1-"&amp;R172&amp;"-"&amp;Q172&amp;"-"&amp;S172</f>
        <v>7-DaHall 1-PDU-02-30-41</v>
      </c>
      <c r="L172" s="1833">
        <v>220</v>
      </c>
      <c r="M172" s="1834">
        <v>30</v>
      </c>
      <c r="N172" s="703" t="s">
        <v>8749</v>
      </c>
      <c r="O172" s="1835">
        <v>41</v>
      </c>
      <c r="P172" s="1836">
        <v>220</v>
      </c>
      <c r="Q172" s="1837">
        <v>30</v>
      </c>
      <c r="R172" s="1364" t="s">
        <v>8750</v>
      </c>
      <c r="S172" s="1838">
        <v>41</v>
      </c>
      <c r="T172" s="703" t="s">
        <v>106</v>
      </c>
      <c r="U172" s="1364" t="s">
        <v>107</v>
      </c>
      <c r="V172" s="732"/>
      <c r="W172" s="732"/>
      <c r="X172" s="732"/>
      <c r="Y172" s="732"/>
      <c r="Z172" s="732"/>
      <c r="AA172" s="732"/>
      <c r="AB172" s="2949" t="s">
        <v>108</v>
      </c>
      <c r="AC172" s="2950" t="s">
        <v>109</v>
      </c>
      <c r="AD172" s="2949" t="s">
        <v>110</v>
      </c>
      <c r="AE172" s="2950" t="s">
        <v>111</v>
      </c>
      <c r="AF172" s="2949" t="s">
        <v>31</v>
      </c>
      <c r="AG172" s="2950" t="s">
        <v>36</v>
      </c>
      <c r="AH172" s="681">
        <f>SUM('7층_부하량(월간_AVG)'!D83:F83)</f>
        <v>1.0604050541930996</v>
      </c>
      <c r="AI172" s="682">
        <f>SUM('7층_부하량(월간_AVG)'!D51:F51)</f>
        <v>0</v>
      </c>
      <c r="AJ172" s="1301">
        <f>AH172+AI172</f>
        <v>1.0604050541930996</v>
      </c>
      <c r="AK172" s="2913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128.30000000000001</v>
      </c>
      <c r="AL172" s="2914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0</v>
      </c>
      <c r="AM172" s="2921">
        <f t="shared" si="38"/>
        <v>128.30000000000001</v>
      </c>
      <c r="AN172" s="882"/>
      <c r="AO172" s="2270" t="s">
        <v>112</v>
      </c>
      <c r="AQ172" s="2367">
        <f t="shared" si="39"/>
        <v>0.17244623655913979</v>
      </c>
      <c r="AR172" s="2367">
        <f t="shared" si="40"/>
        <v>2.0275537634408605</v>
      </c>
      <c r="AS172" s="123" t="str">
        <f t="shared" si="51"/>
        <v>적정함</v>
      </c>
      <c r="AT172" t="str">
        <f t="shared" si="36"/>
        <v/>
      </c>
      <c r="AU172" t="str">
        <f t="shared" si="37"/>
        <v/>
      </c>
      <c r="AZ172" s="123"/>
      <c r="BA172" s="123"/>
      <c r="BB172" s="123"/>
      <c r="BC172" s="3103"/>
      <c r="BD172" s="123"/>
      <c r="BE172" s="3104"/>
      <c r="BF172" s="3105"/>
      <c r="BG172" s="3112"/>
      <c r="BH172" s="3106"/>
      <c r="BI172" s="3107"/>
      <c r="BJ172" s="3108"/>
      <c r="BK172" s="3109"/>
      <c r="BL172" s="3110"/>
    </row>
    <row r="173" spans="1:64" ht="63" thickBot="1">
      <c r="A173" s="2951" t="s">
        <v>770</v>
      </c>
      <c r="B173" s="672" t="s">
        <v>771</v>
      </c>
      <c r="C173" s="1157" t="s">
        <v>772</v>
      </c>
      <c r="D173" s="672" t="s">
        <v>9252</v>
      </c>
      <c r="E173" s="3061">
        <v>1.1000000000000001</v>
      </c>
      <c r="F173" s="672" t="s">
        <v>773</v>
      </c>
      <c r="G173" s="672"/>
      <c r="H173" s="1935" t="s">
        <v>9030</v>
      </c>
      <c r="I173" s="1936" t="s">
        <v>9031</v>
      </c>
      <c r="J173" s="1935" t="str">
        <f t="shared" ref="J173:J177" si="54">"7-DaHall 1-"&amp;N173&amp;"-"&amp;M173&amp;"-"&amp;O173</f>
        <v>7-DaHall 1-RPP-01-20-19</v>
      </c>
      <c r="K173" s="1936" t="str">
        <f t="shared" ref="K173:K177" si="55">"7-DaHall 1-"&amp;R173&amp;"-"&amp;Q173&amp;"-"&amp;S173</f>
        <v>7-DaHall 1-RPP-02-30-10</v>
      </c>
      <c r="L173" s="1937">
        <v>220</v>
      </c>
      <c r="M173" s="1938">
        <v>20</v>
      </c>
      <c r="N173" s="1047" t="s">
        <v>8775</v>
      </c>
      <c r="O173" s="1939">
        <v>19</v>
      </c>
      <c r="P173" s="1940">
        <v>220</v>
      </c>
      <c r="Q173" s="1941">
        <v>30</v>
      </c>
      <c r="R173" s="704" t="s">
        <v>8776</v>
      </c>
      <c r="S173" s="1942">
        <v>10</v>
      </c>
      <c r="T173" s="894" t="s">
        <v>774</v>
      </c>
      <c r="U173" s="704" t="s">
        <v>775</v>
      </c>
      <c r="V173" s="889" t="s">
        <v>776</v>
      </c>
      <c r="W173" s="900" t="s">
        <v>777</v>
      </c>
      <c r="X173" s="889" t="s">
        <v>450</v>
      </c>
      <c r="Y173" s="900" t="s">
        <v>460</v>
      </c>
      <c r="Z173" s="889" t="s">
        <v>451</v>
      </c>
      <c r="AA173" s="900" t="s">
        <v>461</v>
      </c>
      <c r="AB173" s="889" t="s">
        <v>51</v>
      </c>
      <c r="AC173" s="900" t="s">
        <v>52</v>
      </c>
      <c r="AD173" s="889" t="s">
        <v>30</v>
      </c>
      <c r="AE173" s="900" t="s">
        <v>35</v>
      </c>
      <c r="AF173" s="2949" t="s">
        <v>31</v>
      </c>
      <c r="AG173" s="2950" t="s">
        <v>36</v>
      </c>
      <c r="AH173" s="680">
        <f>SUM('7층_부하량(월간_AVG)'!D15:F15)</f>
        <v>1.0041294787678525</v>
      </c>
      <c r="AI173" s="673">
        <f>SUM('7층_부하량(월간_AVG)'!N99:P99)</f>
        <v>0.67010830531657406</v>
      </c>
      <c r="AJ173" s="1302">
        <f t="shared" ref="AJ173:AJ175" si="56">AH173+AI173</f>
        <v>1.6742377840844265</v>
      </c>
      <c r="AK173" s="2913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3" s="2914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3" s="2921">
        <f t="shared" si="38"/>
        <v>188.2</v>
      </c>
      <c r="AN173" s="699" t="s">
        <v>778</v>
      </c>
      <c r="AO173" s="674"/>
      <c r="AQ173" s="2367">
        <f t="shared" si="39"/>
        <v>0.2529569892473118</v>
      </c>
      <c r="AR173" s="2367">
        <f t="shared" si="40"/>
        <v>0.84704301075268829</v>
      </c>
      <c r="AS173" s="123" t="str">
        <f t="shared" si="51"/>
        <v>적정함</v>
      </c>
      <c r="AT173" t="str">
        <f t="shared" si="36"/>
        <v/>
      </c>
      <c r="AU173" t="str">
        <f t="shared" si="37"/>
        <v/>
      </c>
      <c r="AZ173" s="123"/>
      <c r="BA173" s="123"/>
      <c r="BB173" s="123"/>
      <c r="BC173" s="3103"/>
      <c r="BD173" s="123"/>
      <c r="BE173" s="3104"/>
      <c r="BF173" s="3105"/>
      <c r="BG173" s="3112"/>
      <c r="BH173" s="3106"/>
      <c r="BI173" s="3107"/>
      <c r="BJ173" s="3108"/>
      <c r="BK173" s="3109"/>
      <c r="BL173" s="3110"/>
    </row>
    <row r="174" spans="1:64" ht="47.4" thickBot="1">
      <c r="A174" s="2952"/>
      <c r="B174" s="2595" t="s">
        <v>779</v>
      </c>
      <c r="C174" s="2595" t="s">
        <v>780</v>
      </c>
      <c r="D174" s="2595" t="s">
        <v>9253</v>
      </c>
      <c r="E174" s="3062">
        <v>4</v>
      </c>
      <c r="F174" s="2595" t="s">
        <v>27</v>
      </c>
      <c r="G174" s="2595"/>
      <c r="H174" s="1831" t="s">
        <v>9032</v>
      </c>
      <c r="I174" s="1839" t="s">
        <v>9033</v>
      </c>
      <c r="J174" s="1831" t="str">
        <f t="shared" si="54"/>
        <v>7-DaHall 1-PDU-01-30-44</v>
      </c>
      <c r="K174" s="1839" t="str">
        <f t="shared" si="55"/>
        <v>7-DaHall 1-PDU-02-30-44</v>
      </c>
      <c r="L174" s="1833">
        <v>220</v>
      </c>
      <c r="M174" s="1834">
        <v>30</v>
      </c>
      <c r="N174" s="703" t="s">
        <v>8749</v>
      </c>
      <c r="O174" s="1835">
        <v>44</v>
      </c>
      <c r="P174" s="1840">
        <v>220</v>
      </c>
      <c r="Q174" s="1841">
        <v>30</v>
      </c>
      <c r="R174" s="687" t="s">
        <v>8750</v>
      </c>
      <c r="S174" s="1842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52" t="s">
        <v>164</v>
      </c>
      <c r="AC174" s="904" t="s">
        <v>783</v>
      </c>
      <c r="AD174" s="2152" t="s">
        <v>110</v>
      </c>
      <c r="AE174" s="904" t="s">
        <v>111</v>
      </c>
      <c r="AF174" s="2949" t="s">
        <v>31</v>
      </c>
      <c r="AG174" s="2950" t="s">
        <v>36</v>
      </c>
      <c r="AH174" s="681">
        <f>SUM('7층_부하량(월간_AVG)'!N84:P84)</f>
        <v>6.6204197603684856</v>
      </c>
      <c r="AI174" s="676">
        <f>SUM('7층_부하량(월간_AVG)'!N52:P52)</f>
        <v>2.1364311722495182</v>
      </c>
      <c r="AJ174" s="2229">
        <f t="shared" si="56"/>
        <v>8.7568509326180042</v>
      </c>
      <c r="AK174" s="2913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1040.7</v>
      </c>
      <c r="AL174" s="2914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281.10000000000002</v>
      </c>
      <c r="AM174" s="2921">
        <f t="shared" si="38"/>
        <v>1321.8000000000002</v>
      </c>
      <c r="AN174" s="2625" t="s">
        <v>4352</v>
      </c>
      <c r="AO174" s="2631"/>
      <c r="AQ174" s="2367">
        <f t="shared" si="39"/>
        <v>1.7766129032258067</v>
      </c>
      <c r="AR174" s="2367">
        <f t="shared" si="40"/>
        <v>2.2233870967741933</v>
      </c>
      <c r="AS174" s="123" t="str">
        <f t="shared" si="51"/>
        <v>적정함</v>
      </c>
      <c r="AT174" t="str">
        <f t="shared" si="36"/>
        <v/>
      </c>
      <c r="AU174" t="str">
        <f t="shared" si="37"/>
        <v/>
      </c>
      <c r="AZ174" s="123"/>
      <c r="BA174" s="123"/>
      <c r="BB174" s="123"/>
      <c r="BC174" s="3103"/>
      <c r="BD174" s="123"/>
      <c r="BE174" s="3104"/>
      <c r="BF174" s="3105"/>
      <c r="BG174" s="3112"/>
      <c r="BH174" s="3106"/>
      <c r="BI174" s="3107"/>
      <c r="BJ174" s="3108"/>
      <c r="BK174" s="3109"/>
      <c r="BL174" s="3110"/>
    </row>
    <row r="175" spans="1:64" ht="47.4" thickBot="1">
      <c r="A175" s="2952"/>
      <c r="B175" s="2595" t="s">
        <v>784</v>
      </c>
      <c r="C175" s="2595" t="s">
        <v>785</v>
      </c>
      <c r="D175" s="2595" t="s">
        <v>9253</v>
      </c>
      <c r="E175" s="3062"/>
      <c r="F175" s="2595" t="s">
        <v>27</v>
      </c>
      <c r="G175" s="2595"/>
      <c r="H175" s="1831" t="s">
        <v>9034</v>
      </c>
      <c r="I175" s="1839" t="s">
        <v>9035</v>
      </c>
      <c r="J175" s="1831" t="str">
        <f t="shared" si="54"/>
        <v>7-DaHall 1-PDU-01-30-2</v>
      </c>
      <c r="K175" s="1839" t="str">
        <f t="shared" si="55"/>
        <v>7-DaHall 1-PDU-02-30-2</v>
      </c>
      <c r="L175" s="1833">
        <v>220</v>
      </c>
      <c r="M175" s="1834">
        <v>30</v>
      </c>
      <c r="N175" s="703" t="s">
        <v>8749</v>
      </c>
      <c r="O175" s="1835">
        <v>2</v>
      </c>
      <c r="P175" s="1840">
        <v>220</v>
      </c>
      <c r="Q175" s="1841">
        <v>30</v>
      </c>
      <c r="R175" s="687" t="s">
        <v>8750</v>
      </c>
      <c r="S175" s="1842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52" t="s">
        <v>164</v>
      </c>
      <c r="AC175" s="904" t="s">
        <v>783</v>
      </c>
      <c r="AD175" s="2152" t="s">
        <v>110</v>
      </c>
      <c r="AE175" s="904" t="s">
        <v>111</v>
      </c>
      <c r="AF175" s="2949" t="s">
        <v>31</v>
      </c>
      <c r="AG175" s="2950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301">
        <f t="shared" si="56"/>
        <v>0</v>
      </c>
      <c r="AK175" s="2913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0</v>
      </c>
      <c r="AL175" s="2914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0</v>
      </c>
      <c r="AM175" s="2921">
        <f t="shared" si="38"/>
        <v>0</v>
      </c>
      <c r="AN175" s="2625" t="s">
        <v>9307</v>
      </c>
      <c r="AO175" s="2631"/>
      <c r="AQ175" s="2367">
        <f t="shared" si="39"/>
        <v>0</v>
      </c>
      <c r="AR175" s="2367">
        <f t="shared" si="40"/>
        <v>0</v>
      </c>
      <c r="AS175" s="123" t="str">
        <f t="shared" si="51"/>
        <v>무부하 랙</v>
      </c>
      <c r="AT175" t="str">
        <f t="shared" si="36"/>
        <v/>
      </c>
      <c r="AU175" t="str">
        <f t="shared" si="37"/>
        <v/>
      </c>
      <c r="AZ175" s="123"/>
      <c r="BA175" s="123"/>
      <c r="BB175" s="123"/>
      <c r="BC175" s="3103"/>
      <c r="BD175" s="123"/>
      <c r="BE175" s="3104"/>
      <c r="BF175" s="3105"/>
      <c r="BG175" s="3112"/>
      <c r="BH175" s="3106"/>
      <c r="BI175" s="3107"/>
      <c r="BJ175" s="3108"/>
      <c r="BK175" s="3109"/>
      <c r="BL175" s="3110"/>
    </row>
    <row r="176" spans="1:64" ht="54.75" customHeight="1" thickBot="1">
      <c r="A176" s="2952"/>
      <c r="B176" s="3280" t="s">
        <v>789</v>
      </c>
      <c r="C176" s="3281" t="s">
        <v>790</v>
      </c>
      <c r="D176" s="3281" t="s">
        <v>791</v>
      </c>
      <c r="E176" s="2624"/>
      <c r="F176" s="954"/>
      <c r="G176" s="954" t="s">
        <v>27</v>
      </c>
      <c r="H176" s="1943" t="s">
        <v>9036</v>
      </c>
      <c r="I176" s="1944" t="s">
        <v>9037</v>
      </c>
      <c r="J176" s="1943" t="str">
        <f t="shared" si="54"/>
        <v>7-DaHall 1-A-1-35-50</v>
      </c>
      <c r="K176" s="1944" t="str">
        <f t="shared" si="55"/>
        <v>7-DaHall 1-B-1-50-47</v>
      </c>
      <c r="L176" s="1945">
        <v>48</v>
      </c>
      <c r="M176" s="1949">
        <v>35</v>
      </c>
      <c r="N176" s="916" t="s">
        <v>293</v>
      </c>
      <c r="O176" s="1946">
        <v>50</v>
      </c>
      <c r="P176" s="1947">
        <v>48</v>
      </c>
      <c r="Q176" s="1950">
        <v>50</v>
      </c>
      <c r="R176" s="917" t="s">
        <v>294</v>
      </c>
      <c r="S176" s="1948">
        <v>47</v>
      </c>
      <c r="T176" s="916" t="s">
        <v>792</v>
      </c>
      <c r="U176" s="917" t="s">
        <v>793</v>
      </c>
      <c r="V176" s="916" t="s">
        <v>297</v>
      </c>
      <c r="W176" s="917" t="s">
        <v>298</v>
      </c>
      <c r="X176" s="916" t="s">
        <v>435</v>
      </c>
      <c r="Y176" s="917" t="s">
        <v>436</v>
      </c>
      <c r="Z176" s="916" t="s">
        <v>49</v>
      </c>
      <c r="AA176" s="917" t="s">
        <v>50</v>
      </c>
      <c r="AB176" s="2626" t="s">
        <v>51</v>
      </c>
      <c r="AC176" s="2609" t="s">
        <v>52</v>
      </c>
      <c r="AD176" s="2626" t="s">
        <v>30</v>
      </c>
      <c r="AE176" s="2609" t="s">
        <v>35</v>
      </c>
      <c r="AF176" s="2949" t="s">
        <v>31</v>
      </c>
      <c r="AG176" s="2950" t="s">
        <v>36</v>
      </c>
      <c r="AH176" s="926"/>
      <c r="AI176" s="1175"/>
      <c r="AJ176" s="1318"/>
      <c r="AK176" s="2925"/>
      <c r="AL176" s="2926"/>
      <c r="AM176" s="2927">
        <f t="shared" si="38"/>
        <v>0</v>
      </c>
      <c r="AN176" s="2230"/>
      <c r="AO176" s="700" t="s">
        <v>794</v>
      </c>
      <c r="AQ176" s="2367">
        <f t="shared" si="39"/>
        <v>0</v>
      </c>
      <c r="AR176" s="2367">
        <f t="shared" si="40"/>
        <v>0</v>
      </c>
      <c r="AS176" s="123" t="str">
        <f t="shared" si="41"/>
        <v>미사용 랙</v>
      </c>
      <c r="AT176" t="str">
        <f t="shared" si="36"/>
        <v/>
      </c>
      <c r="AU176" t="str">
        <f t="shared" si="37"/>
        <v/>
      </c>
      <c r="AZ176" s="123"/>
      <c r="BA176" s="123"/>
      <c r="BB176" s="123"/>
      <c r="BC176" s="3103"/>
      <c r="BD176" s="123"/>
      <c r="BE176" s="3104"/>
      <c r="BF176" s="3105"/>
      <c r="BG176" s="3112"/>
      <c r="BH176" s="3106"/>
      <c r="BI176" s="3107"/>
      <c r="BJ176" s="3108"/>
      <c r="BK176" s="3109"/>
      <c r="BL176" s="3110"/>
    </row>
    <row r="177" spans="1:64" ht="46.8">
      <c r="A177" s="2952"/>
      <c r="B177" s="3280"/>
      <c r="C177" s="3281"/>
      <c r="D177" s="3281"/>
      <c r="E177" s="2624"/>
      <c r="F177" s="2595" t="s">
        <v>27</v>
      </c>
      <c r="G177" s="2595"/>
      <c r="H177" s="1831" t="s">
        <v>9038</v>
      </c>
      <c r="I177" s="1839" t="s">
        <v>9039</v>
      </c>
      <c r="J177" s="1831" t="str">
        <f t="shared" si="54"/>
        <v>7-DaHall 1-PDU-01-30-46</v>
      </c>
      <c r="K177" s="1839" t="str">
        <f t="shared" si="55"/>
        <v>7-DaHall 1-PDU-02-30-46</v>
      </c>
      <c r="L177" s="1833">
        <v>220</v>
      </c>
      <c r="M177" s="1834">
        <v>30</v>
      </c>
      <c r="N177" s="703" t="s">
        <v>8749</v>
      </c>
      <c r="O177" s="1835">
        <v>46</v>
      </c>
      <c r="P177" s="1840">
        <v>220</v>
      </c>
      <c r="Q177" s="1841">
        <v>30</v>
      </c>
      <c r="R177" s="687" t="s">
        <v>8750</v>
      </c>
      <c r="S177" s="1842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90" t="s">
        <v>164</v>
      </c>
      <c r="AC177" s="1159" t="s">
        <v>783</v>
      </c>
      <c r="AD177" s="2626" t="s">
        <v>110</v>
      </c>
      <c r="AE177" s="2609" t="s">
        <v>111</v>
      </c>
      <c r="AF177" s="2949" t="s">
        <v>31</v>
      </c>
      <c r="AG177" s="2950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301">
        <f t="shared" ref="AJ177" si="57">AH177+AI177</f>
        <v>0</v>
      </c>
      <c r="AK177" s="2913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0</v>
      </c>
      <c r="AL177" s="2914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0</v>
      </c>
      <c r="AM177" s="2927">
        <f t="shared" si="38"/>
        <v>0</v>
      </c>
      <c r="AN177" s="2625" t="s">
        <v>788</v>
      </c>
      <c r="AO177" s="700"/>
      <c r="AQ177" s="2367">
        <f t="shared" si="39"/>
        <v>0</v>
      </c>
      <c r="AR177" s="2367">
        <f t="shared" si="40"/>
        <v>0</v>
      </c>
      <c r="AS177" s="123" t="str">
        <f t="shared" ref="AS177:AS182" si="58">IF(SIGN(AR177)&gt;=0,IF(AM177=0,"무부하 랙","적정함"),"사용초과")</f>
        <v>무부하 랙</v>
      </c>
      <c r="AT177" t="str">
        <f t="shared" si="36"/>
        <v/>
      </c>
      <c r="AU177" t="str">
        <f t="shared" si="37"/>
        <v/>
      </c>
      <c r="AZ177" s="123"/>
      <c r="BA177" s="123"/>
      <c r="BB177" s="123"/>
      <c r="BC177" s="3103"/>
      <c r="BD177" s="123"/>
      <c r="BE177" s="3104"/>
      <c r="BF177" s="3105"/>
      <c r="BG177" s="3112"/>
      <c r="BH177" s="3106"/>
      <c r="BI177" s="3107"/>
      <c r="BJ177" s="3108"/>
      <c r="BK177" s="3109"/>
      <c r="BL177" s="3110"/>
    </row>
    <row r="178" spans="1:64" ht="40.5" customHeight="1">
      <c r="A178" s="2952"/>
      <c r="B178" s="2595" t="s">
        <v>797</v>
      </c>
      <c r="C178" s="2595" t="s">
        <v>798</v>
      </c>
      <c r="D178" s="2595"/>
      <c r="E178" s="2595"/>
      <c r="F178" s="2595" t="s">
        <v>27</v>
      </c>
      <c r="G178" s="2595"/>
      <c r="H178" s="1872" t="s">
        <v>9040</v>
      </c>
      <c r="I178" s="1870" t="s">
        <v>9041</v>
      </c>
      <c r="J178" s="1831" t="str">
        <f>"7-DaHall 1-"&amp;R178&amp;"-"&amp;Q178&amp;"-"&amp;S178</f>
        <v>7-DaHall 1-RPP-01-30-24</v>
      </c>
      <c r="K178" s="1839" t="str">
        <f>"7-DaHall 1-"&amp;N178&amp;"-"&amp;M178&amp;"-"&amp;O178</f>
        <v>7-DaHall 1-RPP-02-30-18</v>
      </c>
      <c r="L178" s="1873">
        <v>220</v>
      </c>
      <c r="M178" s="1841">
        <v>30</v>
      </c>
      <c r="N178" s="687" t="s">
        <v>8776</v>
      </c>
      <c r="O178" s="1842">
        <v>18</v>
      </c>
      <c r="P178" s="1871">
        <v>220</v>
      </c>
      <c r="Q178" s="1834">
        <v>30</v>
      </c>
      <c r="R178" s="703" t="s">
        <v>8775</v>
      </c>
      <c r="S178" s="1835">
        <v>24</v>
      </c>
      <c r="T178" s="687" t="s">
        <v>799</v>
      </c>
      <c r="U178" s="703" t="s">
        <v>800</v>
      </c>
      <c r="V178" s="2609" t="s">
        <v>801</v>
      </c>
      <c r="W178" s="2626" t="s">
        <v>802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924">
        <f>SUM('7층_부하량(월간_AVG)'!N17:P17)</f>
        <v>0</v>
      </c>
      <c r="AI178" s="902">
        <f>SUM('7층_부하량(월간_AVG)'!N103:P103)</f>
        <v>0</v>
      </c>
      <c r="AJ178" s="1301">
        <f>AI178+AH178</f>
        <v>0</v>
      </c>
      <c r="AK178" s="2913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0</v>
      </c>
      <c r="AL178" s="2914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0</v>
      </c>
      <c r="AM178" s="2921">
        <f t="shared" si="38"/>
        <v>0</v>
      </c>
      <c r="AN178" s="2625" t="s">
        <v>803</v>
      </c>
      <c r="AO178" s="2631"/>
      <c r="AQ178" s="2367">
        <f t="shared" si="39"/>
        <v>0</v>
      </c>
      <c r="AR178" s="2367">
        <f t="shared" si="40"/>
        <v>0</v>
      </c>
      <c r="AS178" s="123" t="str">
        <f t="shared" si="58"/>
        <v>무부하 랙</v>
      </c>
      <c r="AT178" t="str">
        <f t="shared" si="36"/>
        <v/>
      </c>
      <c r="AU178" t="str">
        <f t="shared" si="37"/>
        <v/>
      </c>
      <c r="AZ178" s="123"/>
      <c r="BA178" s="123"/>
      <c r="BB178" s="123"/>
      <c r="BC178" s="3103"/>
      <c r="BD178" s="123"/>
      <c r="BE178" s="3104"/>
      <c r="BF178" s="3105"/>
      <c r="BG178" s="3112"/>
      <c r="BH178" s="3106"/>
      <c r="BI178" s="3107"/>
      <c r="BJ178" s="3108"/>
      <c r="BK178" s="3109"/>
      <c r="BL178" s="3110"/>
    </row>
    <row r="179" spans="1:64" ht="62.4">
      <c r="A179" s="2952"/>
      <c r="B179" s="2595" t="s">
        <v>804</v>
      </c>
      <c r="C179" s="2595" t="s">
        <v>805</v>
      </c>
      <c r="D179" s="919"/>
      <c r="E179" s="919"/>
      <c r="F179" s="919" t="s">
        <v>27</v>
      </c>
      <c r="G179" s="919"/>
      <c r="H179" s="1951" t="s">
        <v>9042</v>
      </c>
      <c r="I179" s="1857" t="s">
        <v>9043</v>
      </c>
      <c r="J179" s="1845" t="str">
        <f>"7-DaHall 1-"&amp;R179&amp;"-"&amp;Q179&amp;"-"&amp;S179</f>
        <v>7-DaHall 1-RPP-01-20-33</v>
      </c>
      <c r="K179" s="1846" t="str">
        <f>"7-DaHall 1-"&amp;N179&amp;"-"&amp;M179&amp;"-"&amp;O179</f>
        <v>7-DaHall 1-RPP-02-20-29</v>
      </c>
      <c r="L179" s="1952">
        <v>220</v>
      </c>
      <c r="M179" s="1851">
        <v>20</v>
      </c>
      <c r="N179" s="953" t="s">
        <v>8776</v>
      </c>
      <c r="O179" s="1852">
        <v>29</v>
      </c>
      <c r="P179" s="1858">
        <v>220</v>
      </c>
      <c r="Q179" s="1848">
        <v>20</v>
      </c>
      <c r="R179" s="897" t="s">
        <v>8775</v>
      </c>
      <c r="S179" s="1849">
        <v>33</v>
      </c>
      <c r="T179" s="953" t="s">
        <v>806</v>
      </c>
      <c r="U179" s="897" t="s">
        <v>807</v>
      </c>
      <c r="V179" s="917" t="s">
        <v>808</v>
      </c>
      <c r="W179" s="916" t="s">
        <v>809</v>
      </c>
      <c r="X179" s="904" t="s">
        <v>460</v>
      </c>
      <c r="Y179" s="2152" t="s">
        <v>450</v>
      </c>
      <c r="Z179" s="904" t="s">
        <v>461</v>
      </c>
      <c r="AA179" s="2152" t="s">
        <v>451</v>
      </c>
      <c r="AB179" s="904" t="s">
        <v>462</v>
      </c>
      <c r="AC179" s="2152" t="s">
        <v>452</v>
      </c>
      <c r="AD179" s="904" t="s">
        <v>35</v>
      </c>
      <c r="AE179" s="2152" t="s">
        <v>30</v>
      </c>
      <c r="AF179" s="904" t="s">
        <v>36</v>
      </c>
      <c r="AG179" s="2152" t="s">
        <v>31</v>
      </c>
      <c r="AH179" s="1176">
        <f>SUM('7층_부하량(월간_AVG)'!D22:F22)</f>
        <v>0</v>
      </c>
      <c r="AI179" s="931">
        <f>SUM('7층_부하량(월간_AVG)'!D109:F109)</f>
        <v>0</v>
      </c>
      <c r="AJ179" s="1319">
        <f>AI179+AH179</f>
        <v>0</v>
      </c>
      <c r="AK179" s="2930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0</v>
      </c>
      <c r="AL179" s="2914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0</v>
      </c>
      <c r="AM179" s="2927">
        <f t="shared" si="38"/>
        <v>0</v>
      </c>
      <c r="AN179" s="2625" t="s">
        <v>810</v>
      </c>
      <c r="AO179" s="2631"/>
      <c r="AQ179" s="2367">
        <f t="shared" si="39"/>
        <v>0</v>
      </c>
      <c r="AR179" s="2367">
        <f t="shared" si="40"/>
        <v>0</v>
      </c>
      <c r="AS179" s="123" t="str">
        <f t="shared" si="58"/>
        <v>무부하 랙</v>
      </c>
      <c r="AT179" t="str">
        <f t="shared" si="36"/>
        <v/>
      </c>
      <c r="AU179" t="str">
        <f t="shared" si="37"/>
        <v/>
      </c>
      <c r="AZ179" s="123"/>
      <c r="BA179" s="123"/>
      <c r="BB179" s="123"/>
      <c r="BC179" s="3103"/>
      <c r="BD179" s="123"/>
      <c r="BE179" s="3104"/>
      <c r="BF179" s="3105"/>
      <c r="BG179" s="3112"/>
      <c r="BH179" s="3106"/>
      <c r="BI179" s="3107"/>
      <c r="BJ179" s="3108"/>
      <c r="BK179" s="3109"/>
      <c r="BL179" s="3110"/>
    </row>
    <row r="180" spans="1:64" ht="62.4">
      <c r="A180" s="2952"/>
      <c r="B180" s="2595" t="s">
        <v>811</v>
      </c>
      <c r="C180" s="2595" t="s">
        <v>812</v>
      </c>
      <c r="D180" s="919"/>
      <c r="E180" s="919"/>
      <c r="F180" s="919" t="s">
        <v>27</v>
      </c>
      <c r="G180" s="919"/>
      <c r="H180" s="1951" t="s">
        <v>9044</v>
      </c>
      <c r="I180" s="1857" t="s">
        <v>9045</v>
      </c>
      <c r="J180" s="1845" t="str">
        <f>"7-DaHall 1-"&amp;R180&amp;"-"&amp;Q180&amp;"-"&amp;S180</f>
        <v>7-DaHall 1-RPP-01-30-22</v>
      </c>
      <c r="K180" s="1846" t="str">
        <f>"7-DaHall 1-"&amp;N180&amp;"-"&amp;M180&amp;"-"&amp;O180</f>
        <v>7-DaHall 1-RPP-02-30-16</v>
      </c>
      <c r="L180" s="1952">
        <v>220</v>
      </c>
      <c r="M180" s="1851">
        <v>30</v>
      </c>
      <c r="N180" s="953" t="s">
        <v>8776</v>
      </c>
      <c r="O180" s="1852">
        <v>16</v>
      </c>
      <c r="P180" s="1858">
        <v>220</v>
      </c>
      <c r="Q180" s="1848">
        <v>30</v>
      </c>
      <c r="R180" s="897" t="s">
        <v>8775</v>
      </c>
      <c r="S180" s="1849">
        <v>22</v>
      </c>
      <c r="T180" s="953" t="s">
        <v>813</v>
      </c>
      <c r="U180" s="897" t="s">
        <v>814</v>
      </c>
      <c r="V180" s="917" t="s">
        <v>815</v>
      </c>
      <c r="W180" s="916" t="s">
        <v>816</v>
      </c>
      <c r="X180" s="904" t="s">
        <v>460</v>
      </c>
      <c r="Y180" s="2152" t="s">
        <v>450</v>
      </c>
      <c r="Z180" s="904" t="s">
        <v>461</v>
      </c>
      <c r="AA180" s="2152" t="s">
        <v>451</v>
      </c>
      <c r="AB180" s="904" t="s">
        <v>462</v>
      </c>
      <c r="AC180" s="2152" t="s">
        <v>452</v>
      </c>
      <c r="AD180" s="904" t="s">
        <v>35</v>
      </c>
      <c r="AE180" s="2152" t="s">
        <v>30</v>
      </c>
      <c r="AF180" s="904" t="s">
        <v>36</v>
      </c>
      <c r="AG180" s="2152" t="s">
        <v>31</v>
      </c>
      <c r="AH180" s="1176">
        <f>SUM('7층_부하량(월간_AVG)'!N16:P16)</f>
        <v>0</v>
      </c>
      <c r="AI180" s="931">
        <f>SUM('7층_부하량(월간_AVG)'!N102:P102)</f>
        <v>0</v>
      </c>
      <c r="AJ180" s="1319">
        <f>AI180+AH180</f>
        <v>0</v>
      </c>
      <c r="AK180" s="2930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0</v>
      </c>
      <c r="AL180" s="2914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0</v>
      </c>
      <c r="AM180" s="2927">
        <f t="shared" si="38"/>
        <v>0</v>
      </c>
      <c r="AN180" s="2625" t="s">
        <v>817</v>
      </c>
      <c r="AO180" s="2631"/>
      <c r="AQ180" s="2367">
        <f t="shared" si="39"/>
        <v>0</v>
      </c>
      <c r="AR180" s="2367">
        <f t="shared" si="40"/>
        <v>0</v>
      </c>
      <c r="AS180" s="123" t="str">
        <f t="shared" si="58"/>
        <v>무부하 랙</v>
      </c>
      <c r="AT180" t="str">
        <f t="shared" si="36"/>
        <v/>
      </c>
      <c r="AU180" t="str">
        <f t="shared" si="37"/>
        <v/>
      </c>
      <c r="AZ180" s="123"/>
      <c r="BA180" s="123"/>
      <c r="BB180" s="123"/>
      <c r="BC180" s="3103"/>
      <c r="BD180" s="123"/>
      <c r="BE180" s="3104"/>
      <c r="BF180" s="3105"/>
      <c r="BG180" s="3112"/>
      <c r="BH180" s="3106"/>
      <c r="BI180" s="3107"/>
      <c r="BJ180" s="3108"/>
      <c r="BK180" s="3109"/>
      <c r="BL180" s="3110"/>
    </row>
    <row r="181" spans="1:64" ht="40.5" customHeight="1">
      <c r="A181" s="2952"/>
      <c r="B181" s="3280" t="s">
        <v>818</v>
      </c>
      <c r="C181" s="3280" t="s">
        <v>819</v>
      </c>
      <c r="D181" s="3280"/>
      <c r="E181" s="2595"/>
      <c r="F181" s="2595" t="s">
        <v>27</v>
      </c>
      <c r="G181" s="2595"/>
      <c r="H181" s="1831" t="s">
        <v>9046</v>
      </c>
      <c r="I181" s="1839" t="s">
        <v>9047</v>
      </c>
      <c r="J181" s="1831" t="str">
        <f t="shared" ref="J181:J182" si="59">"7-DaHall 1-"&amp;N181&amp;"-"&amp;M181&amp;"-"&amp;O181</f>
        <v>7-DaHall 1-PDU-01-30-1</v>
      </c>
      <c r="K181" s="1839" t="str">
        <f t="shared" ref="K181:K182" si="60">"7-DaHall 1-"&amp;R181&amp;"-"&amp;Q181&amp;"-"&amp;S181</f>
        <v>7-DaHall 1-PDU-02-30-1</v>
      </c>
      <c r="L181" s="1833">
        <v>220</v>
      </c>
      <c r="M181" s="1834">
        <v>30</v>
      </c>
      <c r="N181" s="703" t="s">
        <v>8749</v>
      </c>
      <c r="O181" s="1835">
        <v>1</v>
      </c>
      <c r="P181" s="1840">
        <v>220</v>
      </c>
      <c r="Q181" s="1841">
        <v>30</v>
      </c>
      <c r="R181" s="687" t="s">
        <v>8750</v>
      </c>
      <c r="S181" s="1842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52" t="s">
        <v>164</v>
      </c>
      <c r="AC181" s="904" t="s">
        <v>165</v>
      </c>
      <c r="AD181" s="2152" t="s">
        <v>110</v>
      </c>
      <c r="AE181" s="904" t="s">
        <v>111</v>
      </c>
      <c r="AF181" s="2152" t="s">
        <v>31</v>
      </c>
      <c r="AG181" s="3301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301">
        <f>AH181+AI181</f>
        <v>0</v>
      </c>
      <c r="AK181" s="2913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0</v>
      </c>
      <c r="AL181" s="2914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0</v>
      </c>
      <c r="AM181" s="2921">
        <f t="shared" si="38"/>
        <v>0</v>
      </c>
      <c r="AN181" s="2230" t="s">
        <v>822</v>
      </c>
      <c r="AO181" s="2631"/>
      <c r="AQ181" s="2367">
        <f t="shared" si="39"/>
        <v>0</v>
      </c>
      <c r="AR181" s="2367">
        <f t="shared" si="40"/>
        <v>0</v>
      </c>
      <c r="AS181" s="123" t="str">
        <f t="shared" si="58"/>
        <v>무부하 랙</v>
      </c>
      <c r="AT181" t="str">
        <f t="shared" si="36"/>
        <v/>
      </c>
      <c r="AU181" t="str">
        <f t="shared" si="37"/>
        <v/>
      </c>
      <c r="AZ181" s="123"/>
      <c r="BA181" s="123"/>
      <c r="BB181" s="123"/>
      <c r="BC181" s="3103"/>
      <c r="BD181" s="123"/>
      <c r="BE181" s="3104"/>
      <c r="BF181" s="3105"/>
      <c r="BG181" s="3112"/>
      <c r="BH181" s="3106"/>
      <c r="BI181" s="3107"/>
      <c r="BJ181" s="3108"/>
      <c r="BK181" s="3109"/>
      <c r="BL181" s="3110"/>
    </row>
    <row r="182" spans="1:64" ht="46.8">
      <c r="A182" s="2952"/>
      <c r="B182" s="3280"/>
      <c r="C182" s="3280"/>
      <c r="D182" s="3280"/>
      <c r="E182" s="2595"/>
      <c r="F182" s="2597" t="s">
        <v>27</v>
      </c>
      <c r="G182" s="2597"/>
      <c r="H182" s="1831" t="s">
        <v>9048</v>
      </c>
      <c r="I182" s="1839" t="s">
        <v>9049</v>
      </c>
      <c r="J182" s="1831" t="str">
        <f t="shared" si="59"/>
        <v>7-DaHall 1-PDU-01-30-12</v>
      </c>
      <c r="K182" s="1839" t="str">
        <f t="shared" si="60"/>
        <v>7-DaHall 1-PDU-02-30-12</v>
      </c>
      <c r="L182" s="1833">
        <v>220</v>
      </c>
      <c r="M182" s="1834">
        <v>30</v>
      </c>
      <c r="N182" s="703" t="s">
        <v>8749</v>
      </c>
      <c r="O182" s="1835">
        <v>12</v>
      </c>
      <c r="P182" s="1840">
        <v>220</v>
      </c>
      <c r="Q182" s="1841">
        <v>30</v>
      </c>
      <c r="R182" s="687" t="s">
        <v>8750</v>
      </c>
      <c r="S182" s="1842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52" t="s">
        <v>164</v>
      </c>
      <c r="AC182" s="904" t="s">
        <v>165</v>
      </c>
      <c r="AD182" s="2152" t="s">
        <v>110</v>
      </c>
      <c r="AE182" s="904" t="s">
        <v>111</v>
      </c>
      <c r="AF182" s="2152" t="s">
        <v>31</v>
      </c>
      <c r="AG182" s="3302"/>
      <c r="AH182" s="681">
        <f>SUM('7층_부하량(월간_AVG)'!N68:P68)</f>
        <v>0</v>
      </c>
      <c r="AI182" s="676">
        <f>SUM('7층_부하량(월간_AVG)'!N36:P36)</f>
        <v>0</v>
      </c>
      <c r="AJ182" s="1301">
        <f>AH182+AI182</f>
        <v>0</v>
      </c>
      <c r="AK182" s="2913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0</v>
      </c>
      <c r="AL182" s="2914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0</v>
      </c>
      <c r="AM182" s="2921">
        <f t="shared" si="38"/>
        <v>0</v>
      </c>
      <c r="AN182" s="2230"/>
      <c r="AO182" s="2631"/>
      <c r="AQ182" s="2367">
        <f t="shared" si="39"/>
        <v>0</v>
      </c>
      <c r="AR182" s="2367">
        <f t="shared" si="40"/>
        <v>0</v>
      </c>
      <c r="AS182" s="123" t="str">
        <f t="shared" si="58"/>
        <v>무부하 랙</v>
      </c>
      <c r="AT182" t="str">
        <f t="shared" si="36"/>
        <v/>
      </c>
      <c r="AU182" t="str">
        <f t="shared" si="37"/>
        <v/>
      </c>
      <c r="AZ182" s="123"/>
      <c r="BA182" s="123"/>
      <c r="BB182" s="123"/>
      <c r="BC182" s="3103"/>
      <c r="BD182" s="123"/>
      <c r="BE182" s="3104"/>
      <c r="BF182" s="3105"/>
      <c r="BG182" s="3112"/>
      <c r="BH182" s="3106"/>
      <c r="BI182" s="3107"/>
      <c r="BJ182" s="3108"/>
      <c r="BK182" s="3109"/>
      <c r="BL182" s="3110"/>
    </row>
    <row r="183" spans="1:64" ht="40.5" customHeight="1">
      <c r="A183" s="2952"/>
      <c r="B183" s="2595" t="s">
        <v>825</v>
      </c>
      <c r="C183" s="2595" t="s">
        <v>826</v>
      </c>
      <c r="D183" s="919" t="s">
        <v>827</v>
      </c>
      <c r="E183" s="919"/>
      <c r="F183" s="919"/>
      <c r="G183" s="919"/>
      <c r="H183" s="1845"/>
      <c r="I183" s="1857"/>
      <c r="J183" s="1845"/>
      <c r="K183" s="1857"/>
      <c r="L183" s="1847"/>
      <c r="M183" s="1848"/>
      <c r="N183" s="897"/>
      <c r="O183" s="1849"/>
      <c r="P183" s="1858"/>
      <c r="Q183" s="1848"/>
      <c r="R183" s="897"/>
      <c r="S183" s="1849"/>
      <c r="T183" s="897"/>
      <c r="U183" s="897"/>
      <c r="V183" s="897"/>
      <c r="W183" s="897"/>
      <c r="X183" s="3303"/>
      <c r="Y183" s="897"/>
      <c r="Z183" s="3303"/>
      <c r="AA183" s="897"/>
      <c r="AB183" s="3303"/>
      <c r="AC183" s="897"/>
      <c r="AD183" s="3303"/>
      <c r="AE183" s="898"/>
      <c r="AF183" s="2945"/>
      <c r="AG183" s="897"/>
      <c r="AH183" s="926"/>
      <c r="AI183" s="923"/>
      <c r="AJ183" s="1319">
        <f>AH183+AI183</f>
        <v>0</v>
      </c>
      <c r="AK183" s="2925"/>
      <c r="AL183" s="2926"/>
      <c r="AM183" s="2927">
        <f t="shared" si="38"/>
        <v>0</v>
      </c>
      <c r="AN183" s="2625" t="s">
        <v>830</v>
      </c>
      <c r="AO183" s="2631"/>
      <c r="AQ183" s="2367">
        <f t="shared" si="39"/>
        <v>0</v>
      </c>
      <c r="AR183" s="2367">
        <f t="shared" si="40"/>
        <v>0</v>
      </c>
      <c r="AS183" s="123" t="str">
        <f t="shared" si="41"/>
        <v>미사용 랙</v>
      </c>
      <c r="AT183" t="str">
        <f t="shared" si="36"/>
        <v/>
      </c>
      <c r="AU183" t="str">
        <f t="shared" si="37"/>
        <v/>
      </c>
      <c r="AZ183" s="123"/>
      <c r="BA183" s="123"/>
      <c r="BB183" s="123"/>
      <c r="BC183" s="3103"/>
      <c r="BD183" s="123"/>
      <c r="BE183" s="3104"/>
      <c r="BF183" s="3105"/>
      <c r="BG183" s="3112"/>
      <c r="BH183" s="3106"/>
      <c r="BI183" s="3107"/>
      <c r="BJ183" s="3108"/>
      <c r="BK183" s="3109"/>
      <c r="BL183" s="3110"/>
    </row>
    <row r="184" spans="1:64" ht="13.5" customHeight="1">
      <c r="A184" s="2952"/>
      <c r="B184" s="2595"/>
      <c r="C184" s="2595"/>
      <c r="D184" s="919"/>
      <c r="E184" s="919"/>
      <c r="F184" s="919"/>
      <c r="G184" s="919"/>
      <c r="H184" s="1891"/>
      <c r="I184" s="1892"/>
      <c r="J184" s="1891"/>
      <c r="K184" s="1892"/>
      <c r="L184" s="1893"/>
      <c r="M184" s="1896"/>
      <c r="N184" s="912"/>
      <c r="O184" s="1894"/>
      <c r="P184" s="1895"/>
      <c r="Q184" s="1896"/>
      <c r="R184" s="912"/>
      <c r="S184" s="1894"/>
      <c r="T184" s="912"/>
      <c r="U184" s="912"/>
      <c r="V184" s="919"/>
      <c r="W184" s="919"/>
      <c r="X184" s="3304"/>
      <c r="Y184" s="919"/>
      <c r="Z184" s="3304"/>
      <c r="AA184" s="919"/>
      <c r="AB184" s="3304"/>
      <c r="AC184" s="1177"/>
      <c r="AD184" s="3304"/>
      <c r="AE184" s="1051"/>
      <c r="AF184" s="2945"/>
      <c r="AG184" s="1051" t="s">
        <v>36</v>
      </c>
      <c r="AH184" s="926"/>
      <c r="AI184" s="1175"/>
      <c r="AJ184" s="1319"/>
      <c r="AK184" s="2925"/>
      <c r="AL184" s="2926"/>
      <c r="AM184" s="2927">
        <f t="shared" si="38"/>
        <v>0</v>
      </c>
      <c r="AN184" s="2625"/>
      <c r="AO184" s="2631" t="s">
        <v>831</v>
      </c>
      <c r="AQ184" s="2367">
        <f t="shared" si="39"/>
        <v>0</v>
      </c>
      <c r="AR184" s="2367">
        <f t="shared" si="40"/>
        <v>0</v>
      </c>
      <c r="AS184" s="123" t="str">
        <f t="shared" si="41"/>
        <v>미사용 랙</v>
      </c>
      <c r="AT184" t="str">
        <f t="shared" si="36"/>
        <v/>
      </c>
      <c r="AU184" t="str">
        <f t="shared" si="37"/>
        <v/>
      </c>
      <c r="AZ184" s="123"/>
      <c r="BA184" s="123"/>
      <c r="BB184" s="123"/>
      <c r="BC184" s="3103"/>
      <c r="BD184" s="123"/>
      <c r="BE184" s="3104"/>
      <c r="BF184" s="3105"/>
      <c r="BG184" s="3112"/>
      <c r="BH184" s="3106"/>
      <c r="BI184" s="3107"/>
      <c r="BJ184" s="3108"/>
      <c r="BK184" s="3109"/>
      <c r="BL184" s="3110"/>
    </row>
    <row r="185" spans="1:64" ht="14.25" customHeight="1" thickBot="1">
      <c r="A185" s="2953"/>
      <c r="B185" s="2627" t="s">
        <v>832</v>
      </c>
      <c r="C185" s="2627" t="s">
        <v>833</v>
      </c>
      <c r="D185" s="918" t="s">
        <v>834</v>
      </c>
      <c r="E185" s="918"/>
      <c r="F185" s="918"/>
      <c r="G185" s="918"/>
      <c r="H185" s="1902"/>
      <c r="I185" s="1875"/>
      <c r="J185" s="1902"/>
      <c r="K185" s="1875"/>
      <c r="L185" s="1904"/>
      <c r="M185" s="1879"/>
      <c r="N185" s="905"/>
      <c r="O185" s="1880"/>
      <c r="P185" s="1878"/>
      <c r="Q185" s="1879"/>
      <c r="R185" s="905"/>
      <c r="S185" s="1880"/>
      <c r="T185" s="905"/>
      <c r="U185" s="905"/>
      <c r="V185" s="905"/>
      <c r="W185" s="905"/>
      <c r="X185" s="3305"/>
      <c r="Y185" s="905"/>
      <c r="Z185" s="3305"/>
      <c r="AA185" s="905"/>
      <c r="AB185" s="3305"/>
      <c r="AC185" s="905"/>
      <c r="AD185" s="3305"/>
      <c r="AE185" s="1069"/>
      <c r="AF185" s="2954"/>
      <c r="AG185" s="905"/>
      <c r="AH185" s="928"/>
      <c r="AI185" s="1070"/>
      <c r="AJ185" s="1320">
        <f>AH185+AI185</f>
        <v>0</v>
      </c>
      <c r="AK185" s="2925"/>
      <c r="AL185" s="2926"/>
      <c r="AM185" s="2927">
        <f t="shared" si="38"/>
        <v>0</v>
      </c>
      <c r="AN185" s="698" t="s">
        <v>837</v>
      </c>
      <c r="AO185" s="679"/>
      <c r="AQ185" s="2367">
        <f t="shared" si="39"/>
        <v>0</v>
      </c>
      <c r="AR185" s="2367">
        <f t="shared" si="40"/>
        <v>0</v>
      </c>
      <c r="AS185" s="123" t="str">
        <f t="shared" si="41"/>
        <v>미사용 랙</v>
      </c>
      <c r="AT185" t="str">
        <f t="shared" si="36"/>
        <v/>
      </c>
      <c r="AU185" t="str">
        <f t="shared" si="37"/>
        <v/>
      </c>
      <c r="AZ185" s="123"/>
      <c r="BA185" s="123"/>
      <c r="BB185" s="123"/>
      <c r="BC185" s="3103"/>
      <c r="BD185" s="123"/>
      <c r="BE185" s="3104"/>
      <c r="BF185" s="3105"/>
      <c r="BG185" s="3112"/>
      <c r="BH185" s="3106"/>
      <c r="BI185" s="3107"/>
      <c r="BJ185" s="3108"/>
      <c r="BK185" s="3109"/>
      <c r="BL185" s="3110"/>
    </row>
    <row r="186" spans="1:64" ht="13.5" customHeight="1">
      <c r="A186" s="2955" t="s">
        <v>838</v>
      </c>
      <c r="B186" s="2601" t="s">
        <v>839</v>
      </c>
      <c r="C186" s="1065"/>
      <c r="D186" s="1065"/>
      <c r="E186" s="1065"/>
      <c r="F186" s="1065"/>
      <c r="G186" s="1065"/>
      <c r="H186" s="1885"/>
      <c r="I186" s="1953"/>
      <c r="J186" s="1885"/>
      <c r="K186" s="1953"/>
      <c r="L186" s="1886"/>
      <c r="M186" s="1954"/>
      <c r="N186" s="957"/>
      <c r="O186" s="1887"/>
      <c r="P186" s="1955"/>
      <c r="Q186" s="1956"/>
      <c r="R186" s="1066"/>
      <c r="S186" s="1957"/>
      <c r="T186" s="957"/>
      <c r="U186" s="1066"/>
      <c r="V186" s="957"/>
      <c r="W186" s="1066"/>
      <c r="X186" s="957"/>
      <c r="Y186" s="1066"/>
      <c r="Z186" s="957"/>
      <c r="AA186" s="1066"/>
      <c r="AB186" s="957"/>
      <c r="AC186" s="1066"/>
      <c r="AD186" s="957"/>
      <c r="AE186" s="1066"/>
      <c r="AF186" s="957"/>
      <c r="AG186" s="1066"/>
      <c r="AH186" s="1078"/>
      <c r="AI186" s="1079"/>
      <c r="AJ186" s="1321"/>
      <c r="AK186" s="2925"/>
      <c r="AL186" s="2926"/>
      <c r="AM186" s="2927">
        <f t="shared" si="38"/>
        <v>0</v>
      </c>
      <c r="AN186" s="1060"/>
      <c r="AO186" s="2617"/>
      <c r="AQ186" s="2367">
        <f t="shared" si="39"/>
        <v>0</v>
      </c>
      <c r="AR186" s="2367">
        <f t="shared" si="40"/>
        <v>0</v>
      </c>
      <c r="AS186" s="123" t="str">
        <f t="shared" si="41"/>
        <v>미사용 랙</v>
      </c>
      <c r="AT186" t="str">
        <f t="shared" si="36"/>
        <v/>
      </c>
      <c r="AU186" t="str">
        <f t="shared" si="37"/>
        <v/>
      </c>
      <c r="AZ186" s="123"/>
      <c r="BA186" s="123"/>
      <c r="BB186" s="123"/>
      <c r="BC186" s="3103"/>
      <c r="BD186" s="123"/>
      <c r="BE186" s="3104"/>
      <c r="BF186" s="3105"/>
      <c r="BG186" s="3112"/>
      <c r="BH186" s="3106"/>
      <c r="BI186" s="3107"/>
      <c r="BJ186" s="3108"/>
      <c r="BK186" s="3109"/>
      <c r="BL186" s="3110"/>
    </row>
    <row r="187" spans="1:64" ht="62.4">
      <c r="A187" s="2955"/>
      <c r="B187" s="2595" t="s">
        <v>840</v>
      </c>
      <c r="C187" s="2595" t="s">
        <v>841</v>
      </c>
      <c r="D187" s="733"/>
      <c r="E187" s="733"/>
      <c r="F187" s="919" t="s">
        <v>27</v>
      </c>
      <c r="G187" s="919"/>
      <c r="H187" s="1845" t="s">
        <v>9050</v>
      </c>
      <c r="I187" s="1846" t="s">
        <v>9051</v>
      </c>
      <c r="J187" s="1845" t="str">
        <f t="shared" ref="J187" si="61">"7-DaHall 1-"&amp;N187&amp;"-"&amp;M187&amp;"-"&amp;O187</f>
        <v>7-DaHall 1-RPP-01-20-39</v>
      </c>
      <c r="K187" s="1846" t="str">
        <f t="shared" ref="K187:K193" si="62">"7-DaHall 1-"&amp;R187&amp;"-"&amp;Q187&amp;"-"&amp;S187</f>
        <v>7-DaHall 1-RPP-02-30-40</v>
      </c>
      <c r="L187" s="1847">
        <v>220</v>
      </c>
      <c r="M187" s="1848">
        <v>20</v>
      </c>
      <c r="N187" s="897" t="s">
        <v>8775</v>
      </c>
      <c r="O187" s="1849">
        <v>39</v>
      </c>
      <c r="P187" s="1850">
        <v>220</v>
      </c>
      <c r="Q187" s="1851">
        <v>30</v>
      </c>
      <c r="R187" s="953" t="s">
        <v>8776</v>
      </c>
      <c r="S187" s="1852">
        <v>40</v>
      </c>
      <c r="T187" s="897" t="s">
        <v>828</v>
      </c>
      <c r="U187" s="953" t="s">
        <v>842</v>
      </c>
      <c r="V187" s="897" t="s">
        <v>829</v>
      </c>
      <c r="W187" s="953" t="s">
        <v>843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56" t="s">
        <v>462</v>
      </c>
      <c r="AD187" s="916" t="s">
        <v>30</v>
      </c>
      <c r="AE187" s="2956" t="s">
        <v>35</v>
      </c>
      <c r="AF187" s="2957" t="s">
        <v>31</v>
      </c>
      <c r="AG187" s="904" t="s">
        <v>36</v>
      </c>
      <c r="AH187" s="926">
        <f>SUM('7층_부하량(월간_AVG)'!D25:F25)</f>
        <v>8.3034163288940371E-4</v>
      </c>
      <c r="AI187" s="1175">
        <f>SUM('7층_부하량(월간_AVG)'!N114:P114)</f>
        <v>0</v>
      </c>
      <c r="AJ187" s="1319">
        <f>AH187+AI187</f>
        <v>8.3034163288940371E-4</v>
      </c>
      <c r="AK187" s="2913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0</v>
      </c>
      <c r="AL187" s="2914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0</v>
      </c>
      <c r="AM187" s="2921">
        <f t="shared" si="38"/>
        <v>0</v>
      </c>
      <c r="AN187" s="2625" t="s">
        <v>844</v>
      </c>
      <c r="AO187" s="2631" t="s">
        <v>9052</v>
      </c>
      <c r="AQ187" s="2367">
        <f t="shared" si="39"/>
        <v>0</v>
      </c>
      <c r="AR187" s="2367">
        <f t="shared" si="40"/>
        <v>0</v>
      </c>
      <c r="AS187" s="123" t="str">
        <f>IF(SIGN(AR187)&gt;=0,IF(AM187=0,"무부하 랙","적정함"),"사용초과")</f>
        <v>무부하 랙</v>
      </c>
      <c r="AT187" t="str">
        <f t="shared" si="36"/>
        <v/>
      </c>
      <c r="AU187" t="str">
        <f t="shared" si="37"/>
        <v/>
      </c>
      <c r="AZ187" s="123"/>
      <c r="BA187" s="123"/>
      <c r="BB187" s="123"/>
      <c r="BC187" s="3103"/>
      <c r="BD187" s="123"/>
      <c r="BE187" s="3104"/>
      <c r="BF187" s="3105"/>
      <c r="BG187" s="3112"/>
      <c r="BH187" s="3106"/>
      <c r="BI187" s="3107"/>
      <c r="BJ187" s="3108"/>
      <c r="BK187" s="3109"/>
      <c r="BL187" s="3110"/>
    </row>
    <row r="188" spans="1:64" ht="54" customHeight="1">
      <c r="A188" s="2955"/>
      <c r="B188" s="3280" t="s">
        <v>845</v>
      </c>
      <c r="C188" s="3281" t="s">
        <v>846</v>
      </c>
      <c r="D188" s="3306"/>
      <c r="E188" s="733"/>
      <c r="F188" s="954"/>
      <c r="G188" s="954" t="s">
        <v>773</v>
      </c>
      <c r="H188" s="1943" t="s">
        <v>9053</v>
      </c>
      <c r="I188" s="1944" t="s">
        <v>9054</v>
      </c>
      <c r="J188" s="1943" t="str">
        <f>"7-DaHall 1-"&amp;N188&amp;"-"&amp;M188&amp;"-"&amp;O188</f>
        <v>7-DaHall 1-B-5-35-40</v>
      </c>
      <c r="K188" s="1944" t="str">
        <f t="shared" si="62"/>
        <v>7-DaHall 1-A-5-35-41</v>
      </c>
      <c r="L188" s="1945">
        <v>48</v>
      </c>
      <c r="M188" s="1949">
        <v>35</v>
      </c>
      <c r="N188" s="916" t="s">
        <v>847</v>
      </c>
      <c r="O188" s="1946">
        <v>40</v>
      </c>
      <c r="P188" s="1947">
        <v>48</v>
      </c>
      <c r="Q188" s="1950">
        <v>35</v>
      </c>
      <c r="R188" s="917" t="s">
        <v>848</v>
      </c>
      <c r="S188" s="1948">
        <v>41</v>
      </c>
      <c r="T188" s="916" t="s">
        <v>849</v>
      </c>
      <c r="U188" s="917" t="s">
        <v>850</v>
      </c>
      <c r="V188" s="916" t="s">
        <v>851</v>
      </c>
      <c r="W188" s="917" t="s">
        <v>852</v>
      </c>
      <c r="X188" s="916" t="s">
        <v>47</v>
      </c>
      <c r="Y188" s="917" t="s">
        <v>48</v>
      </c>
      <c r="Z188" s="916" t="s">
        <v>49</v>
      </c>
      <c r="AA188" s="917" t="s">
        <v>50</v>
      </c>
      <c r="AB188" s="916" t="s">
        <v>51</v>
      </c>
      <c r="AC188" s="2956" t="s">
        <v>462</v>
      </c>
      <c r="AD188" s="916" t="s">
        <v>30</v>
      </c>
      <c r="AE188" s="2956" t="s">
        <v>35</v>
      </c>
      <c r="AF188" s="2957" t="s">
        <v>31</v>
      </c>
      <c r="AG188" s="904" t="s">
        <v>36</v>
      </c>
      <c r="AH188" s="927"/>
      <c r="AI188" s="2958"/>
      <c r="AJ188" s="1318"/>
      <c r="AK188" s="2925"/>
      <c r="AL188" s="2926"/>
      <c r="AM188" s="2927">
        <f t="shared" si="38"/>
        <v>0</v>
      </c>
      <c r="AN188" s="2625" t="s">
        <v>844</v>
      </c>
      <c r="AO188" s="700" t="s">
        <v>853</v>
      </c>
      <c r="AQ188" s="2367">
        <f t="shared" si="39"/>
        <v>0</v>
      </c>
      <c r="AR188" s="2367">
        <f t="shared" si="40"/>
        <v>0</v>
      </c>
      <c r="AS188" s="123" t="str">
        <f t="shared" si="41"/>
        <v>미사용 랙</v>
      </c>
      <c r="AT188" t="str">
        <f t="shared" si="36"/>
        <v/>
      </c>
      <c r="AU188" t="str">
        <f t="shared" si="37"/>
        <v/>
      </c>
      <c r="AZ188" s="123"/>
      <c r="BA188" s="123"/>
      <c r="BB188" s="123"/>
      <c r="BC188" s="3103"/>
      <c r="BD188" s="123"/>
      <c r="BE188" s="3104"/>
      <c r="BF188" s="3105"/>
      <c r="BG188" s="3112"/>
      <c r="BH188" s="3106"/>
      <c r="BI188" s="3107"/>
      <c r="BJ188" s="3108"/>
      <c r="BK188" s="3109"/>
      <c r="BL188" s="3110"/>
    </row>
    <row r="189" spans="1:64" ht="63" thickBot="1">
      <c r="A189" s="2955"/>
      <c r="B189" s="3280"/>
      <c r="C189" s="3281"/>
      <c r="D189" s="3306"/>
      <c r="E189" s="733"/>
      <c r="F189" s="954" t="s">
        <v>27</v>
      </c>
      <c r="G189" s="954"/>
      <c r="H189" s="1845" t="s">
        <v>9055</v>
      </c>
      <c r="I189" s="1846" t="s">
        <v>9056</v>
      </c>
      <c r="J189" s="1845" t="str">
        <f t="shared" ref="J189" si="63">"7-DaHall 1-"&amp;N189&amp;"-"&amp;M189&amp;"-"&amp;O189</f>
        <v>7-DaHall 1-RPP-01-20-35</v>
      </c>
      <c r="K189" s="1846" t="str">
        <f t="shared" si="62"/>
        <v>7-DaHall 1-RPP-02-30-34</v>
      </c>
      <c r="L189" s="1904">
        <v>220</v>
      </c>
      <c r="M189" s="1879">
        <v>20</v>
      </c>
      <c r="N189" s="905" t="s">
        <v>8775</v>
      </c>
      <c r="O189" s="1880">
        <v>35</v>
      </c>
      <c r="P189" s="1850">
        <v>220</v>
      </c>
      <c r="Q189" s="1851">
        <v>30</v>
      </c>
      <c r="R189" s="953" t="s">
        <v>8776</v>
      </c>
      <c r="S189" s="1852">
        <v>34</v>
      </c>
      <c r="T189" s="905" t="s">
        <v>835</v>
      </c>
      <c r="U189" s="953" t="s">
        <v>854</v>
      </c>
      <c r="V189" s="905" t="s">
        <v>836</v>
      </c>
      <c r="W189" s="953" t="s">
        <v>855</v>
      </c>
      <c r="X189" s="897" t="s">
        <v>450</v>
      </c>
      <c r="Y189" s="917" t="s">
        <v>460</v>
      </c>
      <c r="Z189" s="897" t="s">
        <v>451</v>
      </c>
      <c r="AA189" s="917" t="s">
        <v>461</v>
      </c>
      <c r="AB189" s="916" t="s">
        <v>51</v>
      </c>
      <c r="AC189" s="2956" t="s">
        <v>462</v>
      </c>
      <c r="AD189" s="916" t="s">
        <v>30</v>
      </c>
      <c r="AE189" s="2956" t="s">
        <v>35</v>
      </c>
      <c r="AF189" s="2957" t="s">
        <v>31</v>
      </c>
      <c r="AG189" s="904" t="s">
        <v>36</v>
      </c>
      <c r="AH189" s="927">
        <f>[1]SJT설비_7층_IPD!I432</f>
        <v>0</v>
      </c>
      <c r="AI189" s="2958">
        <f>SUM('7층_부하량(월간_AVG)'!N111:P111)</f>
        <v>0</v>
      </c>
      <c r="AJ189" s="1319">
        <f>AH189+AI189</f>
        <v>0</v>
      </c>
      <c r="AK189" s="2930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0</v>
      </c>
      <c r="AL189" s="2914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0</v>
      </c>
      <c r="AM189" s="2927">
        <f t="shared" si="38"/>
        <v>0</v>
      </c>
      <c r="AN189" s="2230"/>
      <c r="AO189" s="2631" t="s">
        <v>9057</v>
      </c>
      <c r="AQ189" s="2367">
        <f t="shared" si="39"/>
        <v>0</v>
      </c>
      <c r="AR189" s="2367">
        <f t="shared" si="40"/>
        <v>0</v>
      </c>
      <c r="AS189" s="123" t="str">
        <f>IF(SIGN(AR189)&gt;=0,IF(AM189=0,"무부하 랙","적정함"),"사용초과")</f>
        <v>무부하 랙</v>
      </c>
      <c r="AT189" t="str">
        <f t="shared" si="36"/>
        <v/>
      </c>
      <c r="AU189" t="str">
        <f t="shared" si="37"/>
        <v/>
      </c>
      <c r="AZ189" s="123"/>
      <c r="BA189" s="123"/>
      <c r="BB189" s="123"/>
      <c r="BC189" s="3103"/>
      <c r="BD189" s="123"/>
      <c r="BE189" s="3104"/>
      <c r="BF189" s="3105"/>
      <c r="BG189" s="3112"/>
      <c r="BH189" s="3106"/>
      <c r="BI189" s="3107"/>
      <c r="BJ189" s="3108"/>
      <c r="BK189" s="3109"/>
      <c r="BL189" s="3110"/>
    </row>
    <row r="190" spans="1:64" ht="62.4">
      <c r="A190" s="2955"/>
      <c r="B190" s="2595" t="s">
        <v>856</v>
      </c>
      <c r="C190" s="1158" t="s">
        <v>857</v>
      </c>
      <c r="D190" s="2595" t="s">
        <v>9254</v>
      </c>
      <c r="E190" s="3062">
        <v>2.2000000000000002</v>
      </c>
      <c r="F190" s="954" t="s">
        <v>27</v>
      </c>
      <c r="G190" s="919"/>
      <c r="H190" s="1845" t="s">
        <v>9058</v>
      </c>
      <c r="I190" s="1846" t="s">
        <v>9059</v>
      </c>
      <c r="J190" s="1845" t="str">
        <f>"7-DaHall 1-"&amp;N190&amp;"-"&amp;M190&amp;"-"&amp;O190</f>
        <v>7-DaHall 1-RPP-01-30-18</v>
      </c>
      <c r="K190" s="1846" t="str">
        <f t="shared" si="62"/>
        <v>7-DaHall 1-PDU-02-30-29</v>
      </c>
      <c r="L190" s="1847">
        <v>220</v>
      </c>
      <c r="M190" s="1848">
        <v>30</v>
      </c>
      <c r="N190" s="897" t="s">
        <v>8775</v>
      </c>
      <c r="O190" s="1849">
        <v>18</v>
      </c>
      <c r="P190" s="1850">
        <v>220</v>
      </c>
      <c r="Q190" s="1851">
        <v>30</v>
      </c>
      <c r="R190" s="953" t="s">
        <v>8750</v>
      </c>
      <c r="S190" s="1852">
        <v>29</v>
      </c>
      <c r="T190" s="897" t="s">
        <v>858</v>
      </c>
      <c r="U190" s="953" t="s">
        <v>859</v>
      </c>
      <c r="V190" s="916" t="s">
        <v>860</v>
      </c>
      <c r="W190" s="897"/>
      <c r="X190" s="916" t="s">
        <v>450</v>
      </c>
      <c r="Y190" s="897"/>
      <c r="Z190" s="916" t="s">
        <v>451</v>
      </c>
      <c r="AA190" s="897"/>
      <c r="AB190" s="916" t="s">
        <v>452</v>
      </c>
      <c r="AC190" s="917" t="s">
        <v>165</v>
      </c>
      <c r="AD190" s="916" t="s">
        <v>30</v>
      </c>
      <c r="AE190" s="917" t="s">
        <v>289</v>
      </c>
      <c r="AF190" s="1178" t="s">
        <v>31</v>
      </c>
      <c r="AG190" s="904" t="s">
        <v>36</v>
      </c>
      <c r="AH190" s="926">
        <f>SUM('7층_부하량(월간_AVG)'!N14:P14)</f>
        <v>1.5609174086060287</v>
      </c>
      <c r="AI190" s="1175">
        <f>SUM('7층_부하량(월간_AVG)'!D45:F45)</f>
        <v>1.7912094336048019</v>
      </c>
      <c r="AJ190" s="1319">
        <f>AH190+AI190</f>
        <v>3.3521268422108306</v>
      </c>
      <c r="AK190" s="2930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212</v>
      </c>
      <c r="AL190" s="2914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0</v>
      </c>
      <c r="AM190" s="2927">
        <f t="shared" si="38"/>
        <v>212</v>
      </c>
      <c r="AN190" s="2625" t="s">
        <v>844</v>
      </c>
      <c r="AO190" s="2631"/>
      <c r="AQ190" s="2367">
        <f t="shared" si="39"/>
        <v>0.28494623655913981</v>
      </c>
      <c r="AR190" s="2367">
        <f t="shared" si="40"/>
        <v>1.9150537634408604</v>
      </c>
      <c r="AS190" s="123" t="str">
        <f>IF(SIGN(AR190)&gt;=0,IF(AM190=0,"무부하 랙","적정함"),"사용초과")</f>
        <v>적정함</v>
      </c>
      <c r="AT190" t="str">
        <f t="shared" si="36"/>
        <v/>
      </c>
      <c r="AU190" t="str">
        <f t="shared" si="37"/>
        <v/>
      </c>
      <c r="AZ190" s="123"/>
      <c r="BA190" s="123"/>
      <c r="BB190" s="123"/>
      <c r="BC190" s="3103"/>
      <c r="BD190" s="123"/>
      <c r="BE190" s="3104"/>
      <c r="BF190" s="3105"/>
      <c r="BG190" s="3112"/>
      <c r="BH190" s="3106"/>
      <c r="BI190" s="3107"/>
      <c r="BJ190" s="3108"/>
      <c r="BK190" s="3109"/>
      <c r="BL190" s="3110"/>
    </row>
    <row r="191" spans="1:64" ht="62.4">
      <c r="A191" s="2955"/>
      <c r="B191" s="2595" t="s">
        <v>861</v>
      </c>
      <c r="C191" s="1158" t="s">
        <v>862</v>
      </c>
      <c r="D191" s="2595" t="s">
        <v>9255</v>
      </c>
      <c r="E191" s="3062">
        <v>2.2000000000000002</v>
      </c>
      <c r="F191" s="2595" t="s">
        <v>27</v>
      </c>
      <c r="G191" s="2595"/>
      <c r="H191" s="1845"/>
      <c r="I191" s="1839" t="s">
        <v>9060</v>
      </c>
      <c r="J191" s="1845"/>
      <c r="K191" s="1839" t="str">
        <f t="shared" si="62"/>
        <v>7-DaHall 1-RPP-02-30-36</v>
      </c>
      <c r="L191" s="1847"/>
      <c r="M191" s="1848"/>
      <c r="N191" s="897"/>
      <c r="O191" s="1849"/>
      <c r="P191" s="1840">
        <v>220</v>
      </c>
      <c r="Q191" s="1841">
        <v>30</v>
      </c>
      <c r="R191" s="687" t="s">
        <v>8776</v>
      </c>
      <c r="S191" s="1842">
        <v>36</v>
      </c>
      <c r="T191" s="897"/>
      <c r="U191" s="687" t="s">
        <v>863</v>
      </c>
      <c r="V191" s="897"/>
      <c r="W191" s="2609" t="s">
        <v>864</v>
      </c>
      <c r="X191" s="897"/>
      <c r="Y191" s="2609" t="s">
        <v>460</v>
      </c>
      <c r="Z191" s="897"/>
      <c r="AA191" s="2609" t="s">
        <v>461</v>
      </c>
      <c r="AB191" s="897"/>
      <c r="AC191" s="2609" t="s">
        <v>462</v>
      </c>
      <c r="AD191" s="897"/>
      <c r="AE191" s="2609" t="s">
        <v>35</v>
      </c>
      <c r="AF191" s="897"/>
      <c r="AG191" s="904" t="s">
        <v>36</v>
      </c>
      <c r="AH191" s="926"/>
      <c r="AI191" s="676">
        <f>SUM('7층_부하량(월간_AVG)'!N112:P112)</f>
        <v>7.3423192313033478</v>
      </c>
      <c r="AJ191" s="1301">
        <f>AH191+AI191</f>
        <v>7.3423192313033478</v>
      </c>
      <c r="AK191" s="2913"/>
      <c r="AL191" s="2914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1097.0999999999999</v>
      </c>
      <c r="AM191" s="2921">
        <f t="shared" si="38"/>
        <v>1097.0999999999999</v>
      </c>
      <c r="AN191" s="2625" t="s">
        <v>865</v>
      </c>
      <c r="AO191" s="2631"/>
      <c r="AQ191" s="2367">
        <f t="shared" si="39"/>
        <v>1.4745967741935482</v>
      </c>
      <c r="AR191" s="2367">
        <f t="shared" si="40"/>
        <v>0.725403225806452</v>
      </c>
      <c r="AS191" s="123" t="str">
        <f>IF(SIGN(AR191)&gt;=0,IF(AM191=0,"무부하 랙","적정함"),"사용초과")</f>
        <v>적정함</v>
      </c>
      <c r="AT191" t="str">
        <f t="shared" si="36"/>
        <v/>
      </c>
      <c r="AU191" t="str">
        <f t="shared" si="37"/>
        <v/>
      </c>
      <c r="AZ191" s="123"/>
      <c r="BA191" s="123"/>
      <c r="BB191" s="123"/>
      <c r="BC191" s="3103"/>
      <c r="BD191" s="123"/>
      <c r="BE191" s="3104"/>
      <c r="BF191" s="3105"/>
      <c r="BG191" s="3112"/>
      <c r="BH191" s="3106"/>
      <c r="BI191" s="3107"/>
      <c r="BJ191" s="3108"/>
      <c r="BK191" s="3109"/>
      <c r="BL191" s="3110"/>
    </row>
    <row r="192" spans="1:64" ht="62.4">
      <c r="A192" s="2955"/>
      <c r="B192" s="2595" t="s">
        <v>866</v>
      </c>
      <c r="C192" s="1158" t="s">
        <v>867</v>
      </c>
      <c r="D192" s="2600" t="s">
        <v>9255</v>
      </c>
      <c r="E192" s="3062">
        <v>1.1000000000000001</v>
      </c>
      <c r="F192" s="2595" t="s">
        <v>27</v>
      </c>
      <c r="G192" s="2595"/>
      <c r="H192" s="1831" t="s">
        <v>9061</v>
      </c>
      <c r="I192" s="1870" t="s">
        <v>9062</v>
      </c>
      <c r="J192" s="1831" t="str">
        <f>"7-DaHall 1-"&amp;N192&amp;"-"&amp;M192&amp;"-"&amp;O192</f>
        <v>7-DaHall 1-PDU-01-30-3</v>
      </c>
      <c r="K192" s="1870" t="str">
        <f t="shared" si="62"/>
        <v>7-DaHall 1-RPP-01-30-16</v>
      </c>
      <c r="L192" s="1833">
        <v>220</v>
      </c>
      <c r="M192" s="1834">
        <v>30</v>
      </c>
      <c r="N192" s="703" t="s">
        <v>8749</v>
      </c>
      <c r="O192" s="1835">
        <v>3</v>
      </c>
      <c r="P192" s="1871">
        <v>220</v>
      </c>
      <c r="Q192" s="1834">
        <v>30</v>
      </c>
      <c r="R192" s="703" t="s">
        <v>8775</v>
      </c>
      <c r="S192" s="1835">
        <v>16</v>
      </c>
      <c r="T192" s="703" t="s">
        <v>868</v>
      </c>
      <c r="U192" s="703" t="s">
        <v>869</v>
      </c>
      <c r="V192" s="925"/>
      <c r="W192" s="2626" t="s">
        <v>870</v>
      </c>
      <c r="X192" s="925"/>
      <c r="Y192" s="2626" t="s">
        <v>450</v>
      </c>
      <c r="Z192" s="925"/>
      <c r="AA192" s="2626" t="s">
        <v>451</v>
      </c>
      <c r="AB192" s="2626" t="s">
        <v>164</v>
      </c>
      <c r="AC192" s="2626" t="s">
        <v>452</v>
      </c>
      <c r="AD192" s="2626" t="s">
        <v>110</v>
      </c>
      <c r="AE192" s="2626" t="s">
        <v>30</v>
      </c>
      <c r="AF192" s="3215" t="s">
        <v>31</v>
      </c>
      <c r="AG192" s="3216"/>
      <c r="AH192" s="681">
        <f>SUM('7층_부하량(월간_AVG)'!D64:F64)</f>
        <v>2.4882153531238091</v>
      </c>
      <c r="AI192" s="924">
        <f>SUM('7층_부하량(월간_AVG)'!N13:P13)</f>
        <v>2.6076670868290011</v>
      </c>
      <c r="AJ192" s="1301">
        <f t="shared" ref="AJ192:AJ193" si="64">AH192+AI192</f>
        <v>5.0958824399528098</v>
      </c>
      <c r="AK192" s="2913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347.6</v>
      </c>
      <c r="AL192" s="2914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2" s="2921">
        <f t="shared" si="38"/>
        <v>579.6</v>
      </c>
      <c r="AN192" s="2625" t="s">
        <v>865</v>
      </c>
      <c r="AO192" s="2631"/>
      <c r="AQ192" s="2367">
        <f t="shared" si="39"/>
        <v>0.77903225806451615</v>
      </c>
      <c r="AR192" s="2367">
        <f t="shared" si="40"/>
        <v>0.32096774193548394</v>
      </c>
      <c r="AS192" s="123" t="str">
        <f>IF(SIGN(AR192)&gt;=0,IF(AM192=0,"무부하 랙","적정함"),"사용초과")</f>
        <v>적정함</v>
      </c>
      <c r="AT192" t="str">
        <f t="shared" si="36"/>
        <v/>
      </c>
      <c r="AU192" t="str">
        <f t="shared" si="37"/>
        <v/>
      </c>
      <c r="AZ192" s="123"/>
      <c r="BA192" s="123"/>
      <c r="BB192" s="123"/>
      <c r="BC192" s="3103"/>
      <c r="BD192" s="123"/>
      <c r="BE192" s="3104"/>
      <c r="BF192" s="3105"/>
      <c r="BG192" s="3112"/>
      <c r="BH192" s="3106"/>
      <c r="BI192" s="3107"/>
      <c r="BJ192" s="3108"/>
      <c r="BK192" s="3109"/>
      <c r="BL192" s="3110"/>
    </row>
    <row r="193" spans="1:64" ht="62.4">
      <c r="A193" s="2955"/>
      <c r="B193" s="2595" t="s">
        <v>871</v>
      </c>
      <c r="C193" s="2595" t="s">
        <v>872</v>
      </c>
      <c r="D193" s="2595" t="s">
        <v>9256</v>
      </c>
      <c r="E193" s="3062">
        <v>2.2000000000000002</v>
      </c>
      <c r="F193" s="2595" t="s">
        <v>27</v>
      </c>
      <c r="G193" s="2595"/>
      <c r="H193" s="1831" t="s">
        <v>9063</v>
      </c>
      <c r="I193" s="1839" t="s">
        <v>9064</v>
      </c>
      <c r="J193" s="1831" t="str">
        <f>"7-DaHall 1-"&amp;N193&amp;"-"&amp;M193&amp;"-"&amp;O193</f>
        <v>7-DaHall 1-RPP-01-30-26</v>
      </c>
      <c r="K193" s="1839" t="str">
        <f t="shared" si="62"/>
        <v>7-DaHall 1-RPP-02-30-20</v>
      </c>
      <c r="L193" s="1833">
        <v>220</v>
      </c>
      <c r="M193" s="1834">
        <v>30</v>
      </c>
      <c r="N193" s="703" t="s">
        <v>8775</v>
      </c>
      <c r="O193" s="1835">
        <v>26</v>
      </c>
      <c r="P193" s="1840">
        <v>220</v>
      </c>
      <c r="Q193" s="1841">
        <v>30</v>
      </c>
      <c r="R193" s="687" t="s">
        <v>8776</v>
      </c>
      <c r="S193" s="1842">
        <v>20</v>
      </c>
      <c r="T193" s="703" t="s">
        <v>9065</v>
      </c>
      <c r="U193" s="687" t="s">
        <v>516</v>
      </c>
      <c r="V193" s="703" t="s">
        <v>877</v>
      </c>
      <c r="W193" s="2609" t="s">
        <v>876</v>
      </c>
      <c r="X193" s="2626" t="s">
        <v>450</v>
      </c>
      <c r="Y193" s="2609" t="s">
        <v>460</v>
      </c>
      <c r="Z193" s="2626" t="s">
        <v>451</v>
      </c>
      <c r="AA193" s="2609" t="s">
        <v>461</v>
      </c>
      <c r="AB193" s="2626" t="s">
        <v>452</v>
      </c>
      <c r="AC193" s="2609" t="s">
        <v>462</v>
      </c>
      <c r="AD193" s="2626" t="s">
        <v>30</v>
      </c>
      <c r="AE193" s="2609" t="s">
        <v>35</v>
      </c>
      <c r="AF193" s="2626" t="s">
        <v>878</v>
      </c>
      <c r="AG193" s="2609" t="s">
        <v>36</v>
      </c>
      <c r="AH193" s="681">
        <f>SUM('7층_부하량(월간_AVG)'!N18:P18)</f>
        <v>2.1089191100406066</v>
      </c>
      <c r="AI193" s="676">
        <f>SUM('7층_부하량(월간_AVG)'!N104:P104)</f>
        <v>1.8427444511385029</v>
      </c>
      <c r="AJ193" s="1301">
        <f t="shared" si="64"/>
        <v>3.9516635611791093</v>
      </c>
      <c r="AK193" s="2913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338.8</v>
      </c>
      <c r="AL193" s="2914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280.60000000000002</v>
      </c>
      <c r="AM193" s="2921">
        <f t="shared" si="38"/>
        <v>619.40000000000009</v>
      </c>
      <c r="AN193" s="2959" t="s">
        <v>9066</v>
      </c>
      <c r="AO193" s="688"/>
      <c r="AQ193" s="2367">
        <f t="shared" si="39"/>
        <v>0.83252688172043021</v>
      </c>
      <c r="AR193" s="2367">
        <f t="shared" si="40"/>
        <v>1.3674731182795701</v>
      </c>
      <c r="AS193" s="123" t="str">
        <f>IF(SIGN(AR193)&gt;=0,IF(AM193=0,"무부하 랙","적정함"),"사용초과")</f>
        <v>적정함</v>
      </c>
      <c r="AT193" t="str">
        <f t="shared" si="36"/>
        <v/>
      </c>
      <c r="AU193" t="str">
        <f t="shared" si="37"/>
        <v/>
      </c>
      <c r="AZ193" s="123"/>
      <c r="BA193" s="123"/>
      <c r="BB193" s="123"/>
      <c r="BC193" s="3103"/>
      <c r="BD193" s="123"/>
      <c r="BE193" s="3104"/>
      <c r="BF193" s="3105"/>
      <c r="BG193" s="3112"/>
      <c r="BH193" s="3106"/>
      <c r="BI193" s="3107"/>
      <c r="BJ193" s="3108"/>
      <c r="BK193" s="3109"/>
      <c r="BL193" s="3110"/>
    </row>
    <row r="194" spans="1:64" ht="13.5" customHeight="1">
      <c r="A194" s="2955"/>
      <c r="B194" s="919" t="s">
        <v>873</v>
      </c>
      <c r="C194" s="919" t="s">
        <v>874</v>
      </c>
      <c r="D194" s="733" t="s">
        <v>875</v>
      </c>
      <c r="E194" s="733"/>
      <c r="F194" s="919"/>
      <c r="G194" s="919"/>
      <c r="H194" s="1951"/>
      <c r="I194" s="1857"/>
      <c r="J194" s="1951"/>
      <c r="K194" s="1857"/>
      <c r="L194" s="1952"/>
      <c r="M194" s="1851"/>
      <c r="N194" s="953"/>
      <c r="O194" s="1852"/>
      <c r="P194" s="1858"/>
      <c r="Q194" s="1848"/>
      <c r="R194" s="897"/>
      <c r="S194" s="1849"/>
      <c r="T194" s="953"/>
      <c r="U194" s="897"/>
      <c r="V194" s="917"/>
      <c r="W194" s="897"/>
      <c r="X194" s="917"/>
      <c r="Y194" s="916"/>
      <c r="Z194" s="917"/>
      <c r="AA194" s="916"/>
      <c r="AB194" s="917"/>
      <c r="AC194" s="916"/>
      <c r="AD194" s="917"/>
      <c r="AE194" s="916"/>
      <c r="AF194" s="917"/>
      <c r="AG194" s="916"/>
      <c r="AH194" s="931"/>
      <c r="AI194" s="1176"/>
      <c r="AJ194" s="1319"/>
      <c r="AK194" s="2925"/>
      <c r="AL194" s="2926"/>
      <c r="AM194" s="2927">
        <f t="shared" si="38"/>
        <v>0</v>
      </c>
      <c r="AN194" s="702"/>
      <c r="AO194" s="688"/>
      <c r="AQ194" s="2367">
        <f t="shared" si="39"/>
        <v>0</v>
      </c>
      <c r="AR194" s="2367">
        <f t="shared" si="40"/>
        <v>0</v>
      </c>
      <c r="AS194" s="123" t="str">
        <f t="shared" si="41"/>
        <v>미사용 랙</v>
      </c>
      <c r="AT194" t="str">
        <f t="shared" si="36"/>
        <v/>
      </c>
      <c r="AU194" t="str">
        <f t="shared" si="37"/>
        <v/>
      </c>
      <c r="AZ194" s="123"/>
      <c r="BA194" s="123"/>
      <c r="BB194" s="123"/>
      <c r="BC194" s="3103"/>
      <c r="BD194" s="123"/>
      <c r="BE194" s="3104"/>
      <c r="BF194" s="3105"/>
      <c r="BG194" s="3112"/>
      <c r="BH194" s="3106"/>
      <c r="BI194" s="3107"/>
      <c r="BJ194" s="3108"/>
      <c r="BK194" s="3109"/>
      <c r="BL194" s="3110"/>
    </row>
    <row r="195" spans="1:64" ht="40.049999999999997" customHeight="1">
      <c r="A195" s="2955"/>
      <c r="B195" s="2595" t="s">
        <v>879</v>
      </c>
      <c r="C195" s="2624" t="s">
        <v>880</v>
      </c>
      <c r="D195" s="733" t="s">
        <v>881</v>
      </c>
      <c r="E195" s="733"/>
      <c r="F195" s="954"/>
      <c r="G195" s="954" t="s">
        <v>27</v>
      </c>
      <c r="H195" s="1943"/>
      <c r="I195" s="1944"/>
      <c r="J195" s="1943"/>
      <c r="K195" s="1944"/>
      <c r="L195" s="1945"/>
      <c r="M195" s="916"/>
      <c r="N195" s="916"/>
      <c r="O195" s="1946"/>
      <c r="P195" s="1947"/>
      <c r="Q195" s="1950"/>
      <c r="R195" s="917"/>
      <c r="S195" s="1948"/>
      <c r="T195" s="916" t="s">
        <v>882</v>
      </c>
      <c r="U195" s="917" t="s">
        <v>883</v>
      </c>
      <c r="V195" s="2152" t="s">
        <v>297</v>
      </c>
      <c r="W195" s="904" t="s">
        <v>298</v>
      </c>
      <c r="X195" s="2152" t="s">
        <v>435</v>
      </c>
      <c r="Y195" s="904" t="s">
        <v>436</v>
      </c>
      <c r="Z195" s="2152" t="s">
        <v>49</v>
      </c>
      <c r="AA195" s="904" t="s">
        <v>50</v>
      </c>
      <c r="AB195" s="2152" t="s">
        <v>51</v>
      </c>
      <c r="AC195" s="904" t="s">
        <v>52</v>
      </c>
      <c r="AD195" s="2152" t="s">
        <v>30</v>
      </c>
      <c r="AE195" s="904" t="s">
        <v>35</v>
      </c>
      <c r="AF195" s="2152" t="s">
        <v>31</v>
      </c>
      <c r="AG195" s="904" t="s">
        <v>36</v>
      </c>
      <c r="AH195" s="926"/>
      <c r="AI195" s="1175"/>
      <c r="AJ195" s="1318"/>
      <c r="AK195" s="2925"/>
      <c r="AL195" s="2926"/>
      <c r="AM195" s="2927">
        <f t="shared" si="38"/>
        <v>0</v>
      </c>
      <c r="AN195" s="701" t="s">
        <v>884</v>
      </c>
      <c r="AO195" s="700" t="s">
        <v>885</v>
      </c>
      <c r="AQ195" s="2367">
        <f t="shared" si="39"/>
        <v>0</v>
      </c>
      <c r="AR195" s="2367">
        <f t="shared" si="40"/>
        <v>0</v>
      </c>
      <c r="AS195" s="123" t="str">
        <f t="shared" si="41"/>
        <v>미사용 랙</v>
      </c>
      <c r="AT195" t="str">
        <f t="shared" si="36"/>
        <v/>
      </c>
      <c r="AU195" t="str">
        <f t="shared" si="37"/>
        <v/>
      </c>
      <c r="AZ195" s="123"/>
      <c r="BA195" s="123"/>
      <c r="BB195" s="123"/>
      <c r="BC195" s="3103"/>
      <c r="BD195" s="123"/>
      <c r="BE195" s="3104"/>
      <c r="BF195" s="3105"/>
      <c r="BG195" s="3112"/>
      <c r="BH195" s="3106"/>
      <c r="BI195" s="3107"/>
      <c r="BJ195" s="3108"/>
      <c r="BK195" s="3109"/>
      <c r="BL195" s="3110"/>
    </row>
    <row r="196" spans="1:64" ht="54.75" customHeight="1" thickBot="1">
      <c r="A196" s="2960"/>
      <c r="B196" s="2627" t="s">
        <v>886</v>
      </c>
      <c r="C196" s="2627" t="s">
        <v>887</v>
      </c>
      <c r="D196" s="2628" t="s">
        <v>888</v>
      </c>
      <c r="E196" s="2628"/>
      <c r="F196" s="2627"/>
      <c r="G196" s="2627" t="s">
        <v>27</v>
      </c>
      <c r="H196" s="1819" t="s">
        <v>9067</v>
      </c>
      <c r="I196" s="1855" t="s">
        <v>9068</v>
      </c>
      <c r="J196" s="1819" t="str">
        <f>"7-DaHall 1-"&amp;N196&amp;"-"&amp;M196&amp;"-"&amp;O196</f>
        <v>7-DaHall 1-A-1-35-51</v>
      </c>
      <c r="K196" s="1855" t="str">
        <f>"7-DaHall 1-"&amp;R196&amp;"-"&amp;Q196&amp;"-"&amp;S196</f>
        <v>7-DaHall 1-B-1-35-51</v>
      </c>
      <c r="L196" s="1821">
        <v>48</v>
      </c>
      <c r="M196" s="1822">
        <v>35</v>
      </c>
      <c r="N196" s="891" t="s">
        <v>293</v>
      </c>
      <c r="O196" s="1823">
        <v>51</v>
      </c>
      <c r="P196" s="1925">
        <v>48</v>
      </c>
      <c r="Q196" s="1958">
        <v>35</v>
      </c>
      <c r="R196" s="893" t="s">
        <v>294</v>
      </c>
      <c r="S196" s="1856">
        <v>51</v>
      </c>
      <c r="T196" s="891" t="s">
        <v>889</v>
      </c>
      <c r="U196" s="893" t="s">
        <v>890</v>
      </c>
      <c r="V196" s="2152" t="s">
        <v>297</v>
      </c>
      <c r="W196" s="904" t="s">
        <v>298</v>
      </c>
      <c r="X196" s="2152" t="s">
        <v>435</v>
      </c>
      <c r="Y196" s="904" t="s">
        <v>436</v>
      </c>
      <c r="Z196" s="2152" t="s">
        <v>49</v>
      </c>
      <c r="AA196" s="904" t="s">
        <v>50</v>
      </c>
      <c r="AB196" s="2152" t="s">
        <v>51</v>
      </c>
      <c r="AC196" s="904" t="s">
        <v>52</v>
      </c>
      <c r="AD196" s="2152" t="s">
        <v>30</v>
      </c>
      <c r="AE196" s="904" t="s">
        <v>35</v>
      </c>
      <c r="AF196" s="2152" t="s">
        <v>31</v>
      </c>
      <c r="AG196" s="904" t="s">
        <v>36</v>
      </c>
      <c r="AH196" s="690"/>
      <c r="AI196" s="678"/>
      <c r="AJ196" s="1310"/>
      <c r="AK196" s="3018"/>
      <c r="AL196" s="2917"/>
      <c r="AM196" s="2918">
        <f t="shared" si="38"/>
        <v>0</v>
      </c>
      <c r="AN196" s="698" t="s">
        <v>884</v>
      </c>
      <c r="AO196" s="679"/>
      <c r="AQ196" s="2367">
        <f t="shared" si="39"/>
        <v>0</v>
      </c>
      <c r="AR196" s="2367">
        <f t="shared" si="40"/>
        <v>0</v>
      </c>
      <c r="AS196" s="123" t="str">
        <f t="shared" si="41"/>
        <v>미사용 랙</v>
      </c>
      <c r="AT196" t="str">
        <f t="shared" si="36"/>
        <v/>
      </c>
      <c r="AU196" t="str">
        <f t="shared" si="37"/>
        <v/>
      </c>
      <c r="AZ196" s="123"/>
      <c r="BA196" s="123"/>
      <c r="BB196" s="123"/>
      <c r="BC196" s="3103"/>
      <c r="BD196" s="123"/>
      <c r="BE196" s="3104"/>
      <c r="BF196" s="3105"/>
      <c r="BG196" s="3112"/>
      <c r="BH196" s="3106"/>
      <c r="BI196" s="3107"/>
      <c r="BJ196" s="3108"/>
      <c r="BK196" s="3109"/>
      <c r="BL196" s="3110"/>
    </row>
    <row r="197" spans="1:64" ht="13.5" customHeight="1">
      <c r="A197" s="2961" t="s">
        <v>891</v>
      </c>
      <c r="B197" s="672" t="s">
        <v>892</v>
      </c>
      <c r="C197" s="1052"/>
      <c r="D197" s="732"/>
      <c r="E197" s="732"/>
      <c r="F197" s="1052"/>
      <c r="G197" s="1052"/>
      <c r="H197" s="1827"/>
      <c r="I197" s="1959"/>
      <c r="J197" s="1827"/>
      <c r="K197" s="1959"/>
      <c r="L197" s="1828"/>
      <c r="M197" s="1829"/>
      <c r="N197" s="896"/>
      <c r="O197" s="1830"/>
      <c r="P197" s="1960"/>
      <c r="Q197" s="1961"/>
      <c r="R197" s="1053"/>
      <c r="S197" s="1962"/>
      <c r="T197" s="896"/>
      <c r="U197" s="1053"/>
      <c r="V197" s="732"/>
      <c r="W197" s="1053"/>
      <c r="X197" s="732"/>
      <c r="Y197" s="1053"/>
      <c r="Z197" s="732"/>
      <c r="AA197" s="1053"/>
      <c r="AB197" s="732"/>
      <c r="AC197" s="1053"/>
      <c r="AD197" s="732"/>
      <c r="AE197" s="1053"/>
      <c r="AF197" s="732"/>
      <c r="AG197" s="1053"/>
      <c r="AH197" s="958"/>
      <c r="AI197" s="1071"/>
      <c r="AJ197" s="1311"/>
      <c r="AK197" s="2925"/>
      <c r="AL197" s="2926"/>
      <c r="AM197" s="2927">
        <f t="shared" si="38"/>
        <v>0</v>
      </c>
      <c r="AN197" s="699"/>
      <c r="AO197" s="674"/>
      <c r="AQ197" s="2367">
        <f t="shared" si="39"/>
        <v>0</v>
      </c>
      <c r="AR197" s="2367">
        <f t="shared" si="40"/>
        <v>0</v>
      </c>
      <c r="AS197" s="123" t="str">
        <f t="shared" si="41"/>
        <v>미사용 랙</v>
      </c>
      <c r="AT197" t="str">
        <f t="shared" si="36"/>
        <v/>
      </c>
      <c r="AU197" t="str">
        <f t="shared" si="37"/>
        <v/>
      </c>
      <c r="AZ197" s="123"/>
      <c r="BA197" s="123"/>
      <c r="BB197" s="123"/>
      <c r="BC197" s="3103"/>
      <c r="BD197" s="123"/>
      <c r="BE197" s="3104"/>
      <c r="BF197" s="3105"/>
      <c r="BG197" s="3112"/>
      <c r="BH197" s="3106"/>
      <c r="BI197" s="3107"/>
      <c r="BJ197" s="3108"/>
      <c r="BK197" s="3109"/>
      <c r="BL197" s="3110"/>
    </row>
    <row r="198" spans="1:64" ht="48" customHeight="1">
      <c r="A198" s="2955"/>
      <c r="B198" s="2595" t="s">
        <v>893</v>
      </c>
      <c r="C198" s="2595" t="s">
        <v>894</v>
      </c>
      <c r="D198" s="2595" t="s">
        <v>9257</v>
      </c>
      <c r="E198" s="3062">
        <v>2.2000000000000002</v>
      </c>
      <c r="F198" s="2597" t="s">
        <v>27</v>
      </c>
      <c r="G198" s="2595"/>
      <c r="H198" s="1951" t="s">
        <v>9069</v>
      </c>
      <c r="I198" s="1857" t="s">
        <v>9070</v>
      </c>
      <c r="J198" s="1831" t="str">
        <f>"7-DaHall 1-"&amp;R198&amp;"-"&amp;Q198&amp;"-"&amp;S198</f>
        <v>7-DaHall 1-RPP-01--36</v>
      </c>
      <c r="K198" s="1839" t="str">
        <f>"7-DaHall 1-"&amp;N198&amp;"-"&amp;M198&amp;"-"&amp;O198</f>
        <v>7-DaHall 1-RPP-02-30-30</v>
      </c>
      <c r="L198" s="1952">
        <v>220</v>
      </c>
      <c r="M198" s="1851">
        <v>30</v>
      </c>
      <c r="N198" s="953" t="s">
        <v>8776</v>
      </c>
      <c r="O198" s="1852">
        <v>30</v>
      </c>
      <c r="P198" s="1858"/>
      <c r="Q198" s="1848"/>
      <c r="R198" s="897" t="s">
        <v>8775</v>
      </c>
      <c r="S198" s="1849">
        <v>36</v>
      </c>
      <c r="T198" s="953" t="s">
        <v>895</v>
      </c>
      <c r="U198" s="897" t="s">
        <v>896</v>
      </c>
      <c r="V198" s="917" t="s">
        <v>897</v>
      </c>
      <c r="W198" s="916" t="s">
        <v>898</v>
      </c>
      <c r="X198" s="904" t="s">
        <v>460</v>
      </c>
      <c r="Y198" s="2152" t="s">
        <v>450</v>
      </c>
      <c r="Z198" s="904" t="s">
        <v>461</v>
      </c>
      <c r="AA198" s="2152" t="s">
        <v>451</v>
      </c>
      <c r="AB198" s="904" t="s">
        <v>462</v>
      </c>
      <c r="AC198" s="2152" t="s">
        <v>452</v>
      </c>
      <c r="AD198" s="904" t="s">
        <v>35</v>
      </c>
      <c r="AE198" s="2152" t="s">
        <v>30</v>
      </c>
      <c r="AF198" s="904" t="s">
        <v>36</v>
      </c>
      <c r="AG198" s="2152" t="s">
        <v>31</v>
      </c>
      <c r="AH198" s="924">
        <f>SUM('7층_부하량(월간_AVG)'!N23:P23)</f>
        <v>3.4526774844341195</v>
      </c>
      <c r="AI198" s="902">
        <f>SUM('7층_부하량(월간_AVG)'!N109:P109)</f>
        <v>1.9976248216015566</v>
      </c>
      <c r="AJ198" s="1301">
        <f>AI198+AH198</f>
        <v>5.4503023060356757</v>
      </c>
      <c r="AK198" s="2913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532.6</v>
      </c>
      <c r="AL198" s="2914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294.3</v>
      </c>
      <c r="AM198" s="2927">
        <f t="shared" si="38"/>
        <v>826.90000000000009</v>
      </c>
      <c r="AN198" s="2625" t="s">
        <v>899</v>
      </c>
      <c r="AO198" s="2631"/>
      <c r="AQ198" s="2367">
        <f t="shared" si="39"/>
        <v>1.1114247311827958</v>
      </c>
      <c r="AR198" s="2367">
        <f t="shared" si="40"/>
        <v>1.0885752688172043</v>
      </c>
      <c r="AS198" s="123" t="str">
        <f t="shared" ref="AS198:AS205" si="65">IF(SIGN(AR198)&gt;=0,IF(AM198=0,"무부하 랙","적정함"),"사용초과")</f>
        <v>적정함</v>
      </c>
      <c r="AT198" t="str">
        <f t="shared" ref="AT198:AT221" si="66">IF(AS198="사용초과",D198,"")</f>
        <v/>
      </c>
      <c r="AU198" t="str">
        <f t="shared" ref="AU198:AU221" si="67">IF(AT198="","",B198)</f>
        <v/>
      </c>
      <c r="AZ198" s="123"/>
      <c r="BA198" s="123"/>
      <c r="BB198" s="123"/>
      <c r="BC198" s="3103"/>
      <c r="BD198" s="123"/>
      <c r="BE198" s="3104"/>
      <c r="BF198" s="3105"/>
      <c r="BG198" s="3112"/>
      <c r="BH198" s="3106"/>
      <c r="BI198" s="3107"/>
      <c r="BJ198" s="3108"/>
      <c r="BK198" s="3109"/>
      <c r="BL198" s="3110"/>
    </row>
    <row r="199" spans="1:64" ht="27" customHeight="1">
      <c r="A199" s="2955"/>
      <c r="B199" s="2595" t="s">
        <v>900</v>
      </c>
      <c r="C199" s="1158" t="s">
        <v>901</v>
      </c>
      <c r="D199" s="2595" t="s">
        <v>9258</v>
      </c>
      <c r="E199" s="3062">
        <v>0.55000000000000004</v>
      </c>
      <c r="F199" s="2597" t="s">
        <v>27</v>
      </c>
      <c r="G199" s="2595"/>
      <c r="H199" s="1872" t="s">
        <v>9071</v>
      </c>
      <c r="I199" s="1870" t="s">
        <v>9072</v>
      </c>
      <c r="J199" s="1831" t="str">
        <f>"7-DaHall 1-"&amp;R199&amp;"-"&amp;Q199&amp;"-"&amp;S199</f>
        <v>7-DaHall 1-RPP-01-30-14</v>
      </c>
      <c r="K199" s="1839" t="str">
        <f>"7-DaHall 1-"&amp;N199&amp;"-"&amp;M199&amp;"-"&amp;O199</f>
        <v>7-DaHall 1-RPP-02-20-27</v>
      </c>
      <c r="L199" s="1873">
        <v>220</v>
      </c>
      <c r="M199" s="1841">
        <v>20</v>
      </c>
      <c r="N199" s="687" t="s">
        <v>8776</v>
      </c>
      <c r="O199" s="1842">
        <v>27</v>
      </c>
      <c r="P199" s="1871">
        <v>220</v>
      </c>
      <c r="Q199" s="1834">
        <v>30</v>
      </c>
      <c r="R199" s="703" t="s">
        <v>8775</v>
      </c>
      <c r="S199" s="1835">
        <v>14</v>
      </c>
      <c r="T199" s="687" t="s">
        <v>902</v>
      </c>
      <c r="U199" s="703" t="s">
        <v>903</v>
      </c>
      <c r="V199" s="2609" t="s">
        <v>904</v>
      </c>
      <c r="W199" s="2626" t="s">
        <v>905</v>
      </c>
      <c r="X199" s="904" t="s">
        <v>460</v>
      </c>
      <c r="Y199" s="2152" t="s">
        <v>450</v>
      </c>
      <c r="Z199" s="904" t="s">
        <v>461</v>
      </c>
      <c r="AA199" s="2152" t="s">
        <v>451</v>
      </c>
      <c r="AB199" s="904" t="s">
        <v>462</v>
      </c>
      <c r="AC199" s="2152" t="s">
        <v>452</v>
      </c>
      <c r="AD199" s="904" t="s">
        <v>35</v>
      </c>
      <c r="AE199" s="2152" t="s">
        <v>30</v>
      </c>
      <c r="AF199" s="904" t="s">
        <v>36</v>
      </c>
      <c r="AG199" s="2152" t="s">
        <v>31</v>
      </c>
      <c r="AH199" s="924">
        <f>SUM('7층_부하량(월간_AVG)'!N12:P12)</f>
        <v>6.441352314088447</v>
      </c>
      <c r="AI199" s="902">
        <f>SUM('7층_부하량(월간_AVG)'!D108:F108)</f>
        <v>5.7870600560056698</v>
      </c>
      <c r="AJ199" s="1301">
        <f>AI199+AH199</f>
        <v>12.228412370094116</v>
      </c>
      <c r="AK199" s="2913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994.9</v>
      </c>
      <c r="AL199" s="2914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896.9</v>
      </c>
      <c r="AM199" s="2921">
        <f t="shared" si="38"/>
        <v>1891.8</v>
      </c>
      <c r="AN199" s="2625" t="s">
        <v>906</v>
      </c>
      <c r="AO199" s="2631"/>
      <c r="AQ199" s="2367">
        <f t="shared" si="39"/>
        <v>2.5427419354838707</v>
      </c>
      <c r="AR199" s="2367">
        <f t="shared" si="40"/>
        <v>-1.9927419354838707</v>
      </c>
      <c r="AS199" s="123" t="str">
        <f t="shared" si="65"/>
        <v>사용초과</v>
      </c>
      <c r="AT199" t="str">
        <f t="shared" si="66"/>
        <v>Exanet</v>
      </c>
      <c r="AU199" t="str">
        <f t="shared" si="67"/>
        <v>C703</v>
      </c>
      <c r="AZ199" s="123"/>
      <c r="BA199" s="123"/>
      <c r="BB199" s="123"/>
      <c r="BC199" s="3103"/>
      <c r="BD199" s="123"/>
      <c r="BE199" s="3104"/>
      <c r="BF199" s="3105"/>
      <c r="BG199" s="3112"/>
      <c r="BH199" s="3106"/>
      <c r="BI199" s="3107"/>
      <c r="BJ199" s="3108"/>
      <c r="BK199" s="3109"/>
      <c r="BL199" s="3110"/>
    </row>
    <row r="200" spans="1:64" ht="32.1" customHeight="1">
      <c r="A200" s="2955"/>
      <c r="B200" s="2595" t="s">
        <v>907</v>
      </c>
      <c r="C200" s="2595" t="s">
        <v>908</v>
      </c>
      <c r="D200" s="2597"/>
      <c r="E200" s="3062"/>
      <c r="F200" s="2597" t="s">
        <v>27</v>
      </c>
      <c r="G200" s="2595"/>
      <c r="H200" s="1845"/>
      <c r="I200" s="1846" t="s">
        <v>9073</v>
      </c>
      <c r="J200" s="1831"/>
      <c r="K200" s="1839" t="str">
        <f>"7-DaHall 1-"&amp;R200&amp;"-"&amp;Q200&amp;"-"&amp;S200</f>
        <v>7-DaHall 1-RPP-02-20-25</v>
      </c>
      <c r="L200" s="1847"/>
      <c r="M200" s="1848"/>
      <c r="N200" s="897"/>
      <c r="O200" s="1849"/>
      <c r="P200" s="1850">
        <v>220</v>
      </c>
      <c r="Q200" s="1851">
        <v>20</v>
      </c>
      <c r="R200" s="953" t="s">
        <v>8776</v>
      </c>
      <c r="S200" s="1852">
        <v>25</v>
      </c>
      <c r="T200" s="897"/>
      <c r="U200" s="953" t="s">
        <v>909</v>
      </c>
      <c r="V200" s="897"/>
      <c r="W200" s="917" t="s">
        <v>910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681"/>
      <c r="AI200" s="676">
        <f>SUM('7층_부하량(월간_AVG)'!D107:F107)</f>
        <v>0</v>
      </c>
      <c r="AJ200" s="1301">
        <f t="shared" ref="AJ200:AJ205" si="68">AH200+AI200</f>
        <v>0</v>
      </c>
      <c r="AK200" s="2913"/>
      <c r="AL200" s="2914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0</v>
      </c>
      <c r="AM200" s="2927">
        <f t="shared" ref="AM200:AM265" si="69">SUBTOTAL(9,AK200:AL200)</f>
        <v>0</v>
      </c>
      <c r="AN200" s="2625" t="s">
        <v>844</v>
      </c>
      <c r="AO200" s="2631"/>
      <c r="AQ200" s="2367">
        <f t="shared" ref="AQ200:AQ265" si="70">AM200/(24*31)</f>
        <v>0</v>
      </c>
      <c r="AR200" s="2367">
        <f t="shared" ref="AR200:AR265" si="71">E200-AQ200</f>
        <v>0</v>
      </c>
      <c r="AS200" s="123" t="str">
        <f t="shared" si="65"/>
        <v>무부하 랙</v>
      </c>
      <c r="AT200" t="str">
        <f t="shared" si="66"/>
        <v/>
      </c>
      <c r="AU200" t="str">
        <f t="shared" si="67"/>
        <v/>
      </c>
      <c r="AZ200" s="123"/>
      <c r="BA200" s="123"/>
      <c r="BB200" s="123"/>
      <c r="BC200" s="3103"/>
      <c r="BD200" s="123"/>
      <c r="BE200" s="3104"/>
      <c r="BF200" s="3105"/>
      <c r="BG200" s="3112"/>
      <c r="BH200" s="3106"/>
      <c r="BI200" s="3107"/>
      <c r="BJ200" s="3108"/>
      <c r="BK200" s="3109"/>
      <c r="BL200" s="3110"/>
    </row>
    <row r="201" spans="1:64" ht="62.4">
      <c r="A201" s="2955"/>
      <c r="B201" s="2595" t="s">
        <v>911</v>
      </c>
      <c r="C201" s="2595" t="s">
        <v>912</v>
      </c>
      <c r="D201" s="2597"/>
      <c r="E201" s="3062"/>
      <c r="F201" s="2597" t="s">
        <v>27</v>
      </c>
      <c r="G201" s="2595"/>
      <c r="H201" s="1845"/>
      <c r="I201" s="1846" t="s">
        <v>9074</v>
      </c>
      <c r="J201" s="1831"/>
      <c r="K201" s="1839" t="str">
        <f>"7-DaHall 1-"&amp;R201&amp;"-"&amp;Q201&amp;"-"&amp;S201</f>
        <v>7-DaHall 1-RPP-02-20-23</v>
      </c>
      <c r="L201" s="1847"/>
      <c r="M201" s="1848"/>
      <c r="N201" s="897"/>
      <c r="O201" s="1849"/>
      <c r="P201" s="1850">
        <v>220</v>
      </c>
      <c r="Q201" s="1851">
        <v>20</v>
      </c>
      <c r="R201" s="953" t="s">
        <v>8776</v>
      </c>
      <c r="S201" s="1852">
        <v>23</v>
      </c>
      <c r="T201" s="897"/>
      <c r="U201" s="953" t="s">
        <v>913</v>
      </c>
      <c r="V201" s="897"/>
      <c r="W201" s="917" t="s">
        <v>914</v>
      </c>
      <c r="X201" s="897"/>
      <c r="Y201" s="904" t="s">
        <v>460</v>
      </c>
      <c r="Z201" s="897"/>
      <c r="AA201" s="904" t="s">
        <v>461</v>
      </c>
      <c r="AB201" s="897"/>
      <c r="AC201" s="904" t="s">
        <v>462</v>
      </c>
      <c r="AD201" s="897"/>
      <c r="AE201" s="904" t="s">
        <v>35</v>
      </c>
      <c r="AF201" s="897"/>
      <c r="AG201" s="904" t="s">
        <v>36</v>
      </c>
      <c r="AH201" s="681"/>
      <c r="AI201" s="676">
        <f>SUM('7층_부하량(월간_AVG)'!D106:F106)</f>
        <v>0</v>
      </c>
      <c r="AJ201" s="1301">
        <f t="shared" si="68"/>
        <v>0</v>
      </c>
      <c r="AK201" s="2913"/>
      <c r="AL201" s="2914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0</v>
      </c>
      <c r="AM201" s="2927">
        <f t="shared" si="69"/>
        <v>0</v>
      </c>
      <c r="AN201" s="2625" t="s">
        <v>844</v>
      </c>
      <c r="AO201" s="2631"/>
      <c r="AQ201" s="2367">
        <f t="shared" si="70"/>
        <v>0</v>
      </c>
      <c r="AR201" s="2367">
        <f t="shared" si="71"/>
        <v>0</v>
      </c>
      <c r="AS201" s="123" t="str">
        <f t="shared" si="65"/>
        <v>무부하 랙</v>
      </c>
      <c r="AT201" t="str">
        <f t="shared" si="66"/>
        <v/>
      </c>
      <c r="AU201" t="str">
        <f t="shared" si="67"/>
        <v/>
      </c>
      <c r="AZ201" s="123"/>
      <c r="BA201" s="123"/>
      <c r="BB201" s="123"/>
      <c r="BC201" s="3103"/>
      <c r="BD201" s="123"/>
      <c r="BE201" s="3104"/>
      <c r="BF201" s="3105"/>
      <c r="BG201" s="3112"/>
      <c r="BH201" s="3106"/>
      <c r="BI201" s="3107"/>
      <c r="BJ201" s="3108"/>
      <c r="BK201" s="3109"/>
      <c r="BL201" s="3110"/>
    </row>
    <row r="202" spans="1:64" ht="27" customHeight="1">
      <c r="A202" s="2955"/>
      <c r="B202" s="2595" t="s">
        <v>915</v>
      </c>
      <c r="C202" s="2595" t="s">
        <v>916</v>
      </c>
      <c r="D202" s="2597"/>
      <c r="E202" s="3062"/>
      <c r="F202" s="2597" t="s">
        <v>27</v>
      </c>
      <c r="G202" s="2595"/>
      <c r="H202" s="1845"/>
      <c r="I202" s="1839" t="s">
        <v>9075</v>
      </c>
      <c r="J202" s="1845"/>
      <c r="K202" s="1839" t="str">
        <f>"7-DaHall 1-"&amp;R202&amp;"-"&amp;Q202&amp;"-"&amp;S202</f>
        <v>7-DaHall 1-RPP-02-20-21</v>
      </c>
      <c r="L202" s="1847"/>
      <c r="M202" s="1848"/>
      <c r="N202" s="897"/>
      <c r="O202" s="1849"/>
      <c r="P202" s="1840">
        <v>220</v>
      </c>
      <c r="Q202" s="1841">
        <v>20</v>
      </c>
      <c r="R202" s="687" t="s">
        <v>8776</v>
      </c>
      <c r="S202" s="1842">
        <v>21</v>
      </c>
      <c r="T202" s="897"/>
      <c r="U202" s="687" t="s">
        <v>917</v>
      </c>
      <c r="V202" s="897"/>
      <c r="W202" s="2609" t="s">
        <v>918</v>
      </c>
      <c r="X202" s="897"/>
      <c r="Y202" s="904" t="s">
        <v>460</v>
      </c>
      <c r="Z202" s="897"/>
      <c r="AA202" s="904" t="s">
        <v>461</v>
      </c>
      <c r="AB202" s="897"/>
      <c r="AC202" s="904" t="s">
        <v>462</v>
      </c>
      <c r="AD202" s="897"/>
      <c r="AE202" s="904" t="s">
        <v>35</v>
      </c>
      <c r="AF202" s="897"/>
      <c r="AG202" s="904" t="s">
        <v>36</v>
      </c>
      <c r="AH202" s="926"/>
      <c r="AI202" s="676">
        <f>SUM('7층_부하량(월간_AVG)'!D105:F105)</f>
        <v>0</v>
      </c>
      <c r="AJ202" s="1301">
        <f t="shared" si="68"/>
        <v>0</v>
      </c>
      <c r="AK202" s="2913"/>
      <c r="AL202" s="2914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0</v>
      </c>
      <c r="AM202" s="2921">
        <f t="shared" si="69"/>
        <v>0</v>
      </c>
      <c r="AN202" s="2625" t="s">
        <v>919</v>
      </c>
      <c r="AO202" s="2631"/>
      <c r="AQ202" s="2367">
        <f t="shared" si="70"/>
        <v>0</v>
      </c>
      <c r="AR202" s="2367">
        <f t="shared" si="71"/>
        <v>0</v>
      </c>
      <c r="AS202" s="123" t="str">
        <f t="shared" si="65"/>
        <v>무부하 랙</v>
      </c>
      <c r="AT202" t="str">
        <f t="shared" si="66"/>
        <v/>
      </c>
      <c r="AU202" t="str">
        <f t="shared" si="67"/>
        <v/>
      </c>
      <c r="AZ202" s="123"/>
      <c r="BA202" s="123"/>
      <c r="BB202" s="123"/>
      <c r="BC202" s="3103"/>
      <c r="BD202" s="123"/>
      <c r="BE202" s="3104"/>
      <c r="BF202" s="3105"/>
      <c r="BG202" s="3112"/>
      <c r="BH202" s="3106"/>
      <c r="BI202" s="3107"/>
      <c r="BJ202" s="3108"/>
      <c r="BK202" s="3109"/>
      <c r="BL202" s="3110"/>
    </row>
    <row r="203" spans="1:64" ht="40.5" customHeight="1">
      <c r="A203" s="2955"/>
      <c r="B203" s="2595" t="s">
        <v>920</v>
      </c>
      <c r="C203" s="1158" t="s">
        <v>921</v>
      </c>
      <c r="D203" s="2595" t="s">
        <v>9259</v>
      </c>
      <c r="E203" s="3062">
        <v>2.2000000000000002</v>
      </c>
      <c r="F203" s="2597" t="s">
        <v>27</v>
      </c>
      <c r="G203" s="2595"/>
      <c r="H203" s="1831" t="s">
        <v>9076</v>
      </c>
      <c r="I203" s="1963"/>
      <c r="J203" s="1831" t="str">
        <f>"7-DaHall 1-"&amp;N203&amp;"-"&amp;M203&amp;"-"&amp;O203</f>
        <v>7-DaHall 1-RPP-01-30-4</v>
      </c>
      <c r="K203" s="1963"/>
      <c r="L203" s="1833">
        <v>220</v>
      </c>
      <c r="M203" s="1834">
        <v>30</v>
      </c>
      <c r="N203" s="703" t="s">
        <v>8775</v>
      </c>
      <c r="O203" s="1835">
        <v>4</v>
      </c>
      <c r="P203" s="1964"/>
      <c r="Q203" s="1965"/>
      <c r="R203" s="898"/>
      <c r="S203" s="1966"/>
      <c r="T203" s="703" t="s">
        <v>922</v>
      </c>
      <c r="U203" s="898"/>
      <c r="V203" s="2626" t="s">
        <v>923</v>
      </c>
      <c r="W203" s="898"/>
      <c r="X203" s="2152" t="s">
        <v>450</v>
      </c>
      <c r="Y203" s="898"/>
      <c r="Z203" s="2152" t="s">
        <v>451</v>
      </c>
      <c r="AA203" s="898"/>
      <c r="AB203" s="2152" t="s">
        <v>452</v>
      </c>
      <c r="AC203" s="898"/>
      <c r="AD203" s="2152" t="s">
        <v>30</v>
      </c>
      <c r="AE203" s="898"/>
      <c r="AF203" s="2152" t="s">
        <v>31</v>
      </c>
      <c r="AG203" s="898"/>
      <c r="AH203" s="681">
        <f>SUM('7층_부하량(월간_AVG)'!N7:P7)</f>
        <v>0</v>
      </c>
      <c r="AI203" s="923"/>
      <c r="AJ203" s="1301">
        <f t="shared" si="68"/>
        <v>0</v>
      </c>
      <c r="AK203" s="2913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0</v>
      </c>
      <c r="AL203" s="2914"/>
      <c r="AM203" s="2921">
        <f t="shared" si="69"/>
        <v>0</v>
      </c>
      <c r="AN203" s="2625" t="s">
        <v>924</v>
      </c>
      <c r="AO203" s="2631"/>
      <c r="AQ203" s="2367">
        <f t="shared" si="70"/>
        <v>0</v>
      </c>
      <c r="AR203" s="2367">
        <f t="shared" si="71"/>
        <v>2.2000000000000002</v>
      </c>
      <c r="AS203" s="123" t="str">
        <f t="shared" si="65"/>
        <v>무부하 랙</v>
      </c>
      <c r="AT203" t="str">
        <f t="shared" si="66"/>
        <v/>
      </c>
      <c r="AU203" t="str">
        <f t="shared" si="67"/>
        <v/>
      </c>
      <c r="AZ203" s="123"/>
      <c r="BA203" s="123"/>
      <c r="BB203" s="123"/>
      <c r="BC203" s="3103"/>
      <c r="BD203" s="123"/>
      <c r="BE203" s="3104"/>
      <c r="BF203" s="3105"/>
      <c r="BG203" s="3112"/>
      <c r="BH203" s="3106"/>
      <c r="BI203" s="3107"/>
      <c r="BJ203" s="3108"/>
      <c r="BK203" s="3109"/>
      <c r="BL203" s="3110"/>
    </row>
    <row r="204" spans="1:64" ht="27" customHeight="1">
      <c r="A204" s="2955"/>
      <c r="B204" s="2595" t="s">
        <v>925</v>
      </c>
      <c r="C204" s="2595" t="s">
        <v>926</v>
      </c>
      <c r="D204" s="2597"/>
      <c r="E204" s="2597"/>
      <c r="F204" s="2597" t="s">
        <v>27</v>
      </c>
      <c r="G204" s="2595"/>
      <c r="H204" s="1831" t="s">
        <v>9077</v>
      </c>
      <c r="I204" s="1963"/>
      <c r="J204" s="1831" t="str">
        <f>"7-DaHall 1-"&amp;N204&amp;"-"&amp;M204&amp;"-"&amp;O204</f>
        <v>7-DaHall 1-RPP-01-30-6</v>
      </c>
      <c r="K204" s="1963"/>
      <c r="L204" s="1833">
        <v>220</v>
      </c>
      <c r="M204" s="1834">
        <v>30</v>
      </c>
      <c r="N204" s="703" t="s">
        <v>8775</v>
      </c>
      <c r="O204" s="1835">
        <v>6</v>
      </c>
      <c r="P204" s="1964"/>
      <c r="Q204" s="1965"/>
      <c r="R204" s="898"/>
      <c r="S204" s="1966"/>
      <c r="T204" s="703" t="s">
        <v>927</v>
      </c>
      <c r="U204" s="898"/>
      <c r="V204" s="2626" t="s">
        <v>928</v>
      </c>
      <c r="W204" s="898"/>
      <c r="X204" s="2962"/>
      <c r="Y204" s="898"/>
      <c r="Z204" s="2962"/>
      <c r="AA204" s="898"/>
      <c r="AB204" s="2962"/>
      <c r="AC204" s="898"/>
      <c r="AD204" s="2962"/>
      <c r="AE204" s="898"/>
      <c r="AF204" s="2962"/>
      <c r="AG204" s="898"/>
      <c r="AH204" s="681">
        <f>SUM('7층_부하량(월간_AVG)'!N8:P8)</f>
        <v>0</v>
      </c>
      <c r="AI204" s="923"/>
      <c r="AJ204" s="1301">
        <f t="shared" si="68"/>
        <v>0</v>
      </c>
      <c r="AK204" s="2913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0</v>
      </c>
      <c r="AL204" s="2914"/>
      <c r="AM204" s="2921">
        <f t="shared" si="69"/>
        <v>0</v>
      </c>
      <c r="AN204" s="2625" t="s">
        <v>924</v>
      </c>
      <c r="AO204" s="2631"/>
      <c r="AQ204" s="2367">
        <f t="shared" si="70"/>
        <v>0</v>
      </c>
      <c r="AR204" s="2367">
        <f t="shared" si="71"/>
        <v>0</v>
      </c>
      <c r="AS204" s="123" t="str">
        <f t="shared" si="65"/>
        <v>무부하 랙</v>
      </c>
      <c r="AT204" t="str">
        <f t="shared" si="66"/>
        <v/>
      </c>
      <c r="AU204" t="str">
        <f t="shared" si="67"/>
        <v/>
      </c>
      <c r="AZ204" s="123"/>
      <c r="BA204" s="123"/>
      <c r="BB204" s="123"/>
      <c r="BC204" s="3103"/>
      <c r="BD204" s="123"/>
      <c r="BE204" s="3104"/>
      <c r="BF204" s="3105"/>
      <c r="BG204" s="3112"/>
      <c r="BH204" s="3106"/>
      <c r="BI204" s="3107"/>
      <c r="BJ204" s="3108"/>
      <c r="BK204" s="3109"/>
      <c r="BL204" s="3110"/>
    </row>
    <row r="205" spans="1:64" ht="62.4">
      <c r="A205" s="2955"/>
      <c r="B205" s="2595" t="s">
        <v>929</v>
      </c>
      <c r="C205" s="2595" t="s">
        <v>930</v>
      </c>
      <c r="D205" s="2597"/>
      <c r="E205" s="2597"/>
      <c r="F205" s="733" t="s">
        <v>27</v>
      </c>
      <c r="G205" s="919"/>
      <c r="H205" s="1845"/>
      <c r="I205" s="1846" t="s">
        <v>9078</v>
      </c>
      <c r="J205" s="1845"/>
      <c r="K205" s="1846" t="str">
        <f>"7-DaHall 1-"&amp;R205&amp;"-"&amp;Q205&amp;"-"&amp;S205</f>
        <v>7-DaHall 1-RPP-02-20-19</v>
      </c>
      <c r="L205" s="1847"/>
      <c r="M205" s="1848"/>
      <c r="N205" s="897"/>
      <c r="O205" s="1849"/>
      <c r="P205" s="1850">
        <v>220</v>
      </c>
      <c r="Q205" s="1851">
        <v>20</v>
      </c>
      <c r="R205" s="953" t="s">
        <v>8776</v>
      </c>
      <c r="S205" s="1852">
        <v>19</v>
      </c>
      <c r="T205" s="897"/>
      <c r="U205" s="953" t="s">
        <v>931</v>
      </c>
      <c r="V205" s="897"/>
      <c r="W205" s="917" t="s">
        <v>932</v>
      </c>
      <c r="X205" s="897"/>
      <c r="Y205" s="917" t="s">
        <v>460</v>
      </c>
      <c r="Z205" s="897"/>
      <c r="AA205" s="917" t="s">
        <v>461</v>
      </c>
      <c r="AB205" s="897"/>
      <c r="AC205" s="917" t="s">
        <v>462</v>
      </c>
      <c r="AD205" s="897"/>
      <c r="AE205" s="917" t="s">
        <v>35</v>
      </c>
      <c r="AF205" s="897"/>
      <c r="AG205" s="917" t="s">
        <v>36</v>
      </c>
      <c r="AH205" s="926"/>
      <c r="AI205" s="1175">
        <f>SUM('7층_부하량(월간_AVG)'!D104:F104)</f>
        <v>0</v>
      </c>
      <c r="AJ205" s="1319">
        <f t="shared" si="68"/>
        <v>0</v>
      </c>
      <c r="AK205" s="2930"/>
      <c r="AL205" s="2914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0</v>
      </c>
      <c r="AM205" s="2927">
        <f t="shared" si="69"/>
        <v>0</v>
      </c>
      <c r="AN205" s="2625" t="s">
        <v>844</v>
      </c>
      <c r="AO205" s="2631"/>
      <c r="AQ205" s="2367">
        <f t="shared" si="70"/>
        <v>0</v>
      </c>
      <c r="AR205" s="2367">
        <f t="shared" si="71"/>
        <v>0</v>
      </c>
      <c r="AS205" s="123" t="str">
        <f t="shared" si="65"/>
        <v>무부하 랙</v>
      </c>
      <c r="AT205" t="str">
        <f t="shared" si="66"/>
        <v/>
      </c>
      <c r="AU205" t="str">
        <f t="shared" si="67"/>
        <v/>
      </c>
      <c r="AZ205" s="123"/>
      <c r="BA205" s="123"/>
      <c r="BB205" s="123"/>
      <c r="BC205" s="3103"/>
      <c r="BD205" s="123"/>
      <c r="BE205" s="3104"/>
      <c r="BF205" s="3105"/>
      <c r="BG205" s="3112"/>
      <c r="BH205" s="3106"/>
      <c r="BI205" s="3107"/>
      <c r="BJ205" s="3108"/>
      <c r="BK205" s="3109"/>
      <c r="BL205" s="3110"/>
    </row>
    <row r="206" spans="1:64" ht="14.25" customHeight="1" thickBot="1">
      <c r="A206" s="2960"/>
      <c r="B206" s="2627" t="s">
        <v>933</v>
      </c>
      <c r="C206" s="2627" t="s">
        <v>934</v>
      </c>
      <c r="D206" s="909" t="s">
        <v>935</v>
      </c>
      <c r="E206" s="909"/>
      <c r="F206" s="918" t="s">
        <v>535</v>
      </c>
      <c r="G206" s="918" t="s">
        <v>535</v>
      </c>
      <c r="H206" s="1967"/>
      <c r="I206" s="1968"/>
      <c r="J206" s="1967"/>
      <c r="K206" s="1968"/>
      <c r="L206" s="1969"/>
      <c r="M206" s="1970"/>
      <c r="N206" s="907"/>
      <c r="O206" s="1971"/>
      <c r="P206" s="1972"/>
      <c r="Q206" s="1970"/>
      <c r="R206" s="907"/>
      <c r="S206" s="1971"/>
      <c r="T206" s="907"/>
      <c r="U206" s="907"/>
      <c r="V206" s="907"/>
      <c r="W206" s="907"/>
      <c r="X206" s="907"/>
      <c r="Y206" s="907"/>
      <c r="Z206" s="907"/>
      <c r="AA206" s="907"/>
      <c r="AB206" s="907"/>
      <c r="AC206" s="907"/>
      <c r="AD206" s="907"/>
      <c r="AE206" s="907"/>
      <c r="AF206" s="907"/>
      <c r="AG206" s="907"/>
      <c r="AH206" s="939"/>
      <c r="AI206" s="1067"/>
      <c r="AJ206" s="1322"/>
      <c r="AK206" s="2925"/>
      <c r="AL206" s="2926"/>
      <c r="AM206" s="2927">
        <f t="shared" si="69"/>
        <v>0</v>
      </c>
      <c r="AN206" s="698" t="s">
        <v>936</v>
      </c>
      <c r="AO206" s="679"/>
      <c r="AQ206" s="2367">
        <f t="shared" si="70"/>
        <v>0</v>
      </c>
      <c r="AR206" s="2367">
        <f t="shared" si="71"/>
        <v>0</v>
      </c>
      <c r="AS206" s="123" t="str">
        <f t="shared" ref="AS206:AS253" si="72">IF(SIGN(AR206)&gt;=0,IF(AM206=0,"미사용 랙","적정함"),"사용초과")</f>
        <v>미사용 랙</v>
      </c>
      <c r="AT206" t="str">
        <f t="shared" si="66"/>
        <v/>
      </c>
      <c r="AU206" t="str">
        <f t="shared" si="67"/>
        <v/>
      </c>
      <c r="AZ206" s="123"/>
      <c r="BA206" s="123"/>
      <c r="BB206" s="123"/>
      <c r="BC206" s="3103"/>
      <c r="BD206" s="123"/>
      <c r="BE206" s="3104"/>
      <c r="BF206" s="3105"/>
      <c r="BG206" s="3112"/>
      <c r="BH206" s="3106"/>
      <c r="BI206" s="3107"/>
      <c r="BJ206" s="3108"/>
      <c r="BK206" s="3109"/>
      <c r="BL206" s="3110"/>
    </row>
    <row r="207" spans="1:64" ht="13.5" customHeight="1">
      <c r="A207" s="2961" t="s">
        <v>937</v>
      </c>
      <c r="B207" s="2601" t="s">
        <v>938</v>
      </c>
      <c r="C207" s="1065"/>
      <c r="D207" s="1059"/>
      <c r="E207" s="1059"/>
      <c r="F207" s="1059"/>
      <c r="G207" s="1065"/>
      <c r="H207" s="1973"/>
      <c r="I207" s="1974"/>
      <c r="J207" s="1973"/>
      <c r="K207" s="1974"/>
      <c r="L207" s="1975"/>
      <c r="M207" s="1956"/>
      <c r="N207" s="1066"/>
      <c r="O207" s="1957"/>
      <c r="P207" s="1976"/>
      <c r="Q207" s="1954"/>
      <c r="R207" s="957"/>
      <c r="S207" s="1887"/>
      <c r="T207" s="1066"/>
      <c r="U207" s="957"/>
      <c r="V207" s="1066"/>
      <c r="W207" s="957"/>
      <c r="X207" s="1066"/>
      <c r="Y207" s="957"/>
      <c r="Z207" s="1066"/>
      <c r="AA207" s="957"/>
      <c r="AB207" s="1066"/>
      <c r="AC207" s="957"/>
      <c r="AD207" s="1066"/>
      <c r="AE207" s="957"/>
      <c r="AF207" s="1066"/>
      <c r="AG207" s="957"/>
      <c r="AH207" s="1072"/>
      <c r="AI207" s="1073"/>
      <c r="AJ207" s="1321"/>
      <c r="AK207" s="2925"/>
      <c r="AL207" s="2926"/>
      <c r="AM207" s="2927">
        <f t="shared" si="69"/>
        <v>0</v>
      </c>
      <c r="AN207" s="1058"/>
      <c r="AO207" s="2618"/>
      <c r="AQ207" s="2367">
        <f t="shared" si="70"/>
        <v>0</v>
      </c>
      <c r="AR207" s="2367">
        <f t="shared" si="71"/>
        <v>0</v>
      </c>
      <c r="AS207" s="123" t="str">
        <f t="shared" si="72"/>
        <v>미사용 랙</v>
      </c>
      <c r="AT207" t="str">
        <f t="shared" si="66"/>
        <v/>
      </c>
      <c r="AU207" t="str">
        <f t="shared" si="67"/>
        <v/>
      </c>
      <c r="AZ207" s="123"/>
      <c r="BA207" s="123"/>
      <c r="BB207" s="123"/>
      <c r="BC207" s="3103"/>
      <c r="BD207" s="123"/>
      <c r="BE207" s="3104"/>
      <c r="BF207" s="3105"/>
      <c r="BG207" s="3112"/>
      <c r="BH207" s="3106"/>
      <c r="BI207" s="3107"/>
      <c r="BJ207" s="3108"/>
      <c r="BK207" s="3109"/>
      <c r="BL207" s="3110"/>
    </row>
    <row r="208" spans="1:64" ht="40.5" customHeight="1">
      <c r="A208" s="2955"/>
      <c r="B208" s="3280" t="s">
        <v>939</v>
      </c>
      <c r="C208" s="3290" t="s">
        <v>940</v>
      </c>
      <c r="D208" s="3280" t="s">
        <v>9260</v>
      </c>
      <c r="E208" s="2595"/>
      <c r="F208" s="2595" t="s">
        <v>27</v>
      </c>
      <c r="G208" s="2595"/>
      <c r="H208" s="1977"/>
      <c r="I208" s="1870" t="s">
        <v>9079</v>
      </c>
      <c r="J208" s="1831" t="str">
        <f>"7-DaHall 1-"&amp;R208&amp;"-"&amp;Q208&amp;"-"&amp;S208</f>
        <v>7-DaHall 1-RPP-01-20-11</v>
      </c>
      <c r="K208" s="1986"/>
      <c r="L208" s="1978"/>
      <c r="M208" s="1979"/>
      <c r="N208" s="899"/>
      <c r="O208" s="1980"/>
      <c r="P208" s="1871">
        <v>220</v>
      </c>
      <c r="Q208" s="1834">
        <v>20</v>
      </c>
      <c r="R208" s="703" t="s">
        <v>8775</v>
      </c>
      <c r="S208" s="1835">
        <v>11</v>
      </c>
      <c r="T208" s="899"/>
      <c r="U208" s="703" t="s">
        <v>941</v>
      </c>
      <c r="V208" s="733"/>
      <c r="W208" s="2626" t="s">
        <v>942</v>
      </c>
      <c r="X208" s="733"/>
      <c r="Y208" s="2152" t="s">
        <v>450</v>
      </c>
      <c r="Z208" s="733"/>
      <c r="AA208" s="2152" t="s">
        <v>451</v>
      </c>
      <c r="AB208" s="733"/>
      <c r="AC208" s="2152" t="s">
        <v>452</v>
      </c>
      <c r="AD208" s="733"/>
      <c r="AE208" s="2152" t="s">
        <v>30</v>
      </c>
      <c r="AF208" s="897"/>
      <c r="AG208" s="2152" t="s">
        <v>31</v>
      </c>
      <c r="AH208" s="1056">
        <f>SUM('7층_부하량(월간_AVG)'!D11:F11)</f>
        <v>0</v>
      </c>
      <c r="AI208" s="931"/>
      <c r="AJ208" s="3299">
        <f>SUM(AI208:AI209)</f>
        <v>3.4619542577925428</v>
      </c>
      <c r="AK208" s="2913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0</v>
      </c>
      <c r="AL208" s="2914"/>
      <c r="AM208" s="2921">
        <f t="shared" si="69"/>
        <v>0</v>
      </c>
      <c r="AN208" s="2963" t="s">
        <v>919</v>
      </c>
      <c r="AO208" s="972" t="s">
        <v>9080</v>
      </c>
      <c r="AQ208" s="2367">
        <f t="shared" si="70"/>
        <v>0</v>
      </c>
      <c r="AR208" s="2367">
        <f t="shared" si="71"/>
        <v>0</v>
      </c>
      <c r="AS208" s="123" t="str">
        <f>IF(SIGN(AR208)&gt;=0,IF(AM208=0,"무부하 랙","적정함"),"사용초과")</f>
        <v>무부하 랙</v>
      </c>
      <c r="AT208" t="str">
        <f t="shared" si="66"/>
        <v/>
      </c>
      <c r="AU208" t="str">
        <f t="shared" si="67"/>
        <v/>
      </c>
      <c r="AZ208" s="123"/>
      <c r="BA208" s="123"/>
      <c r="BB208" s="123"/>
      <c r="BC208" s="3103"/>
      <c r="BD208" s="123"/>
      <c r="BE208" s="3104"/>
      <c r="BF208" s="3105"/>
      <c r="BG208" s="3112"/>
      <c r="BH208" s="3106"/>
      <c r="BI208" s="3107"/>
      <c r="BJ208" s="3108"/>
      <c r="BK208" s="3109"/>
      <c r="BL208" s="3110"/>
    </row>
    <row r="209" spans="1:64" ht="48" customHeight="1">
      <c r="A209" s="2955"/>
      <c r="B209" s="3280"/>
      <c r="C209" s="3290"/>
      <c r="D209" s="3280"/>
      <c r="E209" s="3063">
        <v>2.2000000000000002</v>
      </c>
      <c r="F209" s="2595" t="s">
        <v>27</v>
      </c>
      <c r="G209" s="2595"/>
      <c r="H209" s="1872" t="s">
        <v>9081</v>
      </c>
      <c r="I209" s="1870" t="s">
        <v>9082</v>
      </c>
      <c r="J209" s="1831" t="str">
        <f>"7-DaHall 1-"&amp;R209&amp;"-"&amp;Q209&amp;"-"&amp;S209</f>
        <v>7-DaHall 1-RPP-01-30-38</v>
      </c>
      <c r="K209" s="1839" t="str">
        <f>"7-DaHall 1-"&amp;N209&amp;"-"&amp;M209&amp;"-"&amp;O209</f>
        <v>7-DaHall 1-RPP-02-30-32</v>
      </c>
      <c r="L209" s="1873">
        <v>220</v>
      </c>
      <c r="M209" s="1841">
        <v>30</v>
      </c>
      <c r="N209" s="687" t="s">
        <v>8776</v>
      </c>
      <c r="O209" s="1842">
        <v>32</v>
      </c>
      <c r="P209" s="1871">
        <v>220</v>
      </c>
      <c r="Q209" s="1834">
        <v>30</v>
      </c>
      <c r="R209" s="703" t="s">
        <v>8775</v>
      </c>
      <c r="S209" s="1835">
        <v>38</v>
      </c>
      <c r="T209" s="687" t="s">
        <v>943</v>
      </c>
      <c r="U209" s="703" t="s">
        <v>944</v>
      </c>
      <c r="V209" s="2609" t="s">
        <v>945</v>
      </c>
      <c r="W209" s="2626" t="s">
        <v>946</v>
      </c>
      <c r="X209" s="904" t="s">
        <v>460</v>
      </c>
      <c r="Y209" s="2152" t="s">
        <v>450</v>
      </c>
      <c r="Z209" s="904" t="s">
        <v>461</v>
      </c>
      <c r="AA209" s="2152" t="s">
        <v>451</v>
      </c>
      <c r="AB209" s="904" t="s">
        <v>519</v>
      </c>
      <c r="AC209" s="2152" t="s">
        <v>452</v>
      </c>
      <c r="AD209" s="904" t="s">
        <v>35</v>
      </c>
      <c r="AE209" s="2152" t="s">
        <v>30</v>
      </c>
      <c r="AF209" s="904" t="s">
        <v>36</v>
      </c>
      <c r="AG209" s="2152" t="s">
        <v>31</v>
      </c>
      <c r="AH209" s="1056">
        <f>SUM('7층_부하량(월간_AVG)'!N24:P24)</f>
        <v>2.1579311651095039</v>
      </c>
      <c r="AI209" s="902">
        <f>SUM('7층_부하량(월간_AVG)'!N110:P110)</f>
        <v>3.4619542577925428</v>
      </c>
      <c r="AJ209" s="3300"/>
      <c r="AK209" s="2913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317.3</v>
      </c>
      <c r="AL209" s="2914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543.29999999999995</v>
      </c>
      <c r="AM209" s="2921">
        <f t="shared" si="69"/>
        <v>860.59999999999991</v>
      </c>
      <c r="AN209" s="2964"/>
      <c r="AO209" s="2631"/>
      <c r="AQ209" s="2367">
        <f t="shared" si="70"/>
        <v>1.1567204301075267</v>
      </c>
      <c r="AR209" s="2367">
        <f t="shared" si="71"/>
        <v>1.0432795698924735</v>
      </c>
      <c r="AS209" s="123" t="str">
        <f>IF(SIGN(AR209)&gt;=0,IF(AM209=0,"무부하 랙","적정함"),"사용초과")</f>
        <v>적정함</v>
      </c>
      <c r="AT209" t="str">
        <f t="shared" si="66"/>
        <v/>
      </c>
      <c r="AU209" t="str">
        <f t="shared" si="67"/>
        <v/>
      </c>
      <c r="AZ209" s="123"/>
      <c r="BA209" s="123"/>
      <c r="BB209" s="123"/>
      <c r="BC209" s="3103"/>
      <c r="BD209" s="123"/>
      <c r="BE209" s="3104"/>
      <c r="BF209" s="3105"/>
      <c r="BG209" s="3112"/>
      <c r="BH209" s="3106"/>
      <c r="BI209" s="3107"/>
      <c r="BJ209" s="3108"/>
      <c r="BK209" s="3109"/>
      <c r="BL209" s="3110"/>
    </row>
    <row r="210" spans="1:64" ht="27" customHeight="1">
      <c r="A210" s="2955"/>
      <c r="B210" s="2595" t="s">
        <v>947</v>
      </c>
      <c r="C210" s="2597" t="s">
        <v>948</v>
      </c>
      <c r="D210" s="2597"/>
      <c r="E210" s="3062"/>
      <c r="F210" s="2595" t="s">
        <v>27</v>
      </c>
      <c r="G210" s="2595"/>
      <c r="H210" s="1951" t="s">
        <v>9083</v>
      </c>
      <c r="I210" s="1857" t="s">
        <v>9084</v>
      </c>
      <c r="J210" s="1831" t="str">
        <f>"7-DaHall 1-"&amp;R210&amp;"-"&amp;Q210&amp;"-"&amp;S210</f>
        <v>7-DaHall 1-RPP-01-30-34</v>
      </c>
      <c r="K210" s="1839" t="str">
        <f>"7-DaHall 1-"&amp;N210&amp;"-"&amp;M210&amp;"-"&amp;O210</f>
        <v>7-DaHall 1-RPP-02-30-28</v>
      </c>
      <c r="L210" s="1952">
        <v>220</v>
      </c>
      <c r="M210" s="1851">
        <v>30</v>
      </c>
      <c r="N210" s="953" t="s">
        <v>8776</v>
      </c>
      <c r="O210" s="1852">
        <v>28</v>
      </c>
      <c r="P210" s="1858">
        <v>220</v>
      </c>
      <c r="Q210" s="1848">
        <v>30</v>
      </c>
      <c r="R210" s="897" t="s">
        <v>8775</v>
      </c>
      <c r="S210" s="1849">
        <v>34</v>
      </c>
      <c r="T210" s="953" t="s">
        <v>949</v>
      </c>
      <c r="U210" s="897" t="s">
        <v>950</v>
      </c>
      <c r="V210" s="917" t="s">
        <v>951</v>
      </c>
      <c r="W210" s="916" t="s">
        <v>905</v>
      </c>
      <c r="X210" s="904" t="s">
        <v>460</v>
      </c>
      <c r="Y210" s="2152" t="s">
        <v>450</v>
      </c>
      <c r="Z210" s="904" t="s">
        <v>461</v>
      </c>
      <c r="AA210" s="2152" t="s">
        <v>451</v>
      </c>
      <c r="AB210" s="904" t="s">
        <v>519</v>
      </c>
      <c r="AC210" s="2152" t="s">
        <v>452</v>
      </c>
      <c r="AD210" s="904" t="s">
        <v>35</v>
      </c>
      <c r="AE210" s="2152" t="s">
        <v>30</v>
      </c>
      <c r="AF210" s="904" t="s">
        <v>36</v>
      </c>
      <c r="AG210" s="2152" t="s">
        <v>31</v>
      </c>
      <c r="AH210" s="1056">
        <f>SUM('7층_부하량(월간_AVG)'!N22:P22)</f>
        <v>0</v>
      </c>
      <c r="AI210" s="902">
        <f>SUM('7층_부하량(월간_AVG)'!N108:P108)</f>
        <v>0</v>
      </c>
      <c r="AJ210" s="1301">
        <f>AI210+AH210</f>
        <v>0</v>
      </c>
      <c r="AK210" s="2913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0</v>
      </c>
      <c r="AL210" s="2914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0</v>
      </c>
      <c r="AM210" s="2927">
        <f t="shared" si="69"/>
        <v>0</v>
      </c>
      <c r="AN210" s="2625" t="s">
        <v>952</v>
      </c>
      <c r="AO210" s="2631"/>
      <c r="AQ210" s="2367">
        <f t="shared" si="70"/>
        <v>0</v>
      </c>
      <c r="AR210" s="2367">
        <f t="shared" si="71"/>
        <v>0</v>
      </c>
      <c r="AS210" s="123" t="str">
        <f>IF(SIGN(AR210)&gt;=0,IF(AM210=0,"무부하 랙","적정함"),"사용초과")</f>
        <v>무부하 랙</v>
      </c>
      <c r="AT210" t="str">
        <f t="shared" si="66"/>
        <v/>
      </c>
      <c r="AU210" t="str">
        <f t="shared" si="67"/>
        <v/>
      </c>
      <c r="AZ210" s="123"/>
      <c r="BA210" s="123"/>
      <c r="BB210" s="123"/>
      <c r="BC210" s="3103"/>
      <c r="BD210" s="123"/>
      <c r="BE210" s="3104"/>
      <c r="BF210" s="3105"/>
      <c r="BG210" s="3112"/>
      <c r="BH210" s="3106"/>
      <c r="BI210" s="3107"/>
      <c r="BJ210" s="3108"/>
      <c r="BK210" s="3109"/>
      <c r="BL210" s="3110"/>
    </row>
    <row r="211" spans="1:64" ht="40.049999999999997" customHeight="1">
      <c r="A211" s="2955"/>
      <c r="B211" s="3280" t="s">
        <v>953</v>
      </c>
      <c r="C211" s="3290" t="s">
        <v>954</v>
      </c>
      <c r="D211" s="3280" t="s">
        <v>9261</v>
      </c>
      <c r="E211" s="3062">
        <v>1.1000000000000001</v>
      </c>
      <c r="F211" s="3280" t="s">
        <v>773</v>
      </c>
      <c r="G211" s="2595"/>
      <c r="H211" s="1831" t="s">
        <v>9085</v>
      </c>
      <c r="I211" s="1839" t="s">
        <v>9086</v>
      </c>
      <c r="J211" s="1831" t="str">
        <f>"7-DaHall 1-"&amp;N211&amp;"-"&amp;M211&amp;"-"&amp;O211</f>
        <v>7-DaHall 1-PDU-01-30-6</v>
      </c>
      <c r="K211" s="1839" t="str">
        <f t="shared" ref="K211:K214" si="73">"7-DaHall 1-"&amp;R211&amp;"-"&amp;Q211&amp;"-"&amp;S211</f>
        <v>7-DaHall 1-PDU-02-30-6</v>
      </c>
      <c r="L211" s="1833">
        <v>220</v>
      </c>
      <c r="M211" s="1834">
        <v>30</v>
      </c>
      <c r="N211" s="703" t="s">
        <v>8749</v>
      </c>
      <c r="O211" s="1835">
        <v>6</v>
      </c>
      <c r="P211" s="1840">
        <v>220</v>
      </c>
      <c r="Q211" s="1841">
        <v>30</v>
      </c>
      <c r="R211" s="687" t="s">
        <v>8750</v>
      </c>
      <c r="S211" s="1842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965" t="s">
        <v>164</v>
      </c>
      <c r="AC211" s="1051" t="s">
        <v>165</v>
      </c>
      <c r="AD211" s="2965" t="s">
        <v>110</v>
      </c>
      <c r="AE211" s="904" t="s">
        <v>111</v>
      </c>
      <c r="AF211" s="2152" t="s">
        <v>31</v>
      </c>
      <c r="AG211" s="904" t="s">
        <v>36</v>
      </c>
      <c r="AH211" s="681">
        <f>SUM('7층_부하량(월간_AVG)'!N65:P65)</f>
        <v>0</v>
      </c>
      <c r="AI211" s="1055">
        <f>SUM('7층_부하량(월간_AVG)'!N33:P33)</f>
        <v>0</v>
      </c>
      <c r="AJ211" s="3278">
        <f>AH211+AI211+AH212+AI212</f>
        <v>0.57037361153724486</v>
      </c>
      <c r="AK211" s="2913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0</v>
      </c>
      <c r="AL211" s="2914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0</v>
      </c>
      <c r="AM211" s="2921">
        <f t="shared" si="69"/>
        <v>0</v>
      </c>
      <c r="AN211" s="2230" t="s">
        <v>884</v>
      </c>
      <c r="AO211" s="972" t="s">
        <v>9087</v>
      </c>
      <c r="AQ211" s="2367">
        <f t="shared" si="70"/>
        <v>0</v>
      </c>
      <c r="AR211" s="2367">
        <f t="shared" si="71"/>
        <v>1.1000000000000001</v>
      </c>
      <c r="AS211" s="123" t="str">
        <f>IF(SIGN(AR211)&gt;=0,IF(AM211=0,"무부하 랙","적정함"),"사용초과")</f>
        <v>무부하 랙</v>
      </c>
      <c r="AT211" t="str">
        <f t="shared" si="66"/>
        <v/>
      </c>
      <c r="AU211" t="str">
        <f t="shared" si="67"/>
        <v/>
      </c>
      <c r="AZ211" s="123"/>
      <c r="BA211" s="123"/>
      <c r="BB211" s="123"/>
      <c r="BC211" s="3103"/>
      <c r="BD211" s="123"/>
      <c r="BE211" s="3104"/>
      <c r="BF211" s="3105"/>
      <c r="BG211" s="3112"/>
      <c r="BH211" s="3106"/>
      <c r="BI211" s="3107"/>
      <c r="BJ211" s="3108"/>
      <c r="BK211" s="3109"/>
      <c r="BL211" s="3110"/>
    </row>
    <row r="212" spans="1:64" ht="40.5" customHeight="1">
      <c r="A212" s="2955"/>
      <c r="B212" s="3280"/>
      <c r="C212" s="3290"/>
      <c r="D212" s="3292"/>
      <c r="E212" s="2597"/>
      <c r="F212" s="3280"/>
      <c r="G212" s="2595"/>
      <c r="H212" s="1831" t="s">
        <v>9088</v>
      </c>
      <c r="I212" s="1839" t="s">
        <v>9089</v>
      </c>
      <c r="J212" s="1831" t="str">
        <f>"7-DaHall 1-"&amp;N212&amp;"-"&amp;M212&amp;"-"&amp;O212</f>
        <v>7-DaHall 1-PDU-01-30-54</v>
      </c>
      <c r="K212" s="1839" t="str">
        <f t="shared" si="73"/>
        <v>7-DaHall 1-PDU-02-30-53</v>
      </c>
      <c r="L212" s="1833">
        <v>220</v>
      </c>
      <c r="M212" s="1834">
        <v>30</v>
      </c>
      <c r="N212" s="703" t="s">
        <v>8749</v>
      </c>
      <c r="O212" s="1835">
        <v>54</v>
      </c>
      <c r="P212" s="1840">
        <v>220</v>
      </c>
      <c r="Q212" s="1841">
        <v>30</v>
      </c>
      <c r="R212" s="687" t="s">
        <v>8750</v>
      </c>
      <c r="S212" s="1842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965" t="s">
        <v>164</v>
      </c>
      <c r="AC212" s="1051" t="s">
        <v>165</v>
      </c>
      <c r="AD212" s="2965" t="s">
        <v>110</v>
      </c>
      <c r="AE212" s="904" t="s">
        <v>111</v>
      </c>
      <c r="AF212" s="2152" t="s">
        <v>31</v>
      </c>
      <c r="AG212" s="904" t="s">
        <v>36</v>
      </c>
      <c r="AH212" s="681">
        <f>SUM('7층_부하량(월간_AVG)'!N89:P89)</f>
        <v>0.34010955017173905</v>
      </c>
      <c r="AI212" s="1055">
        <f>SUM('7층_부하량(월간_AVG)'!D57:F57)</f>
        <v>0.23026406136550578</v>
      </c>
      <c r="AJ212" s="3279"/>
      <c r="AK212" s="2943"/>
      <c r="AL212" s="2944"/>
      <c r="AM212" s="2921">
        <f t="shared" si="69"/>
        <v>0</v>
      </c>
      <c r="AN212" s="2625"/>
      <c r="AO212" s="2631"/>
      <c r="AQ212" s="2367">
        <f t="shared" si="70"/>
        <v>0</v>
      </c>
      <c r="AR212" s="2367">
        <f t="shared" si="71"/>
        <v>0</v>
      </c>
      <c r="AS212" s="123" t="str">
        <f t="shared" si="72"/>
        <v>미사용 랙</v>
      </c>
      <c r="AT212" t="str">
        <f t="shared" si="66"/>
        <v/>
      </c>
      <c r="AU212" t="str">
        <f t="shared" si="67"/>
        <v/>
      </c>
      <c r="AZ212" s="123"/>
      <c r="BA212" s="123"/>
      <c r="BB212" s="123"/>
      <c r="BC212" s="3103"/>
      <c r="BD212" s="123"/>
      <c r="BE212" s="3104"/>
      <c r="BF212" s="3105"/>
      <c r="BG212" s="3112"/>
      <c r="BH212" s="3106"/>
      <c r="BI212" s="3107"/>
      <c r="BJ212" s="3108"/>
      <c r="BK212" s="3109"/>
      <c r="BL212" s="3110"/>
    </row>
    <row r="213" spans="1:64" ht="40.049999999999997" customHeight="1">
      <c r="A213" s="2955"/>
      <c r="B213" s="2595" t="s">
        <v>959</v>
      </c>
      <c r="C213" s="2596" t="s">
        <v>960</v>
      </c>
      <c r="D213" s="2595" t="s">
        <v>9261</v>
      </c>
      <c r="E213" s="3062">
        <v>1.1000000000000001</v>
      </c>
      <c r="F213" s="2595" t="s">
        <v>27</v>
      </c>
      <c r="G213" s="2595"/>
      <c r="H213" s="1831" t="s">
        <v>9090</v>
      </c>
      <c r="I213" s="1839" t="s">
        <v>9091</v>
      </c>
      <c r="J213" s="1831" t="str">
        <f>"7-DaHall 1-"&amp;N213&amp;"-"&amp;M213&amp;"-"&amp;O213</f>
        <v>7-DaHall 1-RPP-03-50-2</v>
      </c>
      <c r="K213" s="1839" t="str">
        <f t="shared" si="73"/>
        <v>7-DaHall 1-RPP-04-50-2</v>
      </c>
      <c r="L213" s="1833">
        <v>220</v>
      </c>
      <c r="M213" s="1834">
        <v>50</v>
      </c>
      <c r="N213" s="703" t="s">
        <v>9092</v>
      </c>
      <c r="O213" s="1835">
        <v>2</v>
      </c>
      <c r="P213" s="1840">
        <v>220</v>
      </c>
      <c r="Q213" s="1841">
        <v>50</v>
      </c>
      <c r="R213" s="687" t="s">
        <v>9093</v>
      </c>
      <c r="S213" s="1842">
        <v>2</v>
      </c>
      <c r="T213" s="703" t="s">
        <v>961</v>
      </c>
      <c r="U213" s="687" t="s">
        <v>962</v>
      </c>
      <c r="V213" s="2626" t="s">
        <v>963</v>
      </c>
      <c r="W213" s="2609" t="s">
        <v>964</v>
      </c>
      <c r="X213" s="2626" t="s">
        <v>965</v>
      </c>
      <c r="Y213" s="2609" t="s">
        <v>966</v>
      </c>
      <c r="Z213" s="2626" t="s">
        <v>967</v>
      </c>
      <c r="AA213" s="2609" t="s">
        <v>968</v>
      </c>
      <c r="AB213" s="2626" t="s">
        <v>51</v>
      </c>
      <c r="AC213" s="904" t="s">
        <v>462</v>
      </c>
      <c r="AD213" s="2626" t="s">
        <v>30</v>
      </c>
      <c r="AE213" s="904" t="s">
        <v>35</v>
      </c>
      <c r="AF213" s="2152" t="s">
        <v>31</v>
      </c>
      <c r="AG213" s="904" t="s">
        <v>36</v>
      </c>
      <c r="AH213" s="681">
        <f>SUM('7층_부하량(월간_AVG)'!N120:P120)</f>
        <v>1.0315129914177468</v>
      </c>
      <c r="AI213" s="1055">
        <f>SUM('7층_부하량(월간_AVG)'!N128:P128)</f>
        <v>1.6537366638268731</v>
      </c>
      <c r="AJ213" s="1301">
        <f>AH213+AI213</f>
        <v>2.6852496552446201</v>
      </c>
      <c r="AK213" s="2913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151.30000000000001</v>
      </c>
      <c r="AL213" s="2914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243.5</v>
      </c>
      <c r="AM213" s="2921">
        <f t="shared" si="69"/>
        <v>394.8</v>
      </c>
      <c r="AN213" s="2625" t="s">
        <v>969</v>
      </c>
      <c r="AO213" s="2631"/>
      <c r="AQ213" s="2367">
        <f t="shared" si="70"/>
        <v>0.53064516129032258</v>
      </c>
      <c r="AR213" s="2367">
        <f t="shared" si="71"/>
        <v>0.56935483870967751</v>
      </c>
      <c r="AS213" s="123" t="str">
        <f>IF(SIGN(AR213)&gt;=0,IF(AM213=0,"무부하 랙","적정함"),"사용초과")</f>
        <v>적정함</v>
      </c>
      <c r="AT213" t="str">
        <f t="shared" si="66"/>
        <v/>
      </c>
      <c r="AU213" t="str">
        <f t="shared" si="67"/>
        <v/>
      </c>
      <c r="AZ213" s="123"/>
      <c r="BA213" s="123"/>
      <c r="BB213" s="123"/>
      <c r="BC213" s="3103"/>
      <c r="BD213" s="123"/>
      <c r="BE213" s="3104"/>
      <c r="BF213" s="3105"/>
      <c r="BG213" s="3112"/>
      <c r="BH213" s="3106"/>
      <c r="BI213" s="3107"/>
      <c r="BJ213" s="3108"/>
      <c r="BK213" s="3109"/>
      <c r="BL213" s="3110"/>
    </row>
    <row r="214" spans="1:64" ht="62.4">
      <c r="A214" s="2955"/>
      <c r="B214" s="2595" t="s">
        <v>970</v>
      </c>
      <c r="C214" s="2596" t="s">
        <v>971</v>
      </c>
      <c r="D214" s="2595" t="s">
        <v>9262</v>
      </c>
      <c r="E214" s="3062">
        <v>2.2000000000000002</v>
      </c>
      <c r="F214" s="2595" t="s">
        <v>27</v>
      </c>
      <c r="G214" s="2595"/>
      <c r="H214" s="1845"/>
      <c r="I214" s="1839" t="s">
        <v>9094</v>
      </c>
      <c r="J214" s="1845"/>
      <c r="K214" s="1839" t="str">
        <f t="shared" si="73"/>
        <v>7-DaHall 1-RPP-02-30-14</v>
      </c>
      <c r="L214" s="1847"/>
      <c r="M214" s="1848"/>
      <c r="N214" s="897"/>
      <c r="O214" s="1849"/>
      <c r="P214" s="1840">
        <v>220</v>
      </c>
      <c r="Q214" s="1841">
        <v>30</v>
      </c>
      <c r="R214" s="687" t="s">
        <v>8776</v>
      </c>
      <c r="S214" s="1842">
        <v>14</v>
      </c>
      <c r="T214" s="897"/>
      <c r="U214" s="687" t="s">
        <v>972</v>
      </c>
      <c r="V214" s="897"/>
      <c r="W214" s="2609" t="s">
        <v>973</v>
      </c>
      <c r="X214" s="897"/>
      <c r="Y214" s="2609" t="s">
        <v>460</v>
      </c>
      <c r="Z214" s="897"/>
      <c r="AA214" s="2609" t="s">
        <v>461</v>
      </c>
      <c r="AB214" s="897"/>
      <c r="AC214" s="904" t="s">
        <v>462</v>
      </c>
      <c r="AD214" s="897"/>
      <c r="AE214" s="904" t="s">
        <v>35</v>
      </c>
      <c r="AF214" s="897"/>
      <c r="AG214" s="904" t="s">
        <v>36</v>
      </c>
      <c r="AH214" s="926"/>
      <c r="AI214" s="1055">
        <f>SUM('7층_부하량(월간_AVG)'!N101:P101)</f>
        <v>14.516444444932365</v>
      </c>
      <c r="AJ214" s="1301">
        <f>AH214+AI214</f>
        <v>14.516444444932365</v>
      </c>
      <c r="AK214" s="2913"/>
      <c r="AL214" s="2914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2271.5</v>
      </c>
      <c r="AM214" s="2921">
        <f t="shared" si="69"/>
        <v>2271.5</v>
      </c>
      <c r="AN214" s="2625" t="s">
        <v>974</v>
      </c>
      <c r="AO214" s="2631"/>
      <c r="AQ214" s="2367">
        <f t="shared" si="70"/>
        <v>3.0530913978494625</v>
      </c>
      <c r="AR214" s="2367">
        <f t="shared" si="71"/>
        <v>-0.85309139784946231</v>
      </c>
      <c r="AS214" s="123" t="str">
        <f>IF(SIGN(AR214)&gt;=0,IF(AM214=0,"무부하 랙","적정함"),"사용초과")</f>
        <v>사용초과</v>
      </c>
      <c r="AT214" t="str">
        <f t="shared" si="66"/>
        <v>UNSYS Co., Ltd.</v>
      </c>
      <c r="AU214" t="str">
        <f t="shared" si="67"/>
        <v>C806</v>
      </c>
      <c r="AZ214" s="123"/>
      <c r="BA214" s="123"/>
      <c r="BB214" s="123"/>
      <c r="BC214" s="3103"/>
      <c r="BD214" s="123"/>
      <c r="BE214" s="3104"/>
      <c r="BF214" s="3105"/>
      <c r="BG214" s="3112"/>
      <c r="BH214" s="3106"/>
      <c r="BI214" s="3107"/>
      <c r="BJ214" s="3108"/>
      <c r="BK214" s="3109"/>
      <c r="BL214" s="3110"/>
    </row>
    <row r="215" spans="1:64" ht="37.5" customHeight="1">
      <c r="A215" s="2955"/>
      <c r="B215" s="2595" t="s">
        <v>975</v>
      </c>
      <c r="C215" s="2597" t="s">
        <v>976</v>
      </c>
      <c r="D215" s="942"/>
      <c r="E215" s="3062"/>
      <c r="F215" s="2595" t="s">
        <v>27</v>
      </c>
      <c r="G215" s="2595"/>
      <c r="H215" s="3285"/>
      <c r="I215" s="3286"/>
      <c r="J215" s="3266"/>
      <c r="K215" s="3267"/>
      <c r="L215" s="1981"/>
      <c r="M215" s="1982"/>
      <c r="N215" s="1983"/>
      <c r="O215" s="1984"/>
      <c r="P215" s="1985"/>
      <c r="Q215" s="1982"/>
      <c r="R215" s="1983"/>
      <c r="S215" s="1984"/>
      <c r="T215" s="3287" t="s">
        <v>977</v>
      </c>
      <c r="U215" s="3288"/>
      <c r="V215" s="1179"/>
      <c r="W215" s="1179"/>
      <c r="X215" s="1179"/>
      <c r="Y215" s="1179"/>
      <c r="Z215" s="1179"/>
      <c r="AA215" s="1179"/>
      <c r="AB215" s="1179"/>
      <c r="AC215" s="1179"/>
      <c r="AD215" s="1179"/>
      <c r="AE215" s="1179"/>
      <c r="AF215" s="1180"/>
      <c r="AG215" s="1180"/>
      <c r="AH215" s="681"/>
      <c r="AI215" s="1055"/>
      <c r="AJ215" s="1301">
        <f>AH215+AI215</f>
        <v>0</v>
      </c>
      <c r="AK215" s="2913"/>
      <c r="AL215" s="2914"/>
      <c r="AM215" s="2927">
        <f t="shared" si="69"/>
        <v>0</v>
      </c>
      <c r="AN215" s="2625" t="s">
        <v>936</v>
      </c>
      <c r="AO215" s="689" t="s">
        <v>978</v>
      </c>
      <c r="AQ215" s="2367">
        <f t="shared" si="70"/>
        <v>0</v>
      </c>
      <c r="AR215" s="2367">
        <f t="shared" si="71"/>
        <v>0</v>
      </c>
      <c r="AS215" s="123" t="str">
        <f>IF(SIGN(AR215)&gt;=0,IF(AM215=0,"무부하 랙","적정함"),"사용초과")</f>
        <v>무부하 랙</v>
      </c>
      <c r="AT215" t="str">
        <f t="shared" si="66"/>
        <v/>
      </c>
      <c r="AU215" t="str">
        <f t="shared" si="67"/>
        <v/>
      </c>
      <c r="AZ215" s="123"/>
      <c r="BA215" s="123"/>
      <c r="BB215" s="123"/>
      <c r="BC215" s="3103"/>
      <c r="BD215" s="123"/>
      <c r="BE215" s="3104"/>
      <c r="BF215" s="3105"/>
      <c r="BG215" s="3112"/>
      <c r="BH215" s="3106"/>
      <c r="BI215" s="3107"/>
      <c r="BJ215" s="3108"/>
      <c r="BK215" s="3109"/>
      <c r="BL215" s="3110"/>
    </row>
    <row r="216" spans="1:64" ht="46.8">
      <c r="A216" s="2955"/>
      <c r="B216" s="2595" t="s">
        <v>979</v>
      </c>
      <c r="C216" s="2597" t="s">
        <v>980</v>
      </c>
      <c r="D216" s="2597"/>
      <c r="E216" s="3062"/>
      <c r="F216" s="2595" t="s">
        <v>27</v>
      </c>
      <c r="G216" s="2595"/>
      <c r="H216" s="1845" t="s">
        <v>9095</v>
      </c>
      <c r="I216" s="1846" t="s">
        <v>9096</v>
      </c>
      <c r="J216" s="1831" t="str">
        <f>"7-DaHall 1-"&amp;N216&amp;"-"&amp;M216&amp;"-"&amp;O216</f>
        <v>7-DaHall 1-PDU-01-30-4</v>
      </c>
      <c r="K216" s="1839" t="str">
        <f>"7-DaHall 1-"&amp;R216&amp;"-"&amp;Q216&amp;"-"&amp;S216</f>
        <v>7-DaHall 1-PDU-02-30-4</v>
      </c>
      <c r="L216" s="1847">
        <v>220</v>
      </c>
      <c r="M216" s="1848">
        <v>30</v>
      </c>
      <c r="N216" s="897" t="s">
        <v>8749</v>
      </c>
      <c r="O216" s="1849">
        <v>4</v>
      </c>
      <c r="P216" s="1850">
        <v>220</v>
      </c>
      <c r="Q216" s="1851">
        <v>30</v>
      </c>
      <c r="R216" s="953" t="s">
        <v>8750</v>
      </c>
      <c r="S216" s="1852">
        <v>4</v>
      </c>
      <c r="T216" s="897" t="s">
        <v>981</v>
      </c>
      <c r="U216" s="953" t="s">
        <v>982</v>
      </c>
      <c r="V216" s="733"/>
      <c r="W216" s="733"/>
      <c r="X216" s="733"/>
      <c r="Y216" s="733"/>
      <c r="Z216" s="733"/>
      <c r="AA216" s="733"/>
      <c r="AB216" s="916" t="s">
        <v>983</v>
      </c>
      <c r="AC216" s="917" t="s">
        <v>165</v>
      </c>
      <c r="AD216" s="916" t="s">
        <v>110</v>
      </c>
      <c r="AE216" s="917" t="s">
        <v>111</v>
      </c>
      <c r="AF216" s="916" t="s">
        <v>31</v>
      </c>
      <c r="AG216" s="917" t="s">
        <v>36</v>
      </c>
      <c r="AH216" s="681">
        <f>SUM('7층_부하량(월간_AVG)'!N64:P64)</f>
        <v>0</v>
      </c>
      <c r="AI216" s="1055">
        <f>SUM('7층_부하량(월간_AVG)'!N32:P32)</f>
        <v>0</v>
      </c>
      <c r="AJ216" s="1301">
        <f t="shared" ref="AJ216" si="74">AH216+AI216</f>
        <v>0</v>
      </c>
      <c r="AK216" s="2913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0</v>
      </c>
      <c r="AL216" s="2914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0</v>
      </c>
      <c r="AM216" s="2927">
        <f t="shared" si="69"/>
        <v>0</v>
      </c>
      <c r="AN216" s="2625" t="s">
        <v>844</v>
      </c>
      <c r="AO216" s="2631"/>
      <c r="AQ216" s="2367">
        <f t="shared" si="70"/>
        <v>0</v>
      </c>
      <c r="AR216" s="2367">
        <f t="shared" si="71"/>
        <v>0</v>
      </c>
      <c r="AS216" s="123" t="str">
        <f>IF(SIGN(AR216)&gt;=0,IF(AM216=0,"무부하 랙","적정함"),"사용초과")</f>
        <v>무부하 랙</v>
      </c>
      <c r="AT216" t="str">
        <f t="shared" si="66"/>
        <v/>
      </c>
      <c r="AU216" t="str">
        <f t="shared" si="67"/>
        <v/>
      </c>
      <c r="AZ216" s="123"/>
      <c r="BA216" s="123"/>
      <c r="BB216" s="123"/>
      <c r="BC216" s="3103"/>
      <c r="BD216" s="123"/>
      <c r="BE216" s="3104"/>
      <c r="BF216" s="3105"/>
      <c r="BG216" s="3112"/>
      <c r="BH216" s="3106"/>
      <c r="BI216" s="3107"/>
      <c r="BJ216" s="3108"/>
      <c r="BK216" s="3109"/>
      <c r="BL216" s="3110"/>
    </row>
    <row r="217" spans="1:64" ht="13.5" customHeight="1">
      <c r="A217" s="2955"/>
      <c r="B217" s="2595"/>
      <c r="C217" s="2597" t="s">
        <v>984</v>
      </c>
      <c r="D217" s="2595"/>
      <c r="E217" s="2595"/>
      <c r="F217" s="2595"/>
      <c r="G217" s="2595"/>
      <c r="H217" s="1977"/>
      <c r="I217" s="1986"/>
      <c r="J217" s="1977"/>
      <c r="K217" s="1986"/>
      <c r="L217" s="1978"/>
      <c r="M217" s="1979"/>
      <c r="N217" s="899"/>
      <c r="O217" s="1980"/>
      <c r="P217" s="1987"/>
      <c r="Q217" s="1979"/>
      <c r="R217" s="899"/>
      <c r="S217" s="1980"/>
      <c r="T217" s="899"/>
      <c r="U217" s="899"/>
      <c r="V217" s="899"/>
      <c r="W217" s="899"/>
      <c r="X217" s="899"/>
      <c r="Y217" s="899"/>
      <c r="Z217" s="899"/>
      <c r="AA217" s="899"/>
      <c r="AB217" s="899"/>
      <c r="AC217" s="899"/>
      <c r="AD217" s="899"/>
      <c r="AE217" s="899"/>
      <c r="AF217" s="899"/>
      <c r="AG217" s="899"/>
      <c r="AH217" s="1336"/>
      <c r="AI217" s="1337"/>
      <c r="AJ217" s="1338"/>
      <c r="AK217" s="2925"/>
      <c r="AL217" s="2926"/>
      <c r="AM217" s="2927">
        <f t="shared" si="69"/>
        <v>0</v>
      </c>
      <c r="AN217" s="2629"/>
      <c r="AO217" s="2631"/>
      <c r="AQ217" s="2367">
        <f t="shared" si="70"/>
        <v>0</v>
      </c>
      <c r="AR217" s="2367">
        <f t="shared" si="71"/>
        <v>0</v>
      </c>
      <c r="AS217" s="123" t="str">
        <f t="shared" si="72"/>
        <v>미사용 랙</v>
      </c>
      <c r="AT217" t="str">
        <f t="shared" si="66"/>
        <v/>
      </c>
      <c r="AU217" t="str">
        <f t="shared" si="67"/>
        <v/>
      </c>
      <c r="AZ217" s="123"/>
      <c r="BA217" s="123"/>
      <c r="BB217" s="123"/>
      <c r="BC217" s="3103"/>
      <c r="BD217" s="123"/>
      <c r="BE217" s="3104"/>
      <c r="BF217" s="3105"/>
      <c r="BG217" s="3112"/>
      <c r="BH217" s="3106"/>
      <c r="BI217" s="3107"/>
      <c r="BJ217" s="3108"/>
      <c r="BK217" s="3109"/>
      <c r="BL217" s="3110"/>
    </row>
    <row r="218" spans="1:64" ht="14.25" customHeight="1" thickBot="1">
      <c r="A218" s="2960"/>
      <c r="B218" s="2627"/>
      <c r="C218" s="2628" t="s">
        <v>984</v>
      </c>
      <c r="D218" s="2627"/>
      <c r="E218" s="2627"/>
      <c r="F218" s="2627"/>
      <c r="G218" s="2627"/>
      <c r="H218" s="1988"/>
      <c r="I218" s="1989"/>
      <c r="J218" s="1988"/>
      <c r="K218" s="1989"/>
      <c r="L218" s="1990"/>
      <c r="M218" s="1991"/>
      <c r="N218" s="915"/>
      <c r="O218" s="1992"/>
      <c r="P218" s="1993"/>
      <c r="Q218" s="1991"/>
      <c r="R218" s="915"/>
      <c r="S218" s="1992"/>
      <c r="T218" s="915"/>
      <c r="U218" s="915"/>
      <c r="V218" s="915"/>
      <c r="W218" s="915"/>
      <c r="X218" s="915"/>
      <c r="Y218" s="915"/>
      <c r="Z218" s="915"/>
      <c r="AA218" s="915"/>
      <c r="AB218" s="915"/>
      <c r="AC218" s="915"/>
      <c r="AD218" s="915"/>
      <c r="AE218" s="915"/>
      <c r="AF218" s="915"/>
      <c r="AG218" s="915"/>
      <c r="AH218" s="1339"/>
      <c r="AI218" s="1340"/>
      <c r="AJ218" s="1341"/>
      <c r="AK218" s="2925"/>
      <c r="AL218" s="2926"/>
      <c r="AM218" s="2927">
        <f t="shared" si="69"/>
        <v>0</v>
      </c>
      <c r="AN218" s="2630"/>
      <c r="AO218" s="679"/>
      <c r="AQ218" s="2367">
        <f t="shared" si="70"/>
        <v>0</v>
      </c>
      <c r="AR218" s="2367">
        <f t="shared" si="71"/>
        <v>0</v>
      </c>
      <c r="AS218" s="123" t="str">
        <f t="shared" si="72"/>
        <v>미사용 랙</v>
      </c>
      <c r="AT218" t="str">
        <f t="shared" si="66"/>
        <v/>
      </c>
      <c r="AU218" t="str">
        <f t="shared" si="67"/>
        <v/>
      </c>
      <c r="AZ218" s="123"/>
      <c r="BA218" s="123"/>
      <c r="BB218" s="123"/>
      <c r="BC218" s="3103"/>
      <c r="BD218" s="123"/>
      <c r="BE218" s="3104"/>
      <c r="BF218" s="3105"/>
      <c r="BG218" s="3112"/>
      <c r="BH218" s="3106"/>
      <c r="BI218" s="3107"/>
      <c r="BJ218" s="3108"/>
      <c r="BK218" s="3109"/>
      <c r="BL218" s="3110"/>
    </row>
    <row r="219" spans="1:64" ht="13.5" customHeight="1">
      <c r="A219" s="2961" t="s">
        <v>985</v>
      </c>
      <c r="B219" s="672" t="s">
        <v>986</v>
      </c>
      <c r="C219" s="732"/>
      <c r="D219" s="1052"/>
      <c r="E219" s="1052"/>
      <c r="F219" s="1052"/>
      <c r="G219" s="1052"/>
      <c r="H219" s="1994"/>
      <c r="I219" s="1995"/>
      <c r="J219" s="1994"/>
      <c r="K219" s="1995"/>
      <c r="L219" s="1996"/>
      <c r="M219" s="1997"/>
      <c r="N219" s="906"/>
      <c r="O219" s="1998"/>
      <c r="P219" s="1999"/>
      <c r="Q219" s="1997"/>
      <c r="R219" s="906"/>
      <c r="S219" s="1998"/>
      <c r="T219" s="906"/>
      <c r="U219" s="906"/>
      <c r="V219" s="906"/>
      <c r="W219" s="906"/>
      <c r="X219" s="906"/>
      <c r="Y219" s="906"/>
      <c r="Z219" s="906"/>
      <c r="AA219" s="906"/>
      <c r="AB219" s="906"/>
      <c r="AC219" s="906"/>
      <c r="AD219" s="906"/>
      <c r="AE219" s="906"/>
      <c r="AF219" s="906"/>
      <c r="AG219" s="906"/>
      <c r="AH219" s="1080"/>
      <c r="AI219" s="1081"/>
      <c r="AJ219" s="1323"/>
      <c r="AK219" s="2925"/>
      <c r="AL219" s="2926"/>
      <c r="AM219" s="2927">
        <f t="shared" si="69"/>
        <v>0</v>
      </c>
      <c r="AN219" s="2623"/>
      <c r="AO219" s="2618"/>
      <c r="AQ219" s="2367">
        <f t="shared" si="70"/>
        <v>0</v>
      </c>
      <c r="AR219" s="2367">
        <f t="shared" si="71"/>
        <v>0</v>
      </c>
      <c r="AS219" s="123" t="str">
        <f t="shared" si="72"/>
        <v>미사용 랙</v>
      </c>
      <c r="AT219" t="str">
        <f t="shared" si="66"/>
        <v/>
      </c>
      <c r="AU219" t="str">
        <f t="shared" si="67"/>
        <v/>
      </c>
      <c r="AZ219" s="123"/>
      <c r="BA219" s="123"/>
      <c r="BB219" s="123"/>
      <c r="BC219" s="3103"/>
      <c r="BD219" s="123"/>
      <c r="BE219" s="3104"/>
      <c r="BF219" s="3105"/>
      <c r="BG219" s="3112"/>
      <c r="BH219" s="3106"/>
      <c r="BI219" s="3107"/>
      <c r="BJ219" s="3108"/>
      <c r="BK219" s="3109"/>
      <c r="BL219" s="3110"/>
    </row>
    <row r="220" spans="1:64" ht="40.049999999999997" customHeight="1">
      <c r="A220" s="2955"/>
      <c r="B220" s="2595" t="s">
        <v>987</v>
      </c>
      <c r="C220" s="2596" t="s">
        <v>988</v>
      </c>
      <c r="D220" s="2595" t="s">
        <v>9263</v>
      </c>
      <c r="E220" s="3062">
        <v>2.2000000000000002</v>
      </c>
      <c r="F220" s="2595" t="s">
        <v>27</v>
      </c>
      <c r="G220" s="2595"/>
      <c r="H220" s="1831" t="s">
        <v>9097</v>
      </c>
      <c r="I220" s="1839" t="s">
        <v>9098</v>
      </c>
      <c r="J220" s="1831" t="str">
        <f>"7-DaHall 1-"&amp;N220&amp;"-"&amp;M220&amp;"-"&amp;O220</f>
        <v>7-DaHall 1-RPP-01-20-23</v>
      </c>
      <c r="K220" s="1839" t="str">
        <f>"7-DaHall 1-"&amp;R220&amp;"-"&amp;Q220&amp;"-"&amp;S220</f>
        <v>7-DaHall 1-RPP-02-30-12</v>
      </c>
      <c r="L220" s="1833">
        <v>220</v>
      </c>
      <c r="M220" s="1834">
        <v>20</v>
      </c>
      <c r="N220" s="703" t="s">
        <v>8775</v>
      </c>
      <c r="O220" s="1835">
        <v>23</v>
      </c>
      <c r="P220" s="1840">
        <v>220</v>
      </c>
      <c r="Q220" s="1841">
        <v>30</v>
      </c>
      <c r="R220" s="687" t="s">
        <v>8776</v>
      </c>
      <c r="S220" s="1842">
        <v>12</v>
      </c>
      <c r="T220" s="703" t="s">
        <v>989</v>
      </c>
      <c r="U220" s="687" t="s">
        <v>990</v>
      </c>
      <c r="V220" s="2626" t="s">
        <v>991</v>
      </c>
      <c r="W220" s="2609" t="s">
        <v>992</v>
      </c>
      <c r="X220" s="2152" t="s">
        <v>450</v>
      </c>
      <c r="Y220" s="904" t="s">
        <v>460</v>
      </c>
      <c r="Z220" s="2152" t="s">
        <v>451</v>
      </c>
      <c r="AA220" s="904" t="s">
        <v>461</v>
      </c>
      <c r="AB220" s="2152" t="s">
        <v>993</v>
      </c>
      <c r="AC220" s="904" t="s">
        <v>994</v>
      </c>
      <c r="AD220" s="2152" t="s">
        <v>30</v>
      </c>
      <c r="AE220" s="904" t="s">
        <v>35</v>
      </c>
      <c r="AF220" s="2152" t="s">
        <v>31</v>
      </c>
      <c r="AG220" s="904" t="s">
        <v>36</v>
      </c>
      <c r="AH220" s="681">
        <f>SUM('7층_부하량(월간_AVG)'!D17:F17)</f>
        <v>1.4548574384000821</v>
      </c>
      <c r="AI220" s="1055">
        <f>SUM('7층_부하량(월간_AVG)'!N100:P100)</f>
        <v>4.4491158001357816</v>
      </c>
      <c r="AJ220" s="3015">
        <f>AH220+AI220</f>
        <v>5.9039732385358636</v>
      </c>
      <c r="AK220" s="2913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190.5</v>
      </c>
      <c r="AL220" s="2914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640.1</v>
      </c>
      <c r="AM220" s="2921">
        <f t="shared" si="69"/>
        <v>830.6</v>
      </c>
      <c r="AN220" s="2076" t="s">
        <v>995</v>
      </c>
      <c r="AO220" s="2616"/>
      <c r="AQ220" s="2367">
        <f t="shared" si="70"/>
        <v>1.1163978494623656</v>
      </c>
      <c r="AR220" s="2367">
        <f t="shared" si="71"/>
        <v>1.0836021505376345</v>
      </c>
      <c r="AS220" s="123" t="str">
        <f>IF(SIGN(AR220)&gt;=0,IF(AM220=0,"무부하 랙","적정함"),"사용초과")</f>
        <v>적정함</v>
      </c>
      <c r="AT220" t="str">
        <f t="shared" si="66"/>
        <v/>
      </c>
      <c r="AU220" t="str">
        <f t="shared" si="67"/>
        <v/>
      </c>
      <c r="AZ220" s="123"/>
      <c r="BA220" s="123"/>
      <c r="BB220" s="123"/>
      <c r="BC220" s="3103"/>
      <c r="BD220" s="123"/>
      <c r="BE220" s="3104"/>
      <c r="BF220" s="3105"/>
      <c r="BG220" s="3112"/>
      <c r="BH220" s="3106"/>
      <c r="BI220" s="3107"/>
      <c r="BJ220" s="3108"/>
      <c r="BK220" s="3109"/>
      <c r="BL220" s="3110"/>
    </row>
    <row r="221" spans="1:64" ht="40.049999999999997" customHeight="1">
      <c r="A221" s="2955"/>
      <c r="B221" s="2595" t="s">
        <v>996</v>
      </c>
      <c r="C221" s="2596" t="s">
        <v>997</v>
      </c>
      <c r="D221" s="2595" t="s">
        <v>9263</v>
      </c>
      <c r="E221" s="3062">
        <v>2.2000000000000002</v>
      </c>
      <c r="F221" s="2595" t="s">
        <v>27</v>
      </c>
      <c r="G221" s="2595"/>
      <c r="H221" s="1831" t="s">
        <v>9099</v>
      </c>
      <c r="I221" s="1839" t="s">
        <v>9100</v>
      </c>
      <c r="J221" s="1831" t="str">
        <f>"7-DaHall 1-"&amp;N221&amp;"-"&amp;M221&amp;"-"&amp;O221</f>
        <v>7-DaHall 1-RPP-01-20-37</v>
      </c>
      <c r="K221" s="1839" t="str">
        <f>"7-DaHall 1-"&amp;R221&amp;"-"&amp;Q221&amp;"-"&amp;S221</f>
        <v>7-DaHall 1-RPP-02-30-8</v>
      </c>
      <c r="L221" s="1833">
        <v>220</v>
      </c>
      <c r="M221" s="1834">
        <v>20</v>
      </c>
      <c r="N221" s="703" t="s">
        <v>8775</v>
      </c>
      <c r="O221" s="1835">
        <v>37</v>
      </c>
      <c r="P221" s="1840">
        <v>220</v>
      </c>
      <c r="Q221" s="1841">
        <v>30</v>
      </c>
      <c r="R221" s="687" t="s">
        <v>8776</v>
      </c>
      <c r="S221" s="1842">
        <v>8</v>
      </c>
      <c r="T221" s="703" t="s">
        <v>998</v>
      </c>
      <c r="U221" s="703" t="s">
        <v>999</v>
      </c>
      <c r="V221" s="2626" t="s">
        <v>1000</v>
      </c>
      <c r="W221" s="2609" t="s">
        <v>1001</v>
      </c>
      <c r="X221" s="2152" t="s">
        <v>450</v>
      </c>
      <c r="Y221" s="904" t="s">
        <v>460</v>
      </c>
      <c r="Z221" s="2152" t="s">
        <v>451</v>
      </c>
      <c r="AA221" s="904" t="s">
        <v>461</v>
      </c>
      <c r="AB221" s="2152" t="s">
        <v>993</v>
      </c>
      <c r="AC221" s="904" t="s">
        <v>994</v>
      </c>
      <c r="AD221" s="2152" t="s">
        <v>30</v>
      </c>
      <c r="AE221" s="904" t="s">
        <v>35</v>
      </c>
      <c r="AF221" s="2152" t="s">
        <v>31</v>
      </c>
      <c r="AG221" s="904" t="s">
        <v>36</v>
      </c>
      <c r="AH221" s="681">
        <f>SUM('7층_부하량(월간_AVG)'!D24:F24)</f>
        <v>5.1643874592801433</v>
      </c>
      <c r="AI221" s="1055">
        <f>SUM('7층_부하량(월간_AVG)'!N98:P98)</f>
        <v>4.8337030740295885</v>
      </c>
      <c r="AJ221" s="1301">
        <f>AH221+AI221</f>
        <v>9.9980905333097319</v>
      </c>
      <c r="AK221" s="2913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768.8</v>
      </c>
      <c r="AL221" s="2914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708.4</v>
      </c>
      <c r="AM221" s="2921">
        <f t="shared" si="69"/>
        <v>1477.1999999999998</v>
      </c>
      <c r="AN221" s="2076" t="s">
        <v>995</v>
      </c>
      <c r="AO221" s="2631"/>
      <c r="AQ221" s="2367">
        <f t="shared" si="70"/>
        <v>1.9854838709677416</v>
      </c>
      <c r="AR221" s="2367">
        <f t="shared" si="71"/>
        <v>0.21451612903225858</v>
      </c>
      <c r="AS221" s="123" t="str">
        <f>IF(SIGN(AR221)&gt;=0,IF(AM221=0,"무부하 랙","적정함"),"사용초과")</f>
        <v>적정함</v>
      </c>
      <c r="AT221" t="str">
        <f t="shared" si="66"/>
        <v/>
      </c>
      <c r="AU221" t="str">
        <f t="shared" si="67"/>
        <v/>
      </c>
      <c r="AZ221" s="123"/>
      <c r="BA221" s="123"/>
      <c r="BB221" s="123"/>
      <c r="BC221" s="3103"/>
      <c r="BD221" s="123"/>
      <c r="BE221" s="3104"/>
      <c r="BF221" s="3105"/>
      <c r="BG221" s="3112"/>
      <c r="BH221" s="3106"/>
      <c r="BI221" s="3107"/>
      <c r="BJ221" s="3108"/>
      <c r="BK221" s="3109"/>
      <c r="BL221" s="3110"/>
    </row>
    <row r="222" spans="1:64" ht="48" customHeight="1">
      <c r="A222" s="2955"/>
      <c r="B222" s="2595" t="s">
        <v>1002</v>
      </c>
      <c r="C222" s="737" t="s">
        <v>1003</v>
      </c>
      <c r="D222" s="2595" t="s">
        <v>9263</v>
      </c>
      <c r="E222" s="3062">
        <v>2.2000000000000002</v>
      </c>
      <c r="F222" s="2595" t="s">
        <v>27</v>
      </c>
      <c r="G222" s="2595"/>
      <c r="H222" s="1831" t="s">
        <v>9101</v>
      </c>
      <c r="I222" s="1839" t="s">
        <v>9102</v>
      </c>
      <c r="J222" s="1831" t="str">
        <f>"7-DaHall 1-"&amp;N222&amp;"-"&amp;M222&amp;"-"&amp;O222</f>
        <v>7-DaHall 1-PDU-01-30-10</v>
      </c>
      <c r="K222" s="1839" t="str">
        <f>"7-DaHall 1-"&amp;R222&amp;"-"&amp;Q222&amp;"-"&amp;S222</f>
        <v>7-DaHall 1-PDU-02-30-10</v>
      </c>
      <c r="L222" s="1871">
        <v>220</v>
      </c>
      <c r="M222" s="1834">
        <v>30</v>
      </c>
      <c r="N222" s="703" t="s">
        <v>8749</v>
      </c>
      <c r="O222" s="1835">
        <v>10</v>
      </c>
      <c r="P222" s="1873">
        <v>220</v>
      </c>
      <c r="Q222" s="1841">
        <v>30</v>
      </c>
      <c r="R222" s="687" t="s">
        <v>8750</v>
      </c>
      <c r="S222" s="1842">
        <v>10</v>
      </c>
      <c r="T222" s="703" t="s">
        <v>1004</v>
      </c>
      <c r="U222" s="687" t="s">
        <v>1005</v>
      </c>
      <c r="V222" s="2597"/>
      <c r="W222" s="2597"/>
      <c r="X222" s="2597"/>
      <c r="Y222" s="2597"/>
      <c r="Z222" s="2597"/>
      <c r="AA222" s="2597"/>
      <c r="AB222" s="2152" t="s">
        <v>164</v>
      </c>
      <c r="AC222" s="904" t="s">
        <v>165</v>
      </c>
      <c r="AD222" s="2152" t="s">
        <v>1006</v>
      </c>
      <c r="AE222" s="904" t="s">
        <v>111</v>
      </c>
      <c r="AF222" s="2152" t="s">
        <v>31</v>
      </c>
      <c r="AG222" s="904" t="s">
        <v>36</v>
      </c>
      <c r="AH222" s="681">
        <f>SUM('7층_부하량(월간_AVG)'!N67:P67)</f>
        <v>2.58590483220252</v>
      </c>
      <c r="AI222" s="1055">
        <f>SUM('7층_부하량(월간_AVG)'!N35:P35)</f>
        <v>3.3260760405142697</v>
      </c>
      <c r="AJ222" s="1301">
        <f>AH222+AI222</f>
        <v>5.9119808727167893</v>
      </c>
      <c r="AK222" s="2913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372.9</v>
      </c>
      <c r="AL222" s="2914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495.3</v>
      </c>
      <c r="AM222" s="2927">
        <f t="shared" si="69"/>
        <v>868.2</v>
      </c>
      <c r="AN222" s="2076" t="s">
        <v>995</v>
      </c>
      <c r="AO222" s="2631"/>
      <c r="AQ222" s="2367">
        <f t="shared" si="70"/>
        <v>1.1669354838709678</v>
      </c>
      <c r="AR222" s="2367">
        <f t="shared" si="71"/>
        <v>1.0330645161290324</v>
      </c>
      <c r="AS222" s="123" t="str">
        <f>IF(SIGN(AR222)&gt;=0,IF(AM222=0,"무부하 랙","적정함"),"사용초과")</f>
        <v>적정함</v>
      </c>
      <c r="AT222" t="str">
        <f t="shared" ref="AT222:AT282" si="75">IF(AS222="사용초과",D222,"")</f>
        <v/>
      </c>
      <c r="AU222" t="str">
        <f t="shared" ref="AU222:AU282" si="76">IF(AT222="","",B222)</f>
        <v/>
      </c>
      <c r="AZ222" s="123"/>
      <c r="BA222" s="123"/>
      <c r="BB222" s="123"/>
      <c r="BC222" s="3103"/>
      <c r="BD222" s="123"/>
      <c r="BE222" s="3104"/>
      <c r="BF222" s="3105"/>
      <c r="BG222" s="3112"/>
      <c r="BH222" s="3106"/>
      <c r="BI222" s="3107"/>
      <c r="BJ222" s="3108"/>
      <c r="BK222" s="3109"/>
      <c r="BL222" s="3110"/>
    </row>
    <row r="223" spans="1:64" ht="46.8">
      <c r="A223" s="2955"/>
      <c r="B223" s="2595" t="s">
        <v>1007</v>
      </c>
      <c r="C223" s="737"/>
      <c r="D223" s="2595" t="s">
        <v>9263</v>
      </c>
      <c r="E223" s="3062">
        <v>2.2000000000000002</v>
      </c>
      <c r="F223" s="2595" t="s">
        <v>27</v>
      </c>
      <c r="G223" s="2595"/>
      <c r="H223" s="1831" t="s">
        <v>4417</v>
      </c>
      <c r="I223" s="1839" t="s">
        <v>4350</v>
      </c>
      <c r="J223" s="1831" t="str">
        <f>"7-DaHall 1-"&amp;N223&amp;"-"&amp;M223&amp;"-"&amp;O223</f>
        <v>7-DaHall 1-PDU-01-30-42</v>
      </c>
      <c r="K223" s="1839" t="str">
        <f>"7-DaHall 1-"&amp;R223&amp;"-"&amp;Q223&amp;"-"&amp;S223</f>
        <v>7-DaHall 1-PDU-02-30-42</v>
      </c>
      <c r="L223" s="1871">
        <v>220</v>
      </c>
      <c r="M223" s="1834">
        <v>30</v>
      </c>
      <c r="N223" s="703" t="s">
        <v>8749</v>
      </c>
      <c r="O223" s="1835">
        <v>42</v>
      </c>
      <c r="P223" s="1873">
        <v>220</v>
      </c>
      <c r="Q223" s="1841">
        <v>30</v>
      </c>
      <c r="R223" s="687" t="s">
        <v>8750</v>
      </c>
      <c r="S223" s="1842">
        <v>42</v>
      </c>
      <c r="T223" s="703" t="s">
        <v>1008</v>
      </c>
      <c r="U223" s="687" t="s">
        <v>1009</v>
      </c>
      <c r="V223" s="2077"/>
      <c r="W223" s="2077"/>
      <c r="X223" s="2077"/>
      <c r="Y223" s="2077"/>
      <c r="Z223" s="2077"/>
      <c r="AA223" s="2077"/>
      <c r="AB223" s="2152" t="s">
        <v>164</v>
      </c>
      <c r="AC223" s="904" t="s">
        <v>165</v>
      </c>
      <c r="AD223" s="2152" t="s">
        <v>1006</v>
      </c>
      <c r="AE223" s="904" t="s">
        <v>111</v>
      </c>
      <c r="AF223" s="2152" t="s">
        <v>31</v>
      </c>
      <c r="AG223" s="904" t="s">
        <v>36</v>
      </c>
      <c r="AH223" s="681">
        <f>SUM('7층_부하량(월간_AVG)'!N83:P83)</f>
        <v>3.4184131394138197</v>
      </c>
      <c r="AI223" s="1055">
        <f>SUM('7층_부하량(월간_AVG)'!N51:P51)</f>
        <v>4.6018941706770891</v>
      </c>
      <c r="AJ223" s="1301">
        <f>AH223+AI223</f>
        <v>8.0203073100909084</v>
      </c>
      <c r="AK223" s="2913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503</v>
      </c>
      <c r="AL223" s="2914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676.5</v>
      </c>
      <c r="AM223" s="2927">
        <f t="shared" si="69"/>
        <v>1179.5</v>
      </c>
      <c r="AN223" s="2076" t="s">
        <v>995</v>
      </c>
      <c r="AO223" s="2631"/>
      <c r="AQ223" s="2367">
        <f t="shared" si="70"/>
        <v>1.5853494623655915</v>
      </c>
      <c r="AR223" s="2367">
        <f t="shared" si="71"/>
        <v>0.61465053763440869</v>
      </c>
      <c r="AS223" s="123" t="str">
        <f>IF(SIGN(AR223)&gt;=0,IF(AM223=0,"무부하 랙","적정함"),"사용초과")</f>
        <v>적정함</v>
      </c>
      <c r="AT223" t="str">
        <f t="shared" si="75"/>
        <v/>
      </c>
      <c r="AU223" t="str">
        <f t="shared" si="76"/>
        <v/>
      </c>
      <c r="AZ223" s="123"/>
      <c r="BA223" s="123"/>
      <c r="BB223" s="123"/>
      <c r="BC223" s="3103"/>
      <c r="BD223" s="123"/>
      <c r="BE223" s="3104"/>
      <c r="BF223" s="3105"/>
      <c r="BG223" s="3112"/>
      <c r="BH223" s="3106"/>
      <c r="BI223" s="3107"/>
      <c r="BJ223" s="3108"/>
      <c r="BK223" s="3109"/>
      <c r="BL223" s="3110"/>
    </row>
    <row r="224" spans="1:64" ht="13.5" customHeight="1">
      <c r="A224" s="2955"/>
      <c r="B224" s="2595" t="s">
        <v>1010</v>
      </c>
      <c r="C224" s="733" t="s">
        <v>1011</v>
      </c>
      <c r="D224" s="733" t="s">
        <v>1012</v>
      </c>
      <c r="E224" s="733"/>
      <c r="F224" s="919"/>
      <c r="G224" s="919"/>
      <c r="H224" s="1891"/>
      <c r="I224" s="1892"/>
      <c r="J224" s="1891"/>
      <c r="K224" s="1892"/>
      <c r="L224" s="1893"/>
      <c r="M224" s="912"/>
      <c r="N224" s="912"/>
      <c r="O224" s="1894"/>
      <c r="P224" s="1895"/>
      <c r="Q224" s="1896"/>
      <c r="R224" s="912"/>
      <c r="S224" s="1894"/>
      <c r="T224" s="912"/>
      <c r="U224" s="912"/>
      <c r="V224" s="912"/>
      <c r="W224" s="912"/>
      <c r="X224" s="912"/>
      <c r="Y224" s="912"/>
      <c r="Z224" s="912"/>
      <c r="AA224" s="912"/>
      <c r="AB224" s="912"/>
      <c r="AC224" s="912"/>
      <c r="AD224" s="912"/>
      <c r="AE224" s="912"/>
      <c r="AF224" s="912"/>
      <c r="AG224" s="899"/>
      <c r="AH224" s="959"/>
      <c r="AI224" s="1082"/>
      <c r="AJ224" s="1315"/>
      <c r="AK224" s="2925"/>
      <c r="AL224" s="2926"/>
      <c r="AM224" s="2927">
        <f t="shared" si="69"/>
        <v>0</v>
      </c>
      <c r="AN224" s="2625" t="s">
        <v>1013</v>
      </c>
      <c r="AO224" s="2631"/>
      <c r="AQ224" s="2367">
        <f t="shared" si="70"/>
        <v>0</v>
      </c>
      <c r="AR224" s="2367">
        <f t="shared" si="71"/>
        <v>0</v>
      </c>
      <c r="AS224" s="123" t="str">
        <f t="shared" si="72"/>
        <v>미사용 랙</v>
      </c>
      <c r="AT224" t="str">
        <f t="shared" si="75"/>
        <v/>
      </c>
      <c r="AU224" t="str">
        <f t="shared" si="76"/>
        <v/>
      </c>
      <c r="AZ224" s="123"/>
      <c r="BA224" s="123"/>
      <c r="BB224" s="123"/>
      <c r="BC224" s="3103"/>
      <c r="BD224" s="123"/>
      <c r="BE224" s="3104"/>
      <c r="BF224" s="3105"/>
      <c r="BG224" s="3112"/>
      <c r="BH224" s="3106"/>
      <c r="BI224" s="3107"/>
      <c r="BJ224" s="3108"/>
      <c r="BK224" s="3109"/>
      <c r="BL224" s="3110"/>
    </row>
    <row r="225" spans="1:64" ht="13.5" customHeight="1">
      <c r="A225" s="2955"/>
      <c r="B225" s="2595" t="s">
        <v>1014</v>
      </c>
      <c r="C225" s="733" t="s">
        <v>1015</v>
      </c>
      <c r="D225" s="733" t="s">
        <v>1016</v>
      </c>
      <c r="E225" s="733"/>
      <c r="F225" s="919"/>
      <c r="G225" s="919"/>
      <c r="H225" s="1891"/>
      <c r="I225" s="1892"/>
      <c r="J225" s="1891"/>
      <c r="K225" s="1892"/>
      <c r="L225" s="1893"/>
      <c r="M225" s="912"/>
      <c r="N225" s="912"/>
      <c r="O225" s="1894"/>
      <c r="P225" s="1895"/>
      <c r="Q225" s="1896"/>
      <c r="R225" s="912"/>
      <c r="S225" s="1894"/>
      <c r="T225" s="912"/>
      <c r="U225" s="912"/>
      <c r="V225" s="912"/>
      <c r="W225" s="912"/>
      <c r="X225" s="912"/>
      <c r="Y225" s="912"/>
      <c r="Z225" s="912"/>
      <c r="AA225" s="912"/>
      <c r="AB225" s="912"/>
      <c r="AC225" s="912"/>
      <c r="AD225" s="912"/>
      <c r="AE225" s="912"/>
      <c r="AF225" s="912"/>
      <c r="AG225" s="899"/>
      <c r="AH225" s="959"/>
      <c r="AI225" s="1082"/>
      <c r="AJ225" s="1315"/>
      <c r="AK225" s="2925"/>
      <c r="AL225" s="2926"/>
      <c r="AM225" s="2927">
        <f t="shared" si="69"/>
        <v>0</v>
      </c>
      <c r="AN225" s="2625" t="s">
        <v>1013</v>
      </c>
      <c r="AO225" s="2631"/>
      <c r="AQ225" s="2367">
        <f t="shared" si="70"/>
        <v>0</v>
      </c>
      <c r="AR225" s="2367">
        <f t="shared" si="71"/>
        <v>0</v>
      </c>
      <c r="AS225" s="123" t="str">
        <f t="shared" si="72"/>
        <v>미사용 랙</v>
      </c>
      <c r="AT225" t="str">
        <f t="shared" si="75"/>
        <v/>
      </c>
      <c r="AU225" t="str">
        <f t="shared" si="76"/>
        <v/>
      </c>
      <c r="AZ225" s="123"/>
      <c r="BA225" s="123"/>
      <c r="BB225" s="123"/>
      <c r="BC225" s="3103"/>
      <c r="BD225" s="123"/>
      <c r="BE225" s="3104"/>
      <c r="BF225" s="3105"/>
      <c r="BG225" s="3112"/>
      <c r="BH225" s="3106"/>
      <c r="BI225" s="3107"/>
      <c r="BJ225" s="3108"/>
      <c r="BK225" s="3109"/>
      <c r="BL225" s="3110"/>
    </row>
    <row r="226" spans="1:64" ht="46.8">
      <c r="A226" s="2955"/>
      <c r="B226" s="2595" t="s">
        <v>1017</v>
      </c>
      <c r="C226" s="2597" t="s">
        <v>1018</v>
      </c>
      <c r="D226" s="2595" t="s">
        <v>9249</v>
      </c>
      <c r="E226" s="3062">
        <v>2.2000000000000002</v>
      </c>
      <c r="F226" s="2595" t="s">
        <v>27</v>
      </c>
      <c r="G226" s="2595"/>
      <c r="H226" s="1831" t="s">
        <v>9103</v>
      </c>
      <c r="I226" s="1839" t="s">
        <v>9104</v>
      </c>
      <c r="J226" s="1831" t="str">
        <f>"7-DaHall 1-"&amp;N226&amp;"-"&amp;M226&amp;"-"&amp;O226</f>
        <v>7-DaHall 1-PDU-01-30-34</v>
      </c>
      <c r="K226" s="1839" t="str">
        <f>"7-DaHall 1-"&amp;R226&amp;"-"&amp;Q226&amp;"-"&amp;S226</f>
        <v>7-DaHall 1-PDU-02-30-34</v>
      </c>
      <c r="L226" s="1833">
        <v>220</v>
      </c>
      <c r="M226" s="1834">
        <v>30</v>
      </c>
      <c r="N226" s="703" t="s">
        <v>8749</v>
      </c>
      <c r="O226" s="1835">
        <v>34</v>
      </c>
      <c r="P226" s="1840">
        <v>220</v>
      </c>
      <c r="Q226" s="1841">
        <v>30</v>
      </c>
      <c r="R226" s="687" t="s">
        <v>8750</v>
      </c>
      <c r="S226" s="1842">
        <v>34</v>
      </c>
      <c r="T226" s="703" t="s">
        <v>1019</v>
      </c>
      <c r="U226" s="687" t="s">
        <v>1020</v>
      </c>
      <c r="V226" s="912"/>
      <c r="W226" s="912"/>
      <c r="X226" s="912"/>
      <c r="Y226" s="912"/>
      <c r="Z226" s="912"/>
      <c r="AA226" s="912"/>
      <c r="AB226" s="2626" t="s">
        <v>164</v>
      </c>
      <c r="AC226" s="2609" t="s">
        <v>165</v>
      </c>
      <c r="AD226" s="2626" t="s">
        <v>110</v>
      </c>
      <c r="AE226" s="2609" t="s">
        <v>111</v>
      </c>
      <c r="AF226" s="2152" t="s">
        <v>31</v>
      </c>
      <c r="AG226" s="904" t="s">
        <v>36</v>
      </c>
      <c r="AH226" s="681">
        <f>SUM('7층_부하량(월간_AVG)'!N79:P79)</f>
        <v>0</v>
      </c>
      <c r="AI226" s="1055">
        <f>SUM('7층_부하량(월간_AVG)'!N47:P47)</f>
        <v>0</v>
      </c>
      <c r="AJ226" s="1301">
        <f>AH226+AI226</f>
        <v>0</v>
      </c>
      <c r="AK226" s="2913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0</v>
      </c>
      <c r="AL226" s="2914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0</v>
      </c>
      <c r="AM226" s="2921">
        <f t="shared" si="69"/>
        <v>0</v>
      </c>
      <c r="AN226" s="2629" t="s">
        <v>1021</v>
      </c>
      <c r="AO226" s="2631"/>
      <c r="AQ226" s="2367">
        <f t="shared" si="70"/>
        <v>0</v>
      </c>
      <c r="AR226" s="2367">
        <f t="shared" si="71"/>
        <v>2.2000000000000002</v>
      </c>
      <c r="AS226" s="123" t="str">
        <f>IF(SIGN(AR226)&gt;=0,IF(AM226=0,"무부하 랙","적정함"),"사용초과")</f>
        <v>무부하 랙</v>
      </c>
      <c r="AT226" t="str">
        <f t="shared" si="75"/>
        <v/>
      </c>
      <c r="AU226" t="str">
        <f t="shared" si="76"/>
        <v/>
      </c>
      <c r="AZ226" s="123"/>
      <c r="BA226" s="123"/>
      <c r="BB226" s="123"/>
      <c r="BC226" s="3103"/>
      <c r="BD226" s="123"/>
      <c r="BE226" s="3104"/>
      <c r="BF226" s="3105"/>
      <c r="BG226" s="3112"/>
      <c r="BH226" s="3106"/>
      <c r="BI226" s="3107"/>
      <c r="BJ226" s="3108"/>
      <c r="BK226" s="3109"/>
      <c r="BL226" s="3110"/>
    </row>
    <row r="227" spans="1:64" ht="54" customHeight="1">
      <c r="A227" s="2955"/>
      <c r="B227" s="3280" t="s">
        <v>1022</v>
      </c>
      <c r="C227" s="3290" t="s">
        <v>1023</v>
      </c>
      <c r="D227" s="3292" t="s">
        <v>9249</v>
      </c>
      <c r="E227" s="2597"/>
      <c r="F227" s="2595"/>
      <c r="G227" s="2595" t="s">
        <v>27</v>
      </c>
      <c r="H227" s="1811" t="s">
        <v>9105</v>
      </c>
      <c r="I227" s="1843" t="s">
        <v>9106</v>
      </c>
      <c r="J227" s="1811" t="str">
        <f>"7-DaHall 1-"&amp;N227&amp;"-"&amp;M227&amp;"-"&amp;O227</f>
        <v>7-DaHall 1-B-5-100-48</v>
      </c>
      <c r="K227" s="1843" t="str">
        <f>"7-DaHall 1-"&amp;R227&amp;"-"&amp;Q227&amp;"-"&amp;S227</f>
        <v>7-DaHall 1-B-1-100-41</v>
      </c>
      <c r="L227" s="1813">
        <v>48</v>
      </c>
      <c r="M227" s="1814">
        <v>100</v>
      </c>
      <c r="N227" s="2626" t="s">
        <v>847</v>
      </c>
      <c r="O227" s="1815">
        <v>48</v>
      </c>
      <c r="P227" s="1853">
        <v>48</v>
      </c>
      <c r="Q227" s="1854">
        <v>100</v>
      </c>
      <c r="R227" s="2609" t="s">
        <v>294</v>
      </c>
      <c r="S227" s="1844">
        <v>41</v>
      </c>
      <c r="T227" s="2626" t="s">
        <v>1024</v>
      </c>
      <c r="U227" s="2609" t="s">
        <v>1025</v>
      </c>
      <c r="V227" s="2626" t="s">
        <v>851</v>
      </c>
      <c r="W227" s="2609" t="s">
        <v>298</v>
      </c>
      <c r="X227" s="2626" t="s">
        <v>47</v>
      </c>
      <c r="Y227" s="2609" t="s">
        <v>436</v>
      </c>
      <c r="Z227" s="2626" t="s">
        <v>49</v>
      </c>
      <c r="AA227" s="2609" t="s">
        <v>50</v>
      </c>
      <c r="AB227" s="2590" t="s">
        <v>51</v>
      </c>
      <c r="AC227" s="2592" t="s">
        <v>52</v>
      </c>
      <c r="AD227" s="2590" t="s">
        <v>30</v>
      </c>
      <c r="AE227" s="2592" t="s">
        <v>35</v>
      </c>
      <c r="AF227" s="2152" t="s">
        <v>31</v>
      </c>
      <c r="AG227" s="904" t="s">
        <v>36</v>
      </c>
      <c r="AH227" s="675"/>
      <c r="AI227" s="1055"/>
      <c r="AJ227" s="3017"/>
      <c r="AK227" s="3018"/>
      <c r="AL227" s="2917"/>
      <c r="AM227" s="2918">
        <f t="shared" si="69"/>
        <v>0</v>
      </c>
      <c r="AN227" s="2629" t="s">
        <v>1021</v>
      </c>
      <c r="AO227" s="2631" t="s">
        <v>1026</v>
      </c>
      <c r="AQ227" s="2367">
        <f t="shared" si="70"/>
        <v>0</v>
      </c>
      <c r="AR227" s="2367">
        <f t="shared" si="71"/>
        <v>0</v>
      </c>
      <c r="AS227" s="123" t="str">
        <f t="shared" si="72"/>
        <v>미사용 랙</v>
      </c>
      <c r="AT227" t="str">
        <f t="shared" si="75"/>
        <v/>
      </c>
      <c r="AU227" t="str">
        <f t="shared" si="76"/>
        <v/>
      </c>
      <c r="AZ227" s="123"/>
      <c r="BA227" s="123"/>
      <c r="BB227" s="123"/>
      <c r="BC227" s="3103"/>
      <c r="BD227" s="123"/>
      <c r="BE227" s="3104"/>
      <c r="BF227" s="3105"/>
      <c r="BG227" s="3112"/>
      <c r="BH227" s="3106"/>
      <c r="BI227" s="3107"/>
      <c r="BJ227" s="3108"/>
      <c r="BK227" s="3109"/>
      <c r="BL227" s="3110"/>
    </row>
    <row r="228" spans="1:64" ht="47.4" thickBot="1">
      <c r="A228" s="2960"/>
      <c r="B228" s="3289"/>
      <c r="C228" s="3291"/>
      <c r="D228" s="3289"/>
      <c r="E228" s="3064">
        <v>2.2000000000000002</v>
      </c>
      <c r="F228" s="2627" t="s">
        <v>27</v>
      </c>
      <c r="G228" s="2627"/>
      <c r="H228" s="2000" t="s">
        <v>9107</v>
      </c>
      <c r="I228" s="2001" t="s">
        <v>9108</v>
      </c>
      <c r="J228" s="2000" t="str">
        <f>"7-DaHall 1-"&amp;N228&amp;"-"&amp;M228&amp;"-"&amp;O228</f>
        <v>7-DaHall 1-PDU-01-30-15</v>
      </c>
      <c r="K228" s="2001" t="str">
        <f>"7-DaHall 1-"&amp;R228&amp;"-"&amp;Q228&amp;"-"&amp;S228</f>
        <v>7-DaHall 1-PDU-02-30-15</v>
      </c>
      <c r="L228" s="2002">
        <v>220</v>
      </c>
      <c r="M228" s="2003">
        <v>30</v>
      </c>
      <c r="N228" s="895" t="s">
        <v>8749</v>
      </c>
      <c r="O228" s="2004">
        <v>15</v>
      </c>
      <c r="P228" s="2005">
        <v>220</v>
      </c>
      <c r="Q228" s="2006">
        <v>30</v>
      </c>
      <c r="R228" s="908" t="s">
        <v>8750</v>
      </c>
      <c r="S228" s="2007">
        <v>15</v>
      </c>
      <c r="T228" s="895" t="s">
        <v>1027</v>
      </c>
      <c r="U228" s="908" t="s">
        <v>1028</v>
      </c>
      <c r="V228" s="909"/>
      <c r="W228" s="909"/>
      <c r="X228" s="909"/>
      <c r="Y228" s="909"/>
      <c r="Z228" s="909"/>
      <c r="AA228" s="909"/>
      <c r="AB228" s="891" t="s">
        <v>164</v>
      </c>
      <c r="AC228" s="893" t="s">
        <v>165</v>
      </c>
      <c r="AD228" s="891" t="s">
        <v>110</v>
      </c>
      <c r="AE228" s="893" t="s">
        <v>111</v>
      </c>
      <c r="AF228" s="2152" t="s">
        <v>31</v>
      </c>
      <c r="AG228" s="904" t="s">
        <v>36</v>
      </c>
      <c r="AH228" s="690">
        <f>SUM('7층_부하량(월간_AVG)'!D70:F70)</f>
        <v>0.78994891414537638</v>
      </c>
      <c r="AI228" s="1057">
        <f>SUM('7층_부하량(월간_AVG)'!D38:F38)</f>
        <v>1.0801211245414637</v>
      </c>
      <c r="AJ228" s="1301">
        <f>AH228+AI228</f>
        <v>1.8700700386868401</v>
      </c>
      <c r="AK228" s="2913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8" s="2914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8" s="2921">
        <f t="shared" si="69"/>
        <v>167.6</v>
      </c>
      <c r="AN228" s="2966"/>
      <c r="AO228" s="679"/>
      <c r="AQ228" s="2367">
        <f t="shared" si="70"/>
        <v>0.22526881720430106</v>
      </c>
      <c r="AR228" s="2367">
        <f t="shared" si="71"/>
        <v>1.974731182795699</v>
      </c>
      <c r="AS228" s="123" t="str">
        <f>IF(SIGN(AR228)&gt;=0,IF(AM228=0,"무부하 랙","적정함"),"사용초과")</f>
        <v>적정함</v>
      </c>
      <c r="AT228" t="str">
        <f t="shared" si="75"/>
        <v/>
      </c>
      <c r="AU228" t="str">
        <f t="shared" si="76"/>
        <v/>
      </c>
      <c r="AZ228" s="123"/>
      <c r="BA228" s="123"/>
      <c r="BB228" s="123"/>
      <c r="BC228" s="3103"/>
      <c r="BD228" s="123"/>
      <c r="BE228" s="3104"/>
      <c r="BF228" s="3105"/>
      <c r="BG228" s="3112"/>
      <c r="BH228" s="3106"/>
      <c r="BI228" s="3107"/>
      <c r="BJ228" s="3108"/>
      <c r="BK228" s="3109"/>
      <c r="BL228" s="3110"/>
    </row>
    <row r="229" spans="1:64" ht="13.5" customHeight="1">
      <c r="A229" s="2961" t="s">
        <v>1029</v>
      </c>
      <c r="B229" s="672" t="s">
        <v>1030</v>
      </c>
      <c r="C229" s="732"/>
      <c r="D229" s="732"/>
      <c r="E229" s="732"/>
      <c r="F229" s="1052"/>
      <c r="G229" s="1052"/>
      <c r="H229" s="2008"/>
      <c r="I229" s="1959"/>
      <c r="J229" s="2008"/>
      <c r="K229" s="1959"/>
      <c r="L229" s="2009"/>
      <c r="M229" s="1961"/>
      <c r="N229" s="1053"/>
      <c r="O229" s="1962"/>
      <c r="P229" s="1960"/>
      <c r="Q229" s="1961"/>
      <c r="R229" s="1053"/>
      <c r="S229" s="1962"/>
      <c r="T229" s="1053"/>
      <c r="U229" s="1053"/>
      <c r="V229" s="1053"/>
      <c r="W229" s="1053"/>
      <c r="X229" s="1053"/>
      <c r="Y229" s="1074"/>
      <c r="Z229" s="1053"/>
      <c r="AA229" s="1074"/>
      <c r="AB229" s="1053"/>
      <c r="AC229" s="1074"/>
      <c r="AD229" s="1053"/>
      <c r="AE229" s="1074"/>
      <c r="AF229" s="1053"/>
      <c r="AG229" s="1053"/>
      <c r="AH229" s="1075"/>
      <c r="AI229" s="1071"/>
      <c r="AJ229" s="1311"/>
      <c r="AK229" s="2925"/>
      <c r="AL229" s="2926"/>
      <c r="AM229" s="2927">
        <f t="shared" si="69"/>
        <v>0</v>
      </c>
      <c r="AN229" s="699"/>
      <c r="AO229" s="674"/>
      <c r="AQ229" s="2367">
        <f t="shared" si="70"/>
        <v>0</v>
      </c>
      <c r="AR229" s="2367">
        <f t="shared" si="71"/>
        <v>0</v>
      </c>
      <c r="AS229" s="123" t="str">
        <f t="shared" si="72"/>
        <v>미사용 랙</v>
      </c>
      <c r="AT229" t="str">
        <f t="shared" si="75"/>
        <v/>
      </c>
      <c r="AU229" t="str">
        <f t="shared" si="76"/>
        <v/>
      </c>
      <c r="AZ229" s="123"/>
      <c r="BA229" s="123"/>
      <c r="BB229" s="123"/>
      <c r="BC229" s="3103"/>
      <c r="BD229" s="123"/>
      <c r="BE229" s="3104"/>
      <c r="BF229" s="3105"/>
      <c r="BG229" s="3112"/>
      <c r="BH229" s="3106"/>
      <c r="BI229" s="3107"/>
      <c r="BJ229" s="3108"/>
      <c r="BK229" s="3109"/>
      <c r="BL229" s="3110"/>
    </row>
    <row r="230" spans="1:64" ht="32.1" customHeight="1">
      <c r="A230" s="2955"/>
      <c r="B230" s="2595" t="s">
        <v>1031</v>
      </c>
      <c r="C230" s="2596" t="s">
        <v>1032</v>
      </c>
      <c r="D230" s="2595" t="s">
        <v>9249</v>
      </c>
      <c r="E230" s="3062">
        <v>1.6</v>
      </c>
      <c r="F230" s="2595" t="s">
        <v>773</v>
      </c>
      <c r="G230" s="2595"/>
      <c r="H230" s="1831" t="s">
        <v>9109</v>
      </c>
      <c r="I230" s="1839" t="s">
        <v>9110</v>
      </c>
      <c r="J230" s="1831" t="str">
        <f>"7-DaHall 1-"&amp;N230&amp;"-"&amp;M230&amp;"-"&amp;O230</f>
        <v>7-DaHall 1-PDU-01-30-35</v>
      </c>
      <c r="K230" s="1839" t="str">
        <f>"7-DaHall 1-"&amp;R230&amp;"-"&amp;Q230&amp;"-"&amp;S230</f>
        <v>7-DaHall 1-PDU-02-30-35</v>
      </c>
      <c r="L230" s="1833">
        <v>220</v>
      </c>
      <c r="M230" s="1834">
        <v>30</v>
      </c>
      <c r="N230" s="703" t="s">
        <v>8749</v>
      </c>
      <c r="O230" s="1835">
        <v>35</v>
      </c>
      <c r="P230" s="1840">
        <v>220</v>
      </c>
      <c r="Q230" s="1841">
        <v>30</v>
      </c>
      <c r="R230" s="687" t="s">
        <v>8750</v>
      </c>
      <c r="S230" s="1842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SUM('7층_부하량(월간_AVG)'!D80:F80)</f>
        <v>6.7686223868756317</v>
      </c>
      <c r="AI230" s="676">
        <f>SUM('7층_부하량(월간_AVG)'!D48:F48)</f>
        <v>6.5156386329948575</v>
      </c>
      <c r="AJ230" s="1301">
        <f>AH230+AI230</f>
        <v>13.284261019870488</v>
      </c>
      <c r="AK230" s="2913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1086.2</v>
      </c>
      <c r="AL230" s="2914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1049.4000000000001</v>
      </c>
      <c r="AM230" s="2921">
        <f t="shared" si="69"/>
        <v>2135.6000000000004</v>
      </c>
      <c r="AN230" s="2625" t="s">
        <v>1035</v>
      </c>
      <c r="AO230" s="2631" t="s">
        <v>1036</v>
      </c>
      <c r="AQ230" s="2367">
        <f t="shared" si="70"/>
        <v>2.8704301075268823</v>
      </c>
      <c r="AR230" s="2367">
        <f t="shared" si="71"/>
        <v>-1.2704301075268822</v>
      </c>
      <c r="AS230" s="123" t="str">
        <f>IF(SIGN(AR230)&gt;=0,IF(AM230=0,"무부하 랙","적정함"),"사용초과")</f>
        <v>사용초과</v>
      </c>
      <c r="AT230" t="str">
        <f t="shared" si="75"/>
        <v>Sejong Telecom Inc.</v>
      </c>
      <c r="AU230" t="str">
        <f t="shared" si="76"/>
        <v>C1002</v>
      </c>
      <c r="AZ230" s="123"/>
      <c r="BA230" s="123"/>
      <c r="BB230" s="123"/>
      <c r="BC230" s="3103"/>
      <c r="BD230" s="123"/>
      <c r="BE230" s="3104"/>
      <c r="BF230" s="3105"/>
      <c r="BG230" s="3112"/>
      <c r="BH230" s="3106"/>
      <c r="BI230" s="3107"/>
      <c r="BJ230" s="3108"/>
      <c r="BK230" s="3109"/>
      <c r="BL230" s="3110"/>
    </row>
    <row r="231" spans="1:64" ht="46.8">
      <c r="A231" s="2955"/>
      <c r="B231" s="2595" t="s">
        <v>1037</v>
      </c>
      <c r="C231" s="2596" t="s">
        <v>1038</v>
      </c>
      <c r="D231" s="2595" t="s">
        <v>9249</v>
      </c>
      <c r="E231" s="3062">
        <v>1.6</v>
      </c>
      <c r="F231" s="2595" t="s">
        <v>773</v>
      </c>
      <c r="G231" s="2595"/>
      <c r="H231" s="1831" t="s">
        <v>9111</v>
      </c>
      <c r="I231" s="1839" t="s">
        <v>9112</v>
      </c>
      <c r="J231" s="1831" t="str">
        <f>"7-DaHall 1-"&amp;N231&amp;"-"&amp;M231&amp;"-"&amp;O231</f>
        <v>7-DaHall 1-PDU-01-30-33</v>
      </c>
      <c r="K231" s="1839" t="str">
        <f>"7-DaHall 1-"&amp;R231&amp;"-"&amp;Q231&amp;"-"&amp;S231</f>
        <v>7-DaHall 1-PDU-02-30-33</v>
      </c>
      <c r="L231" s="1833">
        <v>220</v>
      </c>
      <c r="M231" s="1834">
        <v>30</v>
      </c>
      <c r="N231" s="703" t="s">
        <v>8749</v>
      </c>
      <c r="O231" s="1835">
        <v>33</v>
      </c>
      <c r="P231" s="1840">
        <v>220</v>
      </c>
      <c r="Q231" s="1841">
        <v>30</v>
      </c>
      <c r="R231" s="687" t="s">
        <v>8750</v>
      </c>
      <c r="S231" s="1842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SUM('7층_부하량(월간_AVG)'!D79:F79)</f>
        <v>8.6385174254821546</v>
      </c>
      <c r="AI231" s="676">
        <f>SUM('7층_부하량(월간_AVG)'!D47:F47)</f>
        <v>8.36821985924621</v>
      </c>
      <c r="AJ231" s="1301">
        <f>AH231+AI231</f>
        <v>17.006737284728366</v>
      </c>
      <c r="AK231" s="2913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1390.8</v>
      </c>
      <c r="AL231" s="2914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1351.9</v>
      </c>
      <c r="AM231" s="2921">
        <f t="shared" si="69"/>
        <v>2742.7</v>
      </c>
      <c r="AN231" s="2625" t="s">
        <v>1035</v>
      </c>
      <c r="AO231" s="2631" t="s">
        <v>1036</v>
      </c>
      <c r="AQ231" s="2367">
        <f t="shared" si="70"/>
        <v>3.6864247311827953</v>
      </c>
      <c r="AR231" s="2367">
        <f t="shared" si="71"/>
        <v>-2.0864247311827953</v>
      </c>
      <c r="AS231" s="123" t="str">
        <f>IF(SIGN(AR231)&gt;=0,IF(AM231=0,"무부하 랙","적정함"),"사용초과")</f>
        <v>사용초과</v>
      </c>
      <c r="AT231" t="str">
        <f t="shared" si="75"/>
        <v>Sejong Telecom Inc.</v>
      </c>
      <c r="AU231" t="str">
        <f t="shared" si="76"/>
        <v>C1003</v>
      </c>
      <c r="AZ231" s="123"/>
      <c r="BA231" s="123"/>
      <c r="BB231" s="123"/>
      <c r="BC231" s="3103"/>
      <c r="BD231" s="123"/>
      <c r="BE231" s="3104"/>
      <c r="BF231" s="3105"/>
      <c r="BG231" s="3112"/>
      <c r="BH231" s="3106"/>
      <c r="BI231" s="3107"/>
      <c r="BJ231" s="3108"/>
      <c r="BK231" s="3109"/>
      <c r="BL231" s="3110"/>
    </row>
    <row r="232" spans="1:64" ht="46.8">
      <c r="A232" s="2955"/>
      <c r="B232" s="2595" t="s">
        <v>1041</v>
      </c>
      <c r="C232" s="2596" t="s">
        <v>1042</v>
      </c>
      <c r="D232" s="2595" t="s">
        <v>9249</v>
      </c>
      <c r="E232" s="3062">
        <v>1.6</v>
      </c>
      <c r="F232" s="2595" t="s">
        <v>773</v>
      </c>
      <c r="G232" s="2595"/>
      <c r="H232" s="1831" t="s">
        <v>9113</v>
      </c>
      <c r="I232" s="1839" t="s">
        <v>9114</v>
      </c>
      <c r="J232" s="1831" t="str">
        <f>"7-DaHall 1-"&amp;N232&amp;"-"&amp;M232&amp;"-"&amp;O232</f>
        <v>7-DaHall 1-PDU-01-30-31</v>
      </c>
      <c r="K232" s="1839" t="str">
        <f>"7-DaHall 1-"&amp;R232&amp;"-"&amp;Q232&amp;"-"&amp;S232</f>
        <v>7-DaHall 1-PDU-02-30-31</v>
      </c>
      <c r="L232" s="1833">
        <v>220</v>
      </c>
      <c r="M232" s="1834">
        <v>30</v>
      </c>
      <c r="N232" s="703" t="s">
        <v>8749</v>
      </c>
      <c r="O232" s="1835">
        <v>31</v>
      </c>
      <c r="P232" s="1840">
        <v>220</v>
      </c>
      <c r="Q232" s="1841">
        <v>30</v>
      </c>
      <c r="R232" s="687" t="s">
        <v>8750</v>
      </c>
      <c r="S232" s="1842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52" t="s">
        <v>164</v>
      </c>
      <c r="AC232" s="904" t="s">
        <v>165</v>
      </c>
      <c r="AD232" s="2152" t="s">
        <v>110</v>
      </c>
      <c r="AE232" s="904" t="s">
        <v>111</v>
      </c>
      <c r="AF232" s="2152" t="s">
        <v>31</v>
      </c>
      <c r="AG232" s="904" t="s">
        <v>36</v>
      </c>
      <c r="AH232" s="681">
        <f>SUM('7층_부하량(월간_AVG)'!D78:F78)</f>
        <v>4.5078405440625886</v>
      </c>
      <c r="AI232" s="676">
        <f>SUM('7층_부하량(월간_AVG)'!D46:F46)</f>
        <v>3.7013590801928586</v>
      </c>
      <c r="AJ232" s="1301">
        <f>AH232+AI232</f>
        <v>8.2091996242554472</v>
      </c>
      <c r="AK232" s="2913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685.7</v>
      </c>
      <c r="AL232" s="2914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524.9</v>
      </c>
      <c r="AM232" s="2921">
        <f t="shared" si="69"/>
        <v>1210.5999999999999</v>
      </c>
      <c r="AN232" s="2625" t="s">
        <v>1035</v>
      </c>
      <c r="AO232" s="2631" t="s">
        <v>1036</v>
      </c>
      <c r="AQ232" s="2367">
        <f t="shared" si="70"/>
        <v>1.6271505376344084</v>
      </c>
      <c r="AR232" s="2367">
        <f t="shared" si="71"/>
        <v>-2.7150537634408334E-2</v>
      </c>
      <c r="AS232" s="123" t="str">
        <f>IF(SIGN(AR232)&gt;=0,IF(AM232=0,"무부하 랙","적정함"),"사용초과")</f>
        <v>사용초과</v>
      </c>
      <c r="AT232" t="str">
        <f t="shared" si="75"/>
        <v>Sejong Telecom Inc.</v>
      </c>
      <c r="AU232" t="str">
        <f t="shared" si="76"/>
        <v>C1004</v>
      </c>
      <c r="AZ232" s="123"/>
      <c r="BA232" s="123"/>
      <c r="BB232" s="123"/>
      <c r="BC232" s="3103"/>
      <c r="BD232" s="123"/>
      <c r="BE232" s="3104"/>
      <c r="BF232" s="3105"/>
      <c r="BG232" s="3112"/>
      <c r="BH232" s="3106"/>
      <c r="BI232" s="3107"/>
      <c r="BJ232" s="3108"/>
      <c r="BK232" s="3109"/>
      <c r="BL232" s="3110"/>
    </row>
    <row r="233" spans="1:64" ht="46.8">
      <c r="A233" s="2955"/>
      <c r="B233" s="2595" t="s">
        <v>1045</v>
      </c>
      <c r="C233" s="2597" t="s">
        <v>1046</v>
      </c>
      <c r="D233" s="2595" t="s">
        <v>9249</v>
      </c>
      <c r="E233" s="3062">
        <v>2.2000000000000002</v>
      </c>
      <c r="F233" s="2595" t="s">
        <v>773</v>
      </c>
      <c r="G233" s="2595"/>
      <c r="H233" s="1831" t="s">
        <v>4412</v>
      </c>
      <c r="I233" s="1839" t="s">
        <v>4345</v>
      </c>
      <c r="J233" s="1831" t="str">
        <f>"7-DaHall 1-"&amp;N233&amp;"-"&amp;M233&amp;"-"&amp;O233</f>
        <v>7-DaHall 1-PDU-01-30-39</v>
      </c>
      <c r="K233" s="1839" t="str">
        <f>"7-DaHall 1-"&amp;R233&amp;"-"&amp;Q233&amp;"-"&amp;S233</f>
        <v>7-DaHall 1-PDU-02-30-39</v>
      </c>
      <c r="L233" s="1833">
        <v>220</v>
      </c>
      <c r="M233" s="1834">
        <v>30</v>
      </c>
      <c r="N233" s="703" t="s">
        <v>8749</v>
      </c>
      <c r="O233" s="1835">
        <v>39</v>
      </c>
      <c r="P233" s="1840">
        <v>220</v>
      </c>
      <c r="Q233" s="1841">
        <v>30</v>
      </c>
      <c r="R233" s="687" t="s">
        <v>8750</v>
      </c>
      <c r="S233" s="1842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52" t="s">
        <v>164</v>
      </c>
      <c r="AC233" s="904" t="s">
        <v>165</v>
      </c>
      <c r="AD233" s="2152" t="s">
        <v>110</v>
      </c>
      <c r="AE233" s="904" t="s">
        <v>111</v>
      </c>
      <c r="AF233" s="2152" t="s">
        <v>31</v>
      </c>
      <c r="AG233" s="904" t="s">
        <v>36</v>
      </c>
      <c r="AH233" s="681">
        <f>SUM('7층_부하량(월간_AVG)'!D82:F82)</f>
        <v>1.0428070100126572</v>
      </c>
      <c r="AI233" s="676">
        <f>SUM('7층_부하량(월간_AVG)'!D50:F50)</f>
        <v>1.8575097675227878</v>
      </c>
      <c r="AJ233" s="1301">
        <f>AH233+AI233</f>
        <v>2.900316777535445</v>
      </c>
      <c r="AK233" s="2913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140.80000000000001</v>
      </c>
      <c r="AL233" s="2914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262.60000000000002</v>
      </c>
      <c r="AM233" s="2921">
        <f t="shared" si="69"/>
        <v>403.40000000000003</v>
      </c>
      <c r="AN233" s="2625" t="s">
        <v>1035</v>
      </c>
      <c r="AO233" s="2631"/>
      <c r="AQ233" s="2367">
        <f t="shared" si="70"/>
        <v>0.54220430107526885</v>
      </c>
      <c r="AR233" s="2367">
        <f t="shared" si="71"/>
        <v>1.6577956989247313</v>
      </c>
      <c r="AS233" s="123" t="str">
        <f>IF(SIGN(AR233)&gt;=0,IF(AM233=0,"무부하 랙","적정함"),"사용초과")</f>
        <v>적정함</v>
      </c>
      <c r="AT233" t="str">
        <f t="shared" si="75"/>
        <v/>
      </c>
      <c r="AU233" t="str">
        <f t="shared" si="76"/>
        <v/>
      </c>
      <c r="AZ233" s="123"/>
      <c r="BA233" s="123"/>
      <c r="BB233" s="123"/>
      <c r="BC233" s="3103"/>
      <c r="BD233" s="123"/>
      <c r="BE233" s="3104"/>
      <c r="BF233" s="3105"/>
      <c r="BG233" s="3112"/>
      <c r="BH233" s="3106"/>
      <c r="BI233" s="3107"/>
      <c r="BJ233" s="3108"/>
      <c r="BK233" s="3109"/>
      <c r="BL233" s="3110"/>
    </row>
    <row r="234" spans="1:64" ht="13.5" customHeight="1">
      <c r="A234" s="2955"/>
      <c r="B234" s="2595" t="s">
        <v>1049</v>
      </c>
      <c r="C234" s="733" t="s">
        <v>1050</v>
      </c>
      <c r="D234" s="733" t="s">
        <v>1051</v>
      </c>
      <c r="E234" s="733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25"/>
      <c r="AL234" s="2926"/>
      <c r="AM234" s="2927">
        <f t="shared" si="69"/>
        <v>0</v>
      </c>
      <c r="AN234" s="2625" t="s">
        <v>1013</v>
      </c>
      <c r="AO234" s="2631"/>
      <c r="AQ234" s="2367">
        <f t="shared" si="70"/>
        <v>0</v>
      </c>
      <c r="AR234" s="2367">
        <f t="shared" si="71"/>
        <v>0</v>
      </c>
      <c r="AS234" s="123" t="str">
        <f t="shared" si="72"/>
        <v>미사용 랙</v>
      </c>
      <c r="AT234" t="str">
        <f t="shared" si="75"/>
        <v/>
      </c>
      <c r="AU234" t="str">
        <f t="shared" si="76"/>
        <v/>
      </c>
      <c r="AZ234" s="123"/>
      <c r="BA234" s="123"/>
      <c r="BB234" s="123"/>
      <c r="BC234" s="3103"/>
      <c r="BD234" s="123"/>
      <c r="BE234" s="3104"/>
      <c r="BF234" s="3105"/>
      <c r="BG234" s="3112"/>
      <c r="BH234" s="3106"/>
      <c r="BI234" s="3107"/>
      <c r="BJ234" s="3108"/>
      <c r="BK234" s="3109"/>
      <c r="BL234" s="3110"/>
    </row>
    <row r="235" spans="1:64" ht="13.5" customHeight="1">
      <c r="A235" s="2955"/>
      <c r="B235" s="2595" t="s">
        <v>1052</v>
      </c>
      <c r="C235" s="733" t="s">
        <v>1053</v>
      </c>
      <c r="D235" s="733" t="s">
        <v>1054</v>
      </c>
      <c r="E235" s="733"/>
      <c r="F235" s="919"/>
      <c r="G235" s="919"/>
      <c r="H235" s="1977"/>
      <c r="I235" s="1986"/>
      <c r="J235" s="1977"/>
      <c r="K235" s="1986"/>
      <c r="L235" s="1978"/>
      <c r="M235" s="899"/>
      <c r="N235" s="899"/>
      <c r="O235" s="1980"/>
      <c r="P235" s="1987"/>
      <c r="Q235" s="1979"/>
      <c r="R235" s="899"/>
      <c r="S235" s="1980"/>
      <c r="T235" s="899"/>
      <c r="U235" s="899"/>
      <c r="V235" s="899"/>
      <c r="W235" s="899"/>
      <c r="X235" s="899"/>
      <c r="Y235" s="899"/>
      <c r="Z235" s="899"/>
      <c r="AA235" s="899"/>
      <c r="AB235" s="899"/>
      <c r="AC235" s="899"/>
      <c r="AD235" s="899"/>
      <c r="AE235" s="899"/>
      <c r="AF235" s="899"/>
      <c r="AG235" s="899"/>
      <c r="AH235" s="959"/>
      <c r="AI235" s="960"/>
      <c r="AJ235" s="1315"/>
      <c r="AK235" s="2925"/>
      <c r="AL235" s="2926"/>
      <c r="AM235" s="2927">
        <f t="shared" si="69"/>
        <v>0</v>
      </c>
      <c r="AN235" s="2625" t="s">
        <v>1013</v>
      </c>
      <c r="AO235" s="2631"/>
      <c r="AQ235" s="2367">
        <f t="shared" si="70"/>
        <v>0</v>
      </c>
      <c r="AR235" s="2367">
        <f t="shared" si="71"/>
        <v>0</v>
      </c>
      <c r="AS235" s="123" t="str">
        <f t="shared" si="72"/>
        <v>미사용 랙</v>
      </c>
      <c r="AT235" t="str">
        <f t="shared" si="75"/>
        <v/>
      </c>
      <c r="AU235" t="str">
        <f t="shared" si="76"/>
        <v/>
      </c>
      <c r="AZ235" s="123"/>
      <c r="BA235" s="123"/>
      <c r="BB235" s="123"/>
      <c r="BC235" s="3103"/>
      <c r="BD235" s="123"/>
      <c r="BE235" s="3104"/>
      <c r="BF235" s="3105"/>
      <c r="BG235" s="3112"/>
      <c r="BH235" s="3106"/>
      <c r="BI235" s="3107"/>
      <c r="BJ235" s="3108"/>
      <c r="BK235" s="3109"/>
      <c r="BL235" s="3110"/>
    </row>
    <row r="236" spans="1:64" ht="13.5" customHeight="1">
      <c r="A236" s="2955"/>
      <c r="B236" s="2595" t="s">
        <v>1055</v>
      </c>
      <c r="C236" s="733" t="s">
        <v>1056</v>
      </c>
      <c r="D236" s="733" t="s">
        <v>1057</v>
      </c>
      <c r="E236" s="733"/>
      <c r="F236" s="919"/>
      <c r="G236" s="919"/>
      <c r="H236" s="1977"/>
      <c r="I236" s="1986"/>
      <c r="J236" s="1977"/>
      <c r="K236" s="1986"/>
      <c r="L236" s="1978"/>
      <c r="M236" s="899"/>
      <c r="N236" s="899"/>
      <c r="O236" s="1980"/>
      <c r="P236" s="1987"/>
      <c r="Q236" s="1979"/>
      <c r="R236" s="899"/>
      <c r="S236" s="1980"/>
      <c r="T236" s="899"/>
      <c r="U236" s="899"/>
      <c r="V236" s="899"/>
      <c r="W236" s="899"/>
      <c r="X236" s="899"/>
      <c r="Y236" s="899"/>
      <c r="Z236" s="899"/>
      <c r="AA236" s="899"/>
      <c r="AB236" s="899"/>
      <c r="AC236" s="899"/>
      <c r="AD236" s="899"/>
      <c r="AE236" s="899"/>
      <c r="AF236" s="899"/>
      <c r="AG236" s="899"/>
      <c r="AH236" s="959"/>
      <c r="AI236" s="960"/>
      <c r="AJ236" s="1315"/>
      <c r="AK236" s="2925"/>
      <c r="AL236" s="2926"/>
      <c r="AM236" s="2927">
        <f t="shared" si="69"/>
        <v>0</v>
      </c>
      <c r="AN236" s="2625" t="s">
        <v>1013</v>
      </c>
      <c r="AO236" s="2631"/>
      <c r="AQ236" s="2367">
        <f t="shared" si="70"/>
        <v>0</v>
      </c>
      <c r="AR236" s="2367">
        <f t="shared" si="71"/>
        <v>0</v>
      </c>
      <c r="AS236" s="123" t="str">
        <f t="shared" si="72"/>
        <v>미사용 랙</v>
      </c>
      <c r="AT236" t="str">
        <f t="shared" si="75"/>
        <v/>
      </c>
      <c r="AU236" t="str">
        <f t="shared" si="76"/>
        <v/>
      </c>
      <c r="AZ236" s="123"/>
      <c r="BA236" s="123"/>
      <c r="BB236" s="123"/>
      <c r="BC236" s="3103"/>
      <c r="BD236" s="123"/>
      <c r="BE236" s="3104"/>
      <c r="BF236" s="3105"/>
      <c r="BG236" s="3112"/>
      <c r="BH236" s="3106"/>
      <c r="BI236" s="3107"/>
      <c r="BJ236" s="3108"/>
      <c r="BK236" s="3109"/>
      <c r="BL236" s="3110"/>
    </row>
    <row r="237" spans="1:64" ht="14.25" customHeight="1" thickBot="1">
      <c r="A237" s="2960"/>
      <c r="B237" s="2627" t="s">
        <v>1058</v>
      </c>
      <c r="C237" s="909" t="s">
        <v>1059</v>
      </c>
      <c r="D237" s="909" t="s">
        <v>1060</v>
      </c>
      <c r="E237" s="909"/>
      <c r="F237" s="918"/>
      <c r="G237" s="918"/>
      <c r="H237" s="1988"/>
      <c r="I237" s="1989"/>
      <c r="J237" s="1988"/>
      <c r="K237" s="1989"/>
      <c r="L237" s="1990"/>
      <c r="M237" s="915"/>
      <c r="N237" s="915"/>
      <c r="O237" s="1992"/>
      <c r="P237" s="1993"/>
      <c r="Q237" s="1991"/>
      <c r="R237" s="915"/>
      <c r="S237" s="1992"/>
      <c r="T237" s="915"/>
      <c r="U237" s="915"/>
      <c r="V237" s="915"/>
      <c r="W237" s="915"/>
      <c r="X237" s="915"/>
      <c r="Y237" s="915"/>
      <c r="Z237" s="915"/>
      <c r="AA237" s="915"/>
      <c r="AB237" s="915"/>
      <c r="AC237" s="915"/>
      <c r="AD237" s="915"/>
      <c r="AE237" s="915"/>
      <c r="AF237" s="915"/>
      <c r="AG237" s="915"/>
      <c r="AH237" s="1076"/>
      <c r="AI237" s="1077"/>
      <c r="AJ237" s="1324"/>
      <c r="AK237" s="2925"/>
      <c r="AL237" s="2926"/>
      <c r="AM237" s="2927">
        <f t="shared" si="69"/>
        <v>0</v>
      </c>
      <c r="AN237" s="698" t="s">
        <v>1013</v>
      </c>
      <c r="AO237" s="679"/>
      <c r="AQ237" s="2367">
        <f t="shared" si="70"/>
        <v>0</v>
      </c>
      <c r="AR237" s="2367">
        <f t="shared" si="71"/>
        <v>0</v>
      </c>
      <c r="AS237" s="123" t="str">
        <f t="shared" si="72"/>
        <v>미사용 랙</v>
      </c>
      <c r="AT237" t="str">
        <f t="shared" si="75"/>
        <v/>
      </c>
      <c r="AU237" t="str">
        <f t="shared" si="76"/>
        <v/>
      </c>
      <c r="AZ237" s="123"/>
      <c r="BA237" s="123"/>
      <c r="BB237" s="123"/>
      <c r="BC237" s="3103"/>
      <c r="BD237" s="123"/>
      <c r="BE237" s="3104"/>
      <c r="BF237" s="3105"/>
      <c r="BG237" s="3112"/>
      <c r="BH237" s="3106"/>
      <c r="BI237" s="3107"/>
      <c r="BJ237" s="3108"/>
      <c r="BK237" s="3109"/>
      <c r="BL237" s="3110"/>
    </row>
    <row r="238" spans="1:64" ht="13.5" customHeight="1">
      <c r="A238" s="2961" t="s">
        <v>1061</v>
      </c>
      <c r="B238" s="672" t="s">
        <v>1062</v>
      </c>
      <c r="C238" s="732"/>
      <c r="D238" s="732"/>
      <c r="E238" s="732"/>
      <c r="F238" s="1052"/>
      <c r="G238" s="1052"/>
      <c r="H238" s="1827"/>
      <c r="I238" s="1959"/>
      <c r="J238" s="1827"/>
      <c r="K238" s="1959"/>
      <c r="L238" s="1828"/>
      <c r="M238" s="896"/>
      <c r="N238" s="896"/>
      <c r="O238" s="1830"/>
      <c r="P238" s="1960"/>
      <c r="Q238" s="1961"/>
      <c r="R238" s="1053"/>
      <c r="S238" s="1962"/>
      <c r="T238" s="896"/>
      <c r="U238" s="1053"/>
      <c r="V238" s="732"/>
      <c r="W238" s="732"/>
      <c r="X238" s="732"/>
      <c r="Y238" s="732"/>
      <c r="Z238" s="732"/>
      <c r="AA238" s="732"/>
      <c r="AB238" s="896"/>
      <c r="AC238" s="1053"/>
      <c r="AD238" s="896"/>
      <c r="AE238" s="1053"/>
      <c r="AF238" s="896"/>
      <c r="AG238" s="1053"/>
      <c r="AH238" s="958"/>
      <c r="AI238" s="1071"/>
      <c r="AJ238" s="1311"/>
      <c r="AK238" s="2925"/>
      <c r="AL238" s="2926"/>
      <c r="AM238" s="2927">
        <f t="shared" si="69"/>
        <v>0</v>
      </c>
      <c r="AN238" s="699"/>
      <c r="AO238" s="674"/>
      <c r="AQ238" s="2367">
        <f t="shared" si="70"/>
        <v>0</v>
      </c>
      <c r="AR238" s="2367">
        <f t="shared" si="71"/>
        <v>0</v>
      </c>
      <c r="AS238" s="123" t="str">
        <f t="shared" si="72"/>
        <v>미사용 랙</v>
      </c>
      <c r="AT238" t="str">
        <f t="shared" si="75"/>
        <v/>
      </c>
      <c r="AU238" t="str">
        <f t="shared" si="76"/>
        <v/>
      </c>
      <c r="AZ238" s="123"/>
      <c r="BA238" s="123"/>
      <c r="BB238" s="123"/>
      <c r="BC238" s="3103"/>
      <c r="BD238" s="123"/>
      <c r="BE238" s="3104"/>
      <c r="BF238" s="3105"/>
      <c r="BG238" s="3112"/>
      <c r="BH238" s="3106"/>
      <c r="BI238" s="3107"/>
      <c r="BJ238" s="3108"/>
      <c r="BK238" s="3109"/>
      <c r="BL238" s="3110"/>
    </row>
    <row r="239" spans="1:64" ht="48" customHeight="1">
      <c r="A239" s="2955"/>
      <c r="B239" s="2595" t="s">
        <v>1063</v>
      </c>
      <c r="C239" s="2596" t="s">
        <v>1064</v>
      </c>
      <c r="D239" s="2595" t="s">
        <v>9264</v>
      </c>
      <c r="E239" s="3062">
        <v>2.2000000000000002</v>
      </c>
      <c r="F239" s="2595" t="s">
        <v>27</v>
      </c>
      <c r="G239" s="2595"/>
      <c r="H239" s="1831" t="s">
        <v>9115</v>
      </c>
      <c r="I239" s="1839" t="s">
        <v>9116</v>
      </c>
      <c r="J239" s="1831" t="str">
        <f t="shared" ref="J239:J248" si="77">"7-DaHall 1-"&amp;N239&amp;"-"&amp;M239&amp;"-"&amp;O239</f>
        <v>7-DaHall 1-RPP-03-50-8</v>
      </c>
      <c r="K239" s="1839" t="str">
        <f t="shared" ref="K239:K252" si="78">"7-DaHall 1-"&amp;R239&amp;"-"&amp;Q239&amp;"-"&amp;S239</f>
        <v>7-DaHall 1-RPP-04-50-8</v>
      </c>
      <c r="L239" s="1833">
        <v>220</v>
      </c>
      <c r="M239" s="1834">
        <v>50</v>
      </c>
      <c r="N239" s="703" t="s">
        <v>9092</v>
      </c>
      <c r="O239" s="1835">
        <v>8</v>
      </c>
      <c r="P239" s="1840">
        <v>220</v>
      </c>
      <c r="Q239" s="1841">
        <v>50</v>
      </c>
      <c r="R239" s="687" t="s">
        <v>9093</v>
      </c>
      <c r="S239" s="1842">
        <v>8</v>
      </c>
      <c r="T239" s="703" t="s">
        <v>1065</v>
      </c>
      <c r="U239" s="687" t="s">
        <v>1066</v>
      </c>
      <c r="V239" s="2626" t="s">
        <v>1067</v>
      </c>
      <c r="W239" s="2609" t="s">
        <v>1068</v>
      </c>
      <c r="X239" s="2152" t="s">
        <v>965</v>
      </c>
      <c r="Y239" s="904" t="s">
        <v>966</v>
      </c>
      <c r="Z239" s="2152" t="s">
        <v>967</v>
      </c>
      <c r="AA239" s="904" t="s">
        <v>968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SUM('7층_부하량(월간_AVG)'!N123:P123)</f>
        <v>1.9825772550346199</v>
      </c>
      <c r="AI239" s="676">
        <f>SUM('7층_부하량(월간_AVG)'!N131:P131)</f>
        <v>1.9416075089087841</v>
      </c>
      <c r="AJ239" s="1301">
        <f>AH239+AI239</f>
        <v>3.924184763943404</v>
      </c>
      <c r="AK239" s="2913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305.10000000000002</v>
      </c>
      <c r="AL239" s="2914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296.3</v>
      </c>
      <c r="AM239" s="2921">
        <f t="shared" si="69"/>
        <v>601.40000000000009</v>
      </c>
      <c r="AN239" s="2625" t="s">
        <v>1069</v>
      </c>
      <c r="AO239" s="2631"/>
      <c r="AQ239" s="2367">
        <f t="shared" si="70"/>
        <v>0.80833333333333346</v>
      </c>
      <c r="AR239" s="2367">
        <f t="shared" si="71"/>
        <v>1.3916666666666666</v>
      </c>
      <c r="AS239" s="123" t="str">
        <f>IF(SIGN(AR239)&gt;=0,IF(AM239=0,"무부하 랙","적정함"),"사용초과")</f>
        <v>적정함</v>
      </c>
      <c r="AT239" t="str">
        <f t="shared" si="75"/>
        <v/>
      </c>
      <c r="AU239" t="str">
        <f t="shared" si="76"/>
        <v/>
      </c>
      <c r="AZ239" s="123"/>
      <c r="BA239" s="123"/>
      <c r="BB239" s="123"/>
      <c r="BC239" s="3103"/>
      <c r="BD239" s="123"/>
      <c r="BE239" s="3104"/>
      <c r="BF239" s="3105"/>
      <c r="BG239" s="3112"/>
      <c r="BH239" s="3106"/>
      <c r="BI239" s="3107"/>
      <c r="BJ239" s="3108"/>
      <c r="BK239" s="3109"/>
      <c r="BL239" s="3110"/>
    </row>
    <row r="240" spans="1:64" ht="62.4">
      <c r="A240" s="2955"/>
      <c r="B240" s="2595" t="s">
        <v>1070</v>
      </c>
      <c r="C240" s="2596" t="s">
        <v>1071</v>
      </c>
      <c r="D240" s="2595" t="s">
        <v>9264</v>
      </c>
      <c r="E240" s="3062">
        <v>2.2000000000000002</v>
      </c>
      <c r="F240" s="2595" t="s">
        <v>27</v>
      </c>
      <c r="G240" s="2595"/>
      <c r="H240" s="1831" t="s">
        <v>9117</v>
      </c>
      <c r="I240" s="1839" t="s">
        <v>9118</v>
      </c>
      <c r="J240" s="1831" t="str">
        <f t="shared" si="77"/>
        <v>7-DaHall 1-RPP-03-50-6</v>
      </c>
      <c r="K240" s="1839" t="str">
        <f t="shared" si="78"/>
        <v>7-DaHall 1-RPP-04-50-6</v>
      </c>
      <c r="L240" s="1833">
        <v>220</v>
      </c>
      <c r="M240" s="1834">
        <v>50</v>
      </c>
      <c r="N240" s="703" t="s">
        <v>9092</v>
      </c>
      <c r="O240" s="1835">
        <v>6</v>
      </c>
      <c r="P240" s="1840">
        <v>220</v>
      </c>
      <c r="Q240" s="1841">
        <v>50</v>
      </c>
      <c r="R240" s="687" t="s">
        <v>9093</v>
      </c>
      <c r="S240" s="1842">
        <v>6</v>
      </c>
      <c r="T240" s="703" t="s">
        <v>1072</v>
      </c>
      <c r="U240" s="687" t="s">
        <v>1073</v>
      </c>
      <c r="V240" s="2626" t="s">
        <v>1074</v>
      </c>
      <c r="W240" s="2609" t="s">
        <v>1075</v>
      </c>
      <c r="X240" s="2152" t="s">
        <v>965</v>
      </c>
      <c r="Y240" s="904" t="s">
        <v>966</v>
      </c>
      <c r="Z240" s="2152" t="s">
        <v>967</v>
      </c>
      <c r="AA240" s="904" t="s">
        <v>968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SUM('7층_부하량(월간_AVG)'!N122:P122)</f>
        <v>1.5846086598320743</v>
      </c>
      <c r="AI240" s="676">
        <f>SUM('7층_부하량(월간_AVG)'!N130:P130)</f>
        <v>1.230463695723041</v>
      </c>
      <c r="AJ240" s="1301">
        <f>AH240+AI240</f>
        <v>2.8150723555551154</v>
      </c>
      <c r="AK240" s="2913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40" s="2914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180.5</v>
      </c>
      <c r="AM240" s="2921">
        <f t="shared" si="69"/>
        <v>423.1</v>
      </c>
      <c r="AN240" s="2625" t="s">
        <v>1069</v>
      </c>
      <c r="AO240" s="2631"/>
      <c r="AQ240" s="2367">
        <f t="shared" si="70"/>
        <v>0.56868279569892477</v>
      </c>
      <c r="AR240" s="2367">
        <f t="shared" si="71"/>
        <v>1.6313172043010753</v>
      </c>
      <c r="AS240" s="123" t="str">
        <f>IF(SIGN(AR240)&gt;=0,IF(AM240=0,"무부하 랙","적정함"),"사용초과")</f>
        <v>적정함</v>
      </c>
      <c r="AT240" t="str">
        <f t="shared" si="75"/>
        <v/>
      </c>
      <c r="AU240" t="str">
        <f t="shared" si="76"/>
        <v/>
      </c>
      <c r="AZ240" s="123"/>
      <c r="BA240" s="123"/>
      <c r="BB240" s="123"/>
      <c r="BC240" s="3103"/>
      <c r="BD240" s="123"/>
      <c r="BE240" s="3104"/>
      <c r="BF240" s="3105"/>
      <c r="BG240" s="3112"/>
      <c r="BH240" s="3106"/>
      <c r="BI240" s="3107"/>
      <c r="BJ240" s="3108"/>
      <c r="BK240" s="3109"/>
      <c r="BL240" s="3110"/>
    </row>
    <row r="241" spans="1:64" ht="62.4">
      <c r="A241" s="2955"/>
      <c r="B241" s="2595" t="s">
        <v>1076</v>
      </c>
      <c r="C241" s="2596" t="s">
        <v>1077</v>
      </c>
      <c r="D241" s="2595" t="s">
        <v>9264</v>
      </c>
      <c r="E241" s="3062">
        <v>2.2000000000000002</v>
      </c>
      <c r="F241" s="2595" t="s">
        <v>27</v>
      </c>
      <c r="G241" s="2595"/>
      <c r="H241" s="1831" t="s">
        <v>9119</v>
      </c>
      <c r="I241" s="1839" t="s">
        <v>9120</v>
      </c>
      <c r="J241" s="1831" t="str">
        <f t="shared" si="77"/>
        <v>7-DaHall 1-RPP-03-50-10</v>
      </c>
      <c r="K241" s="1839" t="str">
        <f t="shared" si="78"/>
        <v>7-DaHall 1-RPP-04-50-10</v>
      </c>
      <c r="L241" s="1833">
        <v>220</v>
      </c>
      <c r="M241" s="1834">
        <v>50</v>
      </c>
      <c r="N241" s="703" t="s">
        <v>9092</v>
      </c>
      <c r="O241" s="1835">
        <v>10</v>
      </c>
      <c r="P241" s="1840">
        <v>220</v>
      </c>
      <c r="Q241" s="1841">
        <v>50</v>
      </c>
      <c r="R241" s="687" t="s">
        <v>9093</v>
      </c>
      <c r="S241" s="1842">
        <v>10</v>
      </c>
      <c r="T241" s="703" t="s">
        <v>1078</v>
      </c>
      <c r="U241" s="687" t="s">
        <v>1079</v>
      </c>
      <c r="V241" s="2626" t="s">
        <v>1080</v>
      </c>
      <c r="W241" s="2609" t="s">
        <v>1081</v>
      </c>
      <c r="X241" s="2152" t="s">
        <v>965</v>
      </c>
      <c r="Y241" s="904" t="s">
        <v>966</v>
      </c>
      <c r="Z241" s="2152" t="s">
        <v>967</v>
      </c>
      <c r="AA241" s="904" t="s">
        <v>968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81">
        <f>SUM('7층_부하량(월간_AVG)'!N124:P124)</f>
        <v>2.6170833580273798</v>
      </c>
      <c r="AI241" s="676">
        <f>SUM('7층_부하량(월간_AVG)'!N132:P132)</f>
        <v>2.8513499542163339</v>
      </c>
      <c r="AJ241" s="1301">
        <f>AH241+AI241</f>
        <v>5.4684333122437137</v>
      </c>
      <c r="AK241" s="2913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355.8</v>
      </c>
      <c r="AL241" s="2914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382.9</v>
      </c>
      <c r="AM241" s="2921">
        <f t="shared" si="69"/>
        <v>738.7</v>
      </c>
      <c r="AN241" s="2625" t="s">
        <v>1069</v>
      </c>
      <c r="AO241" s="2631"/>
      <c r="AQ241" s="2367">
        <f t="shared" si="70"/>
        <v>0.99287634408602155</v>
      </c>
      <c r="AR241" s="2367">
        <f t="shared" si="71"/>
        <v>1.2071236559139786</v>
      </c>
      <c r="AS241" s="123" t="str">
        <f>IF(SIGN(AR241)&gt;=0,IF(AM241=0,"무부하 랙","적정함"),"사용초과")</f>
        <v>적정함</v>
      </c>
      <c r="AT241" t="str">
        <f t="shared" si="75"/>
        <v/>
      </c>
      <c r="AU241" t="str">
        <f t="shared" si="76"/>
        <v/>
      </c>
      <c r="AZ241" s="123"/>
      <c r="BA241" s="123"/>
      <c r="BB241" s="123"/>
      <c r="BC241" s="3103"/>
      <c r="BD241" s="123"/>
      <c r="BE241" s="3104"/>
      <c r="BF241" s="3105"/>
      <c r="BG241" s="3112"/>
      <c r="BH241" s="3106"/>
      <c r="BI241" s="3107"/>
      <c r="BJ241" s="3108"/>
      <c r="BK241" s="3109"/>
      <c r="BL241" s="3110"/>
    </row>
    <row r="242" spans="1:64" ht="62.4">
      <c r="A242" s="2955"/>
      <c r="B242" s="2595" t="s">
        <v>1082</v>
      </c>
      <c r="C242" s="2596" t="s">
        <v>1083</v>
      </c>
      <c r="D242" s="2595" t="s">
        <v>9264</v>
      </c>
      <c r="E242" s="3062">
        <v>2.2000000000000002</v>
      </c>
      <c r="F242" s="2595" t="s">
        <v>27</v>
      </c>
      <c r="G242" s="2595"/>
      <c r="H242" s="1831" t="s">
        <v>9121</v>
      </c>
      <c r="I242" s="1839" t="s">
        <v>9122</v>
      </c>
      <c r="J242" s="1831" t="str">
        <f t="shared" si="77"/>
        <v>7-DaHall 1-RPP-03-50-9</v>
      </c>
      <c r="K242" s="1839" t="str">
        <f t="shared" si="78"/>
        <v>7-DaHall 1-RPP-04-50-9</v>
      </c>
      <c r="L242" s="1833">
        <v>220</v>
      </c>
      <c r="M242" s="1834">
        <v>50</v>
      </c>
      <c r="N242" s="703" t="s">
        <v>9092</v>
      </c>
      <c r="O242" s="1835">
        <v>9</v>
      </c>
      <c r="P242" s="1840">
        <v>220</v>
      </c>
      <c r="Q242" s="1841">
        <v>50</v>
      </c>
      <c r="R242" s="687" t="s">
        <v>9093</v>
      </c>
      <c r="S242" s="1842">
        <v>9</v>
      </c>
      <c r="T242" s="703" t="s">
        <v>1084</v>
      </c>
      <c r="U242" s="687" t="s">
        <v>1085</v>
      </c>
      <c r="V242" s="2626" t="s">
        <v>1086</v>
      </c>
      <c r="W242" s="2609" t="s">
        <v>1087</v>
      </c>
      <c r="X242" s="2152" t="s">
        <v>965</v>
      </c>
      <c r="Y242" s="904" t="s">
        <v>966</v>
      </c>
      <c r="Z242" s="2152" t="s">
        <v>967</v>
      </c>
      <c r="AA242" s="904" t="s">
        <v>968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81">
        <f>SUM('7층_부하량(월간_AVG)'!D124:F124)</f>
        <v>2.7519624258589053</v>
      </c>
      <c r="AI242" s="676">
        <f>SUM('7층_부하량(월간_AVG)'!D132:F132)</f>
        <v>1.637979992479152</v>
      </c>
      <c r="AJ242" s="1301">
        <f>AH242+AI242</f>
        <v>4.3899424183380571</v>
      </c>
      <c r="AK242" s="2913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407.9</v>
      </c>
      <c r="AL242" s="2914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244.9</v>
      </c>
      <c r="AM242" s="2921">
        <f t="shared" si="69"/>
        <v>652.79999999999995</v>
      </c>
      <c r="AN242" s="2625" t="s">
        <v>1069</v>
      </c>
      <c r="AO242" s="2631"/>
      <c r="AQ242" s="2367">
        <f t="shared" si="70"/>
        <v>0.87741935483870959</v>
      </c>
      <c r="AR242" s="2367">
        <f t="shared" si="71"/>
        <v>1.3225806451612905</v>
      </c>
      <c r="AS242" s="123" t="str">
        <f>IF(SIGN(AR242)&gt;=0,IF(AM242=0,"무부하 랙","적정함"),"사용초과")</f>
        <v>적정함</v>
      </c>
      <c r="AT242" t="str">
        <f t="shared" si="75"/>
        <v/>
      </c>
      <c r="AU242" t="str">
        <f t="shared" si="76"/>
        <v/>
      </c>
      <c r="AZ242" s="123"/>
      <c r="BA242" s="123"/>
      <c r="BB242" s="123"/>
      <c r="BC242" s="3103"/>
      <c r="BD242" s="123"/>
      <c r="BE242" s="3104"/>
      <c r="BF242" s="3105"/>
      <c r="BG242" s="3112"/>
      <c r="BH242" s="3106"/>
      <c r="BI242" s="3107"/>
      <c r="BJ242" s="3108"/>
      <c r="BK242" s="3109"/>
      <c r="BL242" s="3110"/>
    </row>
    <row r="243" spans="1:64" ht="54" customHeight="1">
      <c r="A243" s="2955"/>
      <c r="B243" s="3280" t="s">
        <v>1088</v>
      </c>
      <c r="C243" s="3290" t="s">
        <v>1089</v>
      </c>
      <c r="D243" s="3292" t="s">
        <v>9264</v>
      </c>
      <c r="E243" s="2597"/>
      <c r="F243" s="2595"/>
      <c r="G243" s="2595" t="s">
        <v>27</v>
      </c>
      <c r="H243" s="1811" t="s">
        <v>9123</v>
      </c>
      <c r="I243" s="1843" t="s">
        <v>9124</v>
      </c>
      <c r="J243" s="1811" t="str">
        <f t="shared" si="77"/>
        <v>7-DaHall 1-B-5-35-42</v>
      </c>
      <c r="K243" s="1843" t="str">
        <f t="shared" si="78"/>
        <v>7-DaHall 1-A-5-35-42</v>
      </c>
      <c r="L243" s="1813">
        <v>48</v>
      </c>
      <c r="M243" s="1814">
        <v>35</v>
      </c>
      <c r="N243" s="2626" t="s">
        <v>847</v>
      </c>
      <c r="O243" s="1815">
        <v>42</v>
      </c>
      <c r="P243" s="1853">
        <v>48</v>
      </c>
      <c r="Q243" s="1854">
        <v>35</v>
      </c>
      <c r="R243" s="2609" t="s">
        <v>848</v>
      </c>
      <c r="S243" s="1844">
        <v>42</v>
      </c>
      <c r="T243" s="2626" t="s">
        <v>1090</v>
      </c>
      <c r="U243" s="2609" t="s">
        <v>1091</v>
      </c>
      <c r="V243" s="2152" t="s">
        <v>851</v>
      </c>
      <c r="W243" s="904" t="s">
        <v>852</v>
      </c>
      <c r="X243" s="2152" t="s">
        <v>47</v>
      </c>
      <c r="Y243" s="904" t="s">
        <v>436</v>
      </c>
      <c r="Z243" s="2152" t="s">
        <v>49</v>
      </c>
      <c r="AA243" s="904" t="s">
        <v>50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94"/>
      <c r="AI243" s="686"/>
      <c r="AJ243" s="3283"/>
      <c r="AK243" s="3284"/>
      <c r="AL243" s="2917"/>
      <c r="AM243" s="2918">
        <f t="shared" si="69"/>
        <v>0</v>
      </c>
      <c r="AN243" s="2230" t="s">
        <v>1069</v>
      </c>
      <c r="AO243" s="1161" t="s">
        <v>1026</v>
      </c>
      <c r="AQ243" s="2367">
        <f t="shared" si="70"/>
        <v>0</v>
      </c>
      <c r="AR243" s="2367">
        <f t="shared" si="71"/>
        <v>0</v>
      </c>
      <c r="AS243" s="123" t="str">
        <f t="shared" si="72"/>
        <v>미사용 랙</v>
      </c>
      <c r="AT243" t="str">
        <f t="shared" si="75"/>
        <v/>
      </c>
      <c r="AU243" t="str">
        <f t="shared" si="76"/>
        <v/>
      </c>
      <c r="AZ243" s="123"/>
      <c r="BA243" s="123"/>
      <c r="BB243" s="123"/>
      <c r="BC243" s="3103"/>
      <c r="BD243" s="123"/>
      <c r="BE243" s="3104"/>
      <c r="BF243" s="3105"/>
      <c r="BG243" s="3112"/>
      <c r="BH243" s="3106"/>
      <c r="BI243" s="3107"/>
      <c r="BJ243" s="3108"/>
      <c r="BK243" s="3109"/>
      <c r="BL243" s="3110"/>
    </row>
    <row r="244" spans="1:64" ht="54" customHeight="1">
      <c r="A244" s="2955"/>
      <c r="B244" s="3280"/>
      <c r="C244" s="3290"/>
      <c r="D244" s="3292"/>
      <c r="E244" s="2597"/>
      <c r="F244" s="2595"/>
      <c r="G244" s="2595" t="s">
        <v>27</v>
      </c>
      <c r="H244" s="1811" t="s">
        <v>9125</v>
      </c>
      <c r="I244" s="1843" t="s">
        <v>9126</v>
      </c>
      <c r="J244" s="1811" t="str">
        <f t="shared" si="77"/>
        <v>7-DaHall 1-B-5-35-43</v>
      </c>
      <c r="K244" s="1843" t="str">
        <f t="shared" si="78"/>
        <v>7-DaHall 1-A-5-35-43</v>
      </c>
      <c r="L244" s="1813">
        <v>48</v>
      </c>
      <c r="M244" s="1814">
        <v>35</v>
      </c>
      <c r="N244" s="2626" t="s">
        <v>847</v>
      </c>
      <c r="O244" s="1815">
        <v>43</v>
      </c>
      <c r="P244" s="1853">
        <v>48</v>
      </c>
      <c r="Q244" s="1854">
        <v>35</v>
      </c>
      <c r="R244" s="2609" t="s">
        <v>848</v>
      </c>
      <c r="S244" s="1844">
        <v>43</v>
      </c>
      <c r="T244" s="2626" t="s">
        <v>1092</v>
      </c>
      <c r="U244" s="2609" t="s">
        <v>1093</v>
      </c>
      <c r="V244" s="2152" t="s">
        <v>851</v>
      </c>
      <c r="W244" s="904" t="s">
        <v>852</v>
      </c>
      <c r="X244" s="2152" t="s">
        <v>47</v>
      </c>
      <c r="Y244" s="904" t="s">
        <v>436</v>
      </c>
      <c r="Z244" s="2152" t="s">
        <v>49</v>
      </c>
      <c r="AA244" s="904" t="s">
        <v>50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94"/>
      <c r="AI244" s="686"/>
      <c r="AJ244" s="3283"/>
      <c r="AK244" s="3284"/>
      <c r="AL244" s="2917"/>
      <c r="AM244" s="2918">
        <f t="shared" si="69"/>
        <v>0</v>
      </c>
      <c r="AN244" s="2230" t="s">
        <v>9127</v>
      </c>
      <c r="AO244" s="1161" t="s">
        <v>1026</v>
      </c>
      <c r="AQ244" s="2367">
        <f t="shared" si="70"/>
        <v>0</v>
      </c>
      <c r="AR244" s="2367">
        <f t="shared" si="71"/>
        <v>0</v>
      </c>
      <c r="AS244" s="123" t="str">
        <f t="shared" si="72"/>
        <v>미사용 랙</v>
      </c>
      <c r="AT244" t="str">
        <f t="shared" si="75"/>
        <v/>
      </c>
      <c r="AU244" t="str">
        <f t="shared" si="76"/>
        <v/>
      </c>
      <c r="AZ244" s="123"/>
      <c r="BA244" s="123"/>
      <c r="BB244" s="123"/>
      <c r="BC244" s="3103"/>
      <c r="BD244" s="123"/>
      <c r="BE244" s="3104"/>
      <c r="BF244" s="3105"/>
      <c r="BG244" s="3112"/>
      <c r="BH244" s="3106"/>
      <c r="BI244" s="3107"/>
      <c r="BJ244" s="3108"/>
      <c r="BK244" s="3109"/>
      <c r="BL244" s="3110"/>
    </row>
    <row r="245" spans="1:64" ht="40.5" customHeight="1">
      <c r="A245" s="2955"/>
      <c r="B245" s="3280"/>
      <c r="C245" s="3290"/>
      <c r="D245" s="3280"/>
      <c r="E245" s="3062">
        <v>2.2000000000000002</v>
      </c>
      <c r="F245" s="2595" t="s">
        <v>27</v>
      </c>
      <c r="G245" s="2595"/>
      <c r="H245" s="1831" t="s">
        <v>9128</v>
      </c>
      <c r="I245" s="1839" t="s">
        <v>9129</v>
      </c>
      <c r="J245" s="1831" t="str">
        <f t="shared" si="77"/>
        <v>7-DaHall 1-RPP-03-50-7</v>
      </c>
      <c r="K245" s="1839" t="str">
        <f t="shared" si="78"/>
        <v>7-DaHall 1-RPP-04-50-7</v>
      </c>
      <c r="L245" s="1833">
        <v>220</v>
      </c>
      <c r="M245" s="1834">
        <v>50</v>
      </c>
      <c r="N245" s="703" t="s">
        <v>9092</v>
      </c>
      <c r="O245" s="1835">
        <v>7</v>
      </c>
      <c r="P245" s="1840">
        <v>220</v>
      </c>
      <c r="Q245" s="1841">
        <v>50</v>
      </c>
      <c r="R245" s="687" t="s">
        <v>9093</v>
      </c>
      <c r="S245" s="1842">
        <v>7</v>
      </c>
      <c r="T245" s="703" t="s">
        <v>1094</v>
      </c>
      <c r="U245" s="687" t="s">
        <v>1095</v>
      </c>
      <c r="V245" s="2626" t="s">
        <v>1096</v>
      </c>
      <c r="W245" s="2609" t="s">
        <v>1097</v>
      </c>
      <c r="X245" s="2152" t="s">
        <v>965</v>
      </c>
      <c r="Y245" s="904" t="s">
        <v>966</v>
      </c>
      <c r="Z245" s="2152" t="s">
        <v>967</v>
      </c>
      <c r="AA245" s="904" t="s">
        <v>968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SUM('7층_부하량(월간_AVG)'!D123:F123)</f>
        <v>2.5443615638815036</v>
      </c>
      <c r="AI245" s="676">
        <f>SUM('7층_부하량(월간_AVG)'!D131:F131)</f>
        <v>4.1385957122946948</v>
      </c>
      <c r="AJ245" s="1301">
        <f>AH245+AI245</f>
        <v>6.6829572761761984</v>
      </c>
      <c r="AK245" s="2913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404.6</v>
      </c>
      <c r="AL245" s="2914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630.70000000000005</v>
      </c>
      <c r="AM245" s="2921">
        <f t="shared" si="69"/>
        <v>1035.3000000000002</v>
      </c>
      <c r="AN245" s="2230" t="s">
        <v>9127</v>
      </c>
      <c r="AO245" s="2631" t="s">
        <v>1026</v>
      </c>
      <c r="AQ245" s="2367">
        <f t="shared" si="70"/>
        <v>1.3915322580645164</v>
      </c>
      <c r="AR245" s="2367">
        <f t="shared" si="71"/>
        <v>0.80846774193548376</v>
      </c>
      <c r="AS245" s="123" t="str">
        <f t="shared" ref="AS245:AS252" si="79">IF(SIGN(AR245)&gt;=0,IF(AM245=0,"무부하 랙","적정함"),"사용초과")</f>
        <v>적정함</v>
      </c>
      <c r="AT245" t="str">
        <f t="shared" si="75"/>
        <v/>
      </c>
      <c r="AU245" t="str">
        <f t="shared" si="76"/>
        <v/>
      </c>
      <c r="AZ245" s="123"/>
      <c r="BA245" s="123"/>
      <c r="BB245" s="123"/>
      <c r="BC245" s="3103"/>
      <c r="BD245" s="123"/>
      <c r="BE245" s="3104"/>
      <c r="BF245" s="3105"/>
      <c r="BG245" s="3112"/>
      <c r="BH245" s="3106"/>
      <c r="BI245" s="3107"/>
      <c r="BJ245" s="3108"/>
      <c r="BK245" s="3109"/>
      <c r="BL245" s="3110"/>
    </row>
    <row r="246" spans="1:64" ht="62.4">
      <c r="A246" s="2955"/>
      <c r="B246" s="2595" t="s">
        <v>1098</v>
      </c>
      <c r="C246" s="2596" t="s">
        <v>1099</v>
      </c>
      <c r="D246" s="2595" t="s">
        <v>9264</v>
      </c>
      <c r="E246" s="3062">
        <v>2.2000000000000002</v>
      </c>
      <c r="F246" s="2595" t="s">
        <v>27</v>
      </c>
      <c r="G246" s="2595"/>
      <c r="H246" s="1831" t="s">
        <v>9130</v>
      </c>
      <c r="I246" s="1839" t="s">
        <v>9131</v>
      </c>
      <c r="J246" s="1831" t="str">
        <f t="shared" si="77"/>
        <v>7-DaHall 1-RPP-03-50-5</v>
      </c>
      <c r="K246" s="1839" t="str">
        <f t="shared" si="78"/>
        <v>7-DaHall 1-RPP-04-50-5</v>
      </c>
      <c r="L246" s="1833">
        <v>220</v>
      </c>
      <c r="M246" s="1834">
        <v>50</v>
      </c>
      <c r="N246" s="703" t="s">
        <v>9092</v>
      </c>
      <c r="O246" s="1835">
        <v>5</v>
      </c>
      <c r="P246" s="1840">
        <v>220</v>
      </c>
      <c r="Q246" s="1841">
        <v>50</v>
      </c>
      <c r="R246" s="687" t="s">
        <v>9093</v>
      </c>
      <c r="S246" s="1842">
        <v>5</v>
      </c>
      <c r="T246" s="703" t="s">
        <v>1100</v>
      </c>
      <c r="U246" s="687" t="s">
        <v>1101</v>
      </c>
      <c r="V246" s="2626" t="s">
        <v>1102</v>
      </c>
      <c r="W246" s="2609" t="s">
        <v>1103</v>
      </c>
      <c r="X246" s="2152" t="s">
        <v>965</v>
      </c>
      <c r="Y246" s="904" t="s">
        <v>966</v>
      </c>
      <c r="Z246" s="2152" t="s">
        <v>967</v>
      </c>
      <c r="AA246" s="904" t="s">
        <v>968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81">
        <f>SUM('7층_부하량(월간_AVG)'!D122:F122)</f>
        <v>3.4542290573589089</v>
      </c>
      <c r="AI246" s="676">
        <f>SUM('7층_부하량(월간_AVG)'!D130:F130)</f>
        <v>4.4847758598187166</v>
      </c>
      <c r="AJ246" s="1301">
        <f>AH246+AI246</f>
        <v>7.9390049171776251</v>
      </c>
      <c r="AK246" s="2913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513.9</v>
      </c>
      <c r="AL246" s="2914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697.1</v>
      </c>
      <c r="AM246" s="2921">
        <f t="shared" si="69"/>
        <v>1211</v>
      </c>
      <c r="AN246" s="2625" t="s">
        <v>1069</v>
      </c>
      <c r="AO246" s="2631"/>
      <c r="AQ246" s="2367">
        <f t="shared" si="70"/>
        <v>1.6276881720430108</v>
      </c>
      <c r="AR246" s="2367">
        <f t="shared" si="71"/>
        <v>0.57231182795698943</v>
      </c>
      <c r="AS246" s="123" t="str">
        <f t="shared" si="79"/>
        <v>적정함</v>
      </c>
      <c r="AT246" t="str">
        <f t="shared" si="75"/>
        <v/>
      </c>
      <c r="AU246" t="str">
        <f t="shared" si="76"/>
        <v/>
      </c>
      <c r="AZ246" s="123"/>
      <c r="BA246" s="123"/>
      <c r="BB246" s="123"/>
      <c r="BC246" s="3103"/>
      <c r="BD246" s="123"/>
      <c r="BE246" s="3104"/>
      <c r="BF246" s="3105"/>
      <c r="BG246" s="3112"/>
      <c r="BH246" s="3106"/>
      <c r="BI246" s="3107"/>
      <c r="BJ246" s="3108"/>
      <c r="BK246" s="3109"/>
      <c r="BL246" s="3110"/>
    </row>
    <row r="247" spans="1:64" ht="62.4">
      <c r="A247" s="2955"/>
      <c r="B247" s="2595" t="s">
        <v>1104</v>
      </c>
      <c r="C247" s="2596" t="s">
        <v>1105</v>
      </c>
      <c r="D247" s="2595" t="s">
        <v>9264</v>
      </c>
      <c r="E247" s="3060">
        <v>2.2000000000000002</v>
      </c>
      <c r="F247" s="2595" t="s">
        <v>27</v>
      </c>
      <c r="G247" s="2595"/>
      <c r="H247" s="1831" t="s">
        <v>9132</v>
      </c>
      <c r="I247" s="1839" t="s">
        <v>9133</v>
      </c>
      <c r="J247" s="1831" t="str">
        <f t="shared" si="77"/>
        <v>7-DaHall 1-RPP-03-50-3</v>
      </c>
      <c r="K247" s="1839" t="str">
        <f t="shared" si="78"/>
        <v>7-DaHall 1-RPP-04-50-3</v>
      </c>
      <c r="L247" s="1833">
        <v>220</v>
      </c>
      <c r="M247" s="1834">
        <v>50</v>
      </c>
      <c r="N247" s="703" t="s">
        <v>9092</v>
      </c>
      <c r="O247" s="1835">
        <v>3</v>
      </c>
      <c r="P247" s="1840">
        <v>220</v>
      </c>
      <c r="Q247" s="1841">
        <v>50</v>
      </c>
      <c r="R247" s="687" t="s">
        <v>9093</v>
      </c>
      <c r="S247" s="1842">
        <v>3</v>
      </c>
      <c r="T247" s="703" t="s">
        <v>1106</v>
      </c>
      <c r="U247" s="687" t="s">
        <v>1107</v>
      </c>
      <c r="V247" s="2626" t="s">
        <v>1108</v>
      </c>
      <c r="W247" s="2609" t="s">
        <v>1109</v>
      </c>
      <c r="X247" s="2152" t="s">
        <v>965</v>
      </c>
      <c r="Y247" s="904" t="s">
        <v>966</v>
      </c>
      <c r="Z247" s="2152" t="s">
        <v>967</v>
      </c>
      <c r="AA247" s="904" t="s">
        <v>968</v>
      </c>
      <c r="AB247" s="2152" t="s">
        <v>51</v>
      </c>
      <c r="AC247" s="904" t="s">
        <v>52</v>
      </c>
      <c r="AD247" s="2152" t="s">
        <v>30</v>
      </c>
      <c r="AE247" s="904" t="s">
        <v>35</v>
      </c>
      <c r="AF247" s="2152" t="s">
        <v>31</v>
      </c>
      <c r="AG247" s="904" t="s">
        <v>36</v>
      </c>
      <c r="AH247" s="681">
        <f>SUM('7층_부하량(월간_AVG)'!D121:F121)</f>
        <v>2.7993312648006219</v>
      </c>
      <c r="AI247" s="676">
        <f>SUM('7층_부하량(월간_AVG)'!D129:F129)</f>
        <v>3.3577218810015981</v>
      </c>
      <c r="AJ247" s="1301">
        <f>AH247+AI247</f>
        <v>6.1570531458022195</v>
      </c>
      <c r="AK247" s="2913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394.5</v>
      </c>
      <c r="AL247" s="2914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506.4</v>
      </c>
      <c r="AM247" s="2921">
        <f t="shared" si="69"/>
        <v>900.9</v>
      </c>
      <c r="AN247" s="2625" t="s">
        <v>1069</v>
      </c>
      <c r="AO247" s="2631"/>
      <c r="AQ247" s="2367">
        <f t="shared" si="70"/>
        <v>1.2108870967741936</v>
      </c>
      <c r="AR247" s="2367">
        <f t="shared" si="71"/>
        <v>0.98911290322580658</v>
      </c>
      <c r="AS247" s="123" t="str">
        <f t="shared" si="79"/>
        <v>적정함</v>
      </c>
      <c r="AT247" t="str">
        <f t="shared" si="75"/>
        <v/>
      </c>
      <c r="AU247" t="str">
        <f t="shared" si="76"/>
        <v/>
      </c>
      <c r="AZ247" s="123"/>
      <c r="BA247" s="123"/>
      <c r="BB247" s="123"/>
      <c r="BC247" s="3103"/>
      <c r="BD247" s="123"/>
      <c r="BE247" s="3104"/>
      <c r="BF247" s="3105"/>
      <c r="BG247" s="3112"/>
      <c r="BH247" s="3106"/>
      <c r="BI247" s="3107"/>
      <c r="BJ247" s="3108"/>
      <c r="BK247" s="3109"/>
      <c r="BL247" s="3110"/>
    </row>
    <row r="248" spans="1:64" ht="63" thickBot="1">
      <c r="A248" s="2955"/>
      <c r="B248" s="2600" t="s">
        <v>1110</v>
      </c>
      <c r="C248" s="3166" t="s">
        <v>1111</v>
      </c>
      <c r="D248" s="2600" t="s">
        <v>9264</v>
      </c>
      <c r="E248" s="3167">
        <v>2.2000000000000002</v>
      </c>
      <c r="F248" s="2600" t="s">
        <v>27</v>
      </c>
      <c r="G248" s="2600"/>
      <c r="H248" s="1927" t="s">
        <v>9134</v>
      </c>
      <c r="I248" s="1928" t="s">
        <v>9135</v>
      </c>
      <c r="J248" s="1927" t="str">
        <f t="shared" si="77"/>
        <v>7-DaHall 1-RPP-03-50-1</v>
      </c>
      <c r="K248" s="1928" t="str">
        <f t="shared" si="78"/>
        <v>7-DaHall 1-RPP-04-50-1</v>
      </c>
      <c r="L248" s="3168">
        <v>220</v>
      </c>
      <c r="M248" s="3169">
        <v>50</v>
      </c>
      <c r="N248" s="1062" t="s">
        <v>9092</v>
      </c>
      <c r="O248" s="3170">
        <v>1</v>
      </c>
      <c r="P248" s="2280">
        <v>220</v>
      </c>
      <c r="Q248" s="1933">
        <v>50</v>
      </c>
      <c r="R248" s="1061" t="s">
        <v>9093</v>
      </c>
      <c r="S248" s="1934">
        <v>1</v>
      </c>
      <c r="T248" s="1062" t="s">
        <v>1112</v>
      </c>
      <c r="U248" s="1061" t="s">
        <v>1113</v>
      </c>
      <c r="V248" s="2589" t="s">
        <v>1114</v>
      </c>
      <c r="W248" s="2591" t="s">
        <v>1115</v>
      </c>
      <c r="X248" s="2152" t="s">
        <v>965</v>
      </c>
      <c r="Y248" s="904" t="s">
        <v>966</v>
      </c>
      <c r="Z248" s="2152" t="s">
        <v>967</v>
      </c>
      <c r="AA248" s="904" t="s">
        <v>968</v>
      </c>
      <c r="AB248" s="2152" t="s">
        <v>51</v>
      </c>
      <c r="AC248" s="904" t="s">
        <v>52</v>
      </c>
      <c r="AD248" s="2152" t="s">
        <v>30</v>
      </c>
      <c r="AE248" s="904" t="s">
        <v>35</v>
      </c>
      <c r="AF248" s="2152" t="s">
        <v>31</v>
      </c>
      <c r="AG248" s="904" t="s">
        <v>36</v>
      </c>
      <c r="AH248" s="1068">
        <f>SUM('7층_부하량(월간_AVG)'!D120:F120)</f>
        <v>1.1777412379764884</v>
      </c>
      <c r="AI248" s="1064">
        <f>SUM('7층_부하량(월간_AVG)'!D128:F128)</f>
        <v>1.1767347473275105</v>
      </c>
      <c r="AJ248" s="3015">
        <f t="shared" ref="AJ248:AJ282" si="80">AH248+AI248</f>
        <v>2.3544759853039992</v>
      </c>
      <c r="AK248" s="3171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169</v>
      </c>
      <c r="AL248" s="3172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M248" s="3173">
        <f t="shared" si="69"/>
        <v>327.10000000000002</v>
      </c>
      <c r="AN248" s="1054" t="s">
        <v>1069</v>
      </c>
      <c r="AO248" s="2616"/>
      <c r="AQ248" s="2367">
        <f t="shared" si="70"/>
        <v>0.43965053763440864</v>
      </c>
      <c r="AR248" s="2367">
        <f t="shared" si="71"/>
        <v>1.7603494623655915</v>
      </c>
      <c r="AS248" s="123" t="str">
        <f t="shared" si="79"/>
        <v>적정함</v>
      </c>
      <c r="AT248" t="str">
        <f t="shared" si="75"/>
        <v/>
      </c>
      <c r="AU248" t="str">
        <f t="shared" si="76"/>
        <v/>
      </c>
      <c r="AZ248" s="123"/>
      <c r="BA248" s="123"/>
      <c r="BB248" s="123"/>
      <c r="BC248" s="3103"/>
      <c r="BD248" s="123"/>
      <c r="BE248" s="3104"/>
      <c r="BF248" s="3105"/>
      <c r="BG248" s="3112"/>
      <c r="BH248" s="3106"/>
      <c r="BI248" s="3107"/>
      <c r="BJ248" s="3108"/>
      <c r="BK248" s="3109"/>
      <c r="BL248" s="3110"/>
    </row>
    <row r="249" spans="1:64">
      <c r="A249" s="3189"/>
      <c r="B249" s="882" t="s">
        <v>9305</v>
      </c>
      <c r="C249" s="3190"/>
      <c r="D249" s="3210" t="s">
        <v>9300</v>
      </c>
      <c r="E249" s="3191"/>
      <c r="F249" s="672"/>
      <c r="G249" s="672"/>
      <c r="H249" s="1935"/>
      <c r="I249" s="1936"/>
      <c r="J249" s="1935"/>
      <c r="K249" s="1936"/>
      <c r="L249" s="2012"/>
      <c r="M249" s="2013"/>
      <c r="N249" s="894"/>
      <c r="O249" s="2014"/>
      <c r="P249" s="2011"/>
      <c r="Q249" s="1941"/>
      <c r="R249" s="704"/>
      <c r="S249" s="1942"/>
      <c r="T249" s="894"/>
      <c r="U249" s="704"/>
      <c r="V249" s="894"/>
      <c r="W249" s="704"/>
      <c r="X249" s="3192"/>
      <c r="Y249" s="3193"/>
      <c r="Z249" s="3192"/>
      <c r="AA249" s="3193"/>
      <c r="AB249" s="3192"/>
      <c r="AC249" s="3193"/>
      <c r="AD249" s="3192"/>
      <c r="AE249" s="3193"/>
      <c r="AF249" s="3192"/>
      <c r="AG249" s="3193"/>
      <c r="AH249" s="3194"/>
      <c r="AI249" s="3195"/>
      <c r="AJ249" s="3196"/>
      <c r="AK249" s="3197"/>
      <c r="AL249" s="3198"/>
      <c r="AM249" s="3199"/>
      <c r="AN249" s="699"/>
      <c r="AO249" s="674"/>
      <c r="AQ249" s="2367"/>
      <c r="AR249" s="2367"/>
      <c r="AS249" s="123"/>
      <c r="AT249" t="str">
        <f t="shared" si="75"/>
        <v/>
      </c>
      <c r="AU249" t="str">
        <f t="shared" si="76"/>
        <v/>
      </c>
      <c r="AZ249" s="123"/>
      <c r="BA249" s="123"/>
      <c r="BB249" s="123"/>
      <c r="BC249" s="3103"/>
      <c r="BD249" s="123"/>
      <c r="BE249" s="3104"/>
      <c r="BF249" s="3105"/>
      <c r="BG249" s="3112"/>
      <c r="BH249" s="3106"/>
      <c r="BI249" s="3107"/>
      <c r="BJ249" s="3108"/>
      <c r="BK249" s="3109"/>
      <c r="BL249" s="3110"/>
    </row>
    <row r="250" spans="1:64" ht="16.2" thickBot="1">
      <c r="A250" s="3200"/>
      <c r="B250" s="2630" t="s">
        <v>9306</v>
      </c>
      <c r="C250" s="2628"/>
      <c r="D250" s="3211" t="s">
        <v>9300</v>
      </c>
      <c r="E250" s="3201"/>
      <c r="F250" s="2627"/>
      <c r="G250" s="2627"/>
      <c r="H250" s="2000"/>
      <c r="I250" s="2001"/>
      <c r="J250" s="2000"/>
      <c r="K250" s="2001"/>
      <c r="L250" s="2002"/>
      <c r="M250" s="2003"/>
      <c r="N250" s="895"/>
      <c r="O250" s="2004"/>
      <c r="P250" s="2005"/>
      <c r="Q250" s="2006"/>
      <c r="R250" s="908"/>
      <c r="S250" s="2007"/>
      <c r="T250" s="895"/>
      <c r="U250" s="908"/>
      <c r="V250" s="895"/>
      <c r="W250" s="908"/>
      <c r="X250" s="3202"/>
      <c r="Y250" s="3203"/>
      <c r="Z250" s="3202"/>
      <c r="AA250" s="3203"/>
      <c r="AB250" s="3202"/>
      <c r="AC250" s="3203"/>
      <c r="AD250" s="3202"/>
      <c r="AE250" s="3203"/>
      <c r="AF250" s="3202"/>
      <c r="AG250" s="3203"/>
      <c r="AH250" s="3204"/>
      <c r="AI250" s="3205"/>
      <c r="AJ250" s="3206"/>
      <c r="AK250" s="3207"/>
      <c r="AL250" s="3208"/>
      <c r="AM250" s="3209"/>
      <c r="AN250" s="698"/>
      <c r="AO250" s="679"/>
      <c r="AQ250" s="2367"/>
      <c r="AR250" s="2367"/>
      <c r="AS250" s="123"/>
      <c r="AT250" t="str">
        <f t="shared" si="75"/>
        <v/>
      </c>
      <c r="AU250" t="str">
        <f t="shared" si="76"/>
        <v/>
      </c>
      <c r="AZ250" s="123"/>
      <c r="BA250" s="123"/>
      <c r="BB250" s="123"/>
      <c r="BC250" s="3103"/>
      <c r="BD250" s="123"/>
      <c r="BE250" s="3104"/>
      <c r="BF250" s="3105"/>
      <c r="BG250" s="3112"/>
      <c r="BH250" s="3106"/>
      <c r="BI250" s="3107"/>
      <c r="BJ250" s="3108"/>
      <c r="BK250" s="3109"/>
      <c r="BL250" s="3110"/>
    </row>
    <row r="251" spans="1:64" ht="47.4" thickBot="1">
      <c r="A251" s="3174"/>
      <c r="B251" s="3175"/>
      <c r="C251" s="3176"/>
      <c r="D251" s="2608" t="s">
        <v>1116</v>
      </c>
      <c r="E251" s="3065">
        <v>2.2000000000000002</v>
      </c>
      <c r="F251" s="2601" t="s">
        <v>27</v>
      </c>
      <c r="G251" s="2601"/>
      <c r="H251" s="3177"/>
      <c r="I251" s="3178" t="s">
        <v>9136</v>
      </c>
      <c r="J251" s="3177"/>
      <c r="K251" s="3178" t="str">
        <f t="shared" si="78"/>
        <v>7-DaHall 1-PDU-02-30-49</v>
      </c>
      <c r="L251" s="3179"/>
      <c r="M251" s="3180"/>
      <c r="N251" s="910"/>
      <c r="O251" s="3181"/>
      <c r="P251" s="1940">
        <v>220</v>
      </c>
      <c r="Q251" s="3182">
        <v>30</v>
      </c>
      <c r="R251" s="2117" t="s">
        <v>8750</v>
      </c>
      <c r="S251" s="3183">
        <v>49</v>
      </c>
      <c r="T251" s="1047"/>
      <c r="U251" s="2117" t="s">
        <v>1117</v>
      </c>
      <c r="V251" s="1059"/>
      <c r="W251" s="1059"/>
      <c r="X251" s="1059"/>
      <c r="Y251" s="1059"/>
      <c r="Z251" s="1059"/>
      <c r="AA251" s="1059"/>
      <c r="AB251" s="1059"/>
      <c r="AC251" s="2969" t="s">
        <v>783</v>
      </c>
      <c r="AD251" s="1059"/>
      <c r="AE251" s="2969" t="s">
        <v>289</v>
      </c>
      <c r="AF251" s="3184"/>
      <c r="AG251" s="2969" t="s">
        <v>36</v>
      </c>
      <c r="AH251" s="3185"/>
      <c r="AI251" s="1305">
        <f>SUM('7층_부하량(월간_AVG)'!D55:F55)</f>
        <v>0.90509394142494615</v>
      </c>
      <c r="AJ251" s="3016">
        <f t="shared" si="80"/>
        <v>0.90509394142494615</v>
      </c>
      <c r="AK251" s="3186"/>
      <c r="AL251" s="3187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102.8</v>
      </c>
      <c r="AM251" s="3188">
        <f t="shared" si="69"/>
        <v>102.8</v>
      </c>
      <c r="AN251" s="1060"/>
      <c r="AO251" s="2617"/>
      <c r="AQ251" s="2367">
        <f t="shared" si="70"/>
        <v>0.13817204301075267</v>
      </c>
      <c r="AR251" s="2367">
        <f t="shared" si="71"/>
        <v>2.0618279569892475</v>
      </c>
      <c r="AS251" s="123" t="str">
        <f t="shared" si="79"/>
        <v>적정함</v>
      </c>
      <c r="AT251" t="str">
        <f t="shared" si="75"/>
        <v/>
      </c>
      <c r="AU251" t="str">
        <f t="shared" si="76"/>
        <v/>
      </c>
      <c r="AZ251" s="123"/>
      <c r="BA251" s="123"/>
      <c r="BB251" s="123"/>
      <c r="BC251" s="3103"/>
      <c r="BD251" s="123"/>
      <c r="BE251" s="3104"/>
      <c r="BF251" s="3105"/>
      <c r="BG251" s="3112"/>
      <c r="BH251" s="3106"/>
      <c r="BI251" s="3107"/>
      <c r="BJ251" s="3108"/>
      <c r="BK251" s="3109"/>
      <c r="BL251" s="3110"/>
    </row>
    <row r="252" spans="1:64" ht="46.8">
      <c r="A252" s="2273"/>
      <c r="B252" s="2274"/>
      <c r="C252" s="2275"/>
      <c r="D252" s="2980" t="s">
        <v>1118</v>
      </c>
      <c r="E252" s="3060">
        <v>2.2000000000000002</v>
      </c>
      <c r="F252" s="2600" t="s">
        <v>27</v>
      </c>
      <c r="G252" s="2600"/>
      <c r="H252" s="2276"/>
      <c r="I252" s="1839" t="s">
        <v>9137</v>
      </c>
      <c r="J252" s="2276"/>
      <c r="K252" s="1839" t="str">
        <f t="shared" si="78"/>
        <v>7-DaHall 1-PDU-02-30-51</v>
      </c>
      <c r="L252" s="2277"/>
      <c r="M252" s="1965"/>
      <c r="N252" s="2278"/>
      <c r="O252" s="2279"/>
      <c r="P252" s="2280">
        <v>220</v>
      </c>
      <c r="Q252" s="1933">
        <v>30</v>
      </c>
      <c r="R252" s="1061" t="s">
        <v>8750</v>
      </c>
      <c r="S252" s="1934">
        <v>51</v>
      </c>
      <c r="T252" s="1062"/>
      <c r="U252" s="1061" t="s">
        <v>1119</v>
      </c>
      <c r="V252" s="1063"/>
      <c r="W252" s="1063"/>
      <c r="X252" s="1063"/>
      <c r="Y252" s="1063"/>
      <c r="Z252" s="1063"/>
      <c r="AA252" s="1063"/>
      <c r="AB252" s="1063"/>
      <c r="AC252" s="2950" t="s">
        <v>783</v>
      </c>
      <c r="AD252" s="732"/>
      <c r="AE252" s="2950" t="s">
        <v>289</v>
      </c>
      <c r="AF252" s="2272"/>
      <c r="AG252" s="2950" t="s">
        <v>36</v>
      </c>
      <c r="AH252" s="2281"/>
      <c r="AI252" s="1064">
        <f>SUM('7층_부하량(월간_AVG)'!D56:F56)</f>
        <v>0.55017027761298676</v>
      </c>
      <c r="AJ252" s="3015">
        <f t="shared" si="80"/>
        <v>0.55017027761298676</v>
      </c>
      <c r="AK252" s="2913"/>
      <c r="AL252" s="2914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74.099999999999994</v>
      </c>
      <c r="AM252" s="2921">
        <f t="shared" si="69"/>
        <v>74.099999999999994</v>
      </c>
      <c r="AN252" s="1054"/>
      <c r="AO252" s="2616"/>
      <c r="AQ252" s="2367">
        <f t="shared" si="70"/>
        <v>9.9596774193548385E-2</v>
      </c>
      <c r="AR252" s="2367">
        <f t="shared" si="71"/>
        <v>2.1004032258064518</v>
      </c>
      <c r="AS252" s="123" t="str">
        <f t="shared" si="79"/>
        <v>적정함</v>
      </c>
      <c r="AT252" t="str">
        <f t="shared" si="75"/>
        <v/>
      </c>
      <c r="AU252" t="str">
        <f t="shared" si="76"/>
        <v/>
      </c>
      <c r="AZ252" s="123"/>
      <c r="BA252" s="123"/>
      <c r="BB252" s="123"/>
      <c r="BC252" s="3103"/>
      <c r="BD252" s="123"/>
      <c r="BE252" s="3104"/>
      <c r="BF252" s="3105"/>
      <c r="BG252" s="3112"/>
      <c r="BH252" s="3106"/>
      <c r="BI252" s="3107"/>
      <c r="BJ252" s="3108"/>
      <c r="BK252" s="3109"/>
      <c r="BL252" s="3110"/>
    </row>
    <row r="253" spans="1:64" ht="27.75" customHeight="1" thickBot="1">
      <c r="A253" s="2282"/>
      <c r="B253" s="2283"/>
      <c r="C253" s="2284"/>
      <c r="D253" s="734" t="s">
        <v>1120</v>
      </c>
      <c r="E253" s="734"/>
      <c r="F253" s="2627"/>
      <c r="G253" s="2627"/>
      <c r="H253" s="2000" t="s">
        <v>9138</v>
      </c>
      <c r="I253" s="1857"/>
      <c r="J253" s="2000" t="str">
        <f t="shared" ref="J253:J266" si="81">"7-DaHall 1-"&amp;N253&amp;"-"&amp;M253&amp;"-"&amp;O253</f>
        <v>7-DaHall 1-PDU-03-225-2</v>
      </c>
      <c r="K253" s="1857"/>
      <c r="L253" s="2002">
        <v>220</v>
      </c>
      <c r="M253" s="2003">
        <v>225</v>
      </c>
      <c r="N253" s="895" t="s">
        <v>8741</v>
      </c>
      <c r="O253" s="2004">
        <v>2</v>
      </c>
      <c r="P253" s="1858"/>
      <c r="Q253" s="1848"/>
      <c r="R253" s="897"/>
      <c r="S253" s="1849"/>
      <c r="T253" s="895"/>
      <c r="U253" s="908"/>
      <c r="V253" s="2628"/>
      <c r="W253" s="2628"/>
      <c r="X253" s="2628"/>
      <c r="Y253" s="2628"/>
      <c r="Z253" s="2628"/>
      <c r="AA253" s="2628"/>
      <c r="AB253" s="2628"/>
      <c r="AC253" s="893"/>
      <c r="AD253" s="2628"/>
      <c r="AE253" s="893"/>
      <c r="AF253" s="2260"/>
      <c r="AG253" s="893"/>
      <c r="AH253" s="690">
        <f>SUM('7층_부하량(월간_AVG)'!N138:P138)</f>
        <v>14.417463469006005</v>
      </c>
      <c r="AI253" s="932"/>
      <c r="AJ253" s="1325">
        <f t="shared" si="80"/>
        <v>14.417463469006005</v>
      </c>
      <c r="AK253" s="2943"/>
      <c r="AL253" s="2944"/>
      <c r="AM253" s="2921">
        <f t="shared" si="69"/>
        <v>0</v>
      </c>
      <c r="AN253" s="698"/>
      <c r="AO253" s="679"/>
      <c r="AQ253" s="2367">
        <f t="shared" si="70"/>
        <v>0</v>
      </c>
      <c r="AR253" s="2367">
        <f t="shared" si="71"/>
        <v>0</v>
      </c>
      <c r="AS253" s="123" t="str">
        <f t="shared" si="72"/>
        <v>미사용 랙</v>
      </c>
      <c r="AT253" t="str">
        <f t="shared" si="75"/>
        <v/>
      </c>
      <c r="AU253" t="str">
        <f t="shared" si="76"/>
        <v/>
      </c>
      <c r="AZ253" s="123"/>
      <c r="BA253" s="123"/>
      <c r="BB253" s="123"/>
      <c r="BC253" s="3103"/>
      <c r="BD253" s="123"/>
      <c r="BE253" s="3104"/>
      <c r="BF253" s="3105"/>
      <c r="BG253" s="3112"/>
      <c r="BH253" s="3106"/>
      <c r="BI253" s="3107"/>
      <c r="BJ253" s="3108"/>
      <c r="BK253" s="3109"/>
      <c r="BL253" s="3110"/>
    </row>
    <row r="254" spans="1:64" ht="27" customHeight="1">
      <c r="A254" s="2967" t="s">
        <v>1121</v>
      </c>
      <c r="B254" s="1049"/>
      <c r="C254" s="2601"/>
      <c r="D254" s="2601"/>
      <c r="E254" s="2601"/>
      <c r="F254" s="2601" t="s">
        <v>773</v>
      </c>
      <c r="G254" s="2601"/>
      <c r="H254" s="2010" t="s">
        <v>9139</v>
      </c>
      <c r="I254" s="1974"/>
      <c r="J254" s="2010" t="str">
        <f t="shared" si="81"/>
        <v>7-DaHall 1-RPP-01-20-1</v>
      </c>
      <c r="K254" s="1974"/>
      <c r="L254" s="1937">
        <v>220</v>
      </c>
      <c r="M254" s="1938">
        <v>20</v>
      </c>
      <c r="N254" s="1047" t="s">
        <v>8775</v>
      </c>
      <c r="O254" s="1939">
        <v>1</v>
      </c>
      <c r="P254" s="1976"/>
      <c r="Q254" s="1954"/>
      <c r="R254" s="957"/>
      <c r="S254" s="1887"/>
      <c r="T254" s="1047" t="s">
        <v>1122</v>
      </c>
      <c r="U254" s="957"/>
      <c r="V254" s="2590" t="s">
        <v>1123</v>
      </c>
      <c r="W254" s="910"/>
      <c r="X254" s="2945" t="s">
        <v>450</v>
      </c>
      <c r="Y254" s="910"/>
      <c r="Z254" s="2945" t="s">
        <v>451</v>
      </c>
      <c r="AA254" s="910"/>
      <c r="AB254" s="2945" t="s">
        <v>452</v>
      </c>
      <c r="AC254" s="910"/>
      <c r="AD254" s="2945" t="s">
        <v>30</v>
      </c>
      <c r="AE254" s="910"/>
      <c r="AF254" s="2945" t="s">
        <v>31</v>
      </c>
      <c r="AG254" s="910"/>
      <c r="AH254" s="1048">
        <f>SUM('7층_부하량(월간_AVG)'!D6:F6)</f>
        <v>0</v>
      </c>
      <c r="AI254" s="1050"/>
      <c r="AJ254" s="1326">
        <f t="shared" si="80"/>
        <v>0</v>
      </c>
      <c r="AK254" s="2913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0</v>
      </c>
      <c r="AL254" s="2914"/>
      <c r="AM254" s="2921">
        <f t="shared" si="69"/>
        <v>0</v>
      </c>
      <c r="AN254" s="2620" t="s">
        <v>1124</v>
      </c>
      <c r="AO254" s="2617"/>
      <c r="AQ254" s="2367">
        <f t="shared" si="70"/>
        <v>0</v>
      </c>
      <c r="AR254" s="2367">
        <f t="shared" si="71"/>
        <v>0</v>
      </c>
      <c r="AS254" s="123" t="str">
        <f t="shared" ref="AS254:AS282" si="82">IF(SIGN(AR254)&gt;=0,IF(AM254=0,"무부하 랙","적정함"),"사용초과")</f>
        <v>무부하 랙</v>
      </c>
      <c r="AT254" t="str">
        <f t="shared" si="75"/>
        <v/>
      </c>
      <c r="AU254" t="str">
        <f t="shared" si="76"/>
        <v/>
      </c>
      <c r="AZ254" s="123"/>
      <c r="BA254" s="123"/>
      <c r="BB254" s="123"/>
      <c r="BC254" s="3103"/>
      <c r="BD254" s="123"/>
      <c r="BE254" s="3104"/>
      <c r="BF254" s="3105"/>
      <c r="BG254" s="3112"/>
      <c r="BH254" s="3106"/>
      <c r="BI254" s="3107"/>
      <c r="BJ254" s="3108"/>
      <c r="BK254" s="3109"/>
      <c r="BL254" s="3110"/>
    </row>
    <row r="255" spans="1:64" ht="62.4">
      <c r="A255" s="2968"/>
      <c r="B255" s="1045"/>
      <c r="C255" s="2595"/>
      <c r="D255" s="2595"/>
      <c r="E255" s="2595"/>
      <c r="F255" s="2595" t="s">
        <v>27</v>
      </c>
      <c r="G255" s="2595"/>
      <c r="H255" s="1831" t="s">
        <v>9140</v>
      </c>
      <c r="I255" s="1857"/>
      <c r="J255" s="1831" t="str">
        <f t="shared" si="81"/>
        <v>7-DaHall 1-RPP-01-30-2</v>
      </c>
      <c r="K255" s="1857"/>
      <c r="L255" s="1833">
        <v>220</v>
      </c>
      <c r="M255" s="1834">
        <v>30</v>
      </c>
      <c r="N255" s="703" t="s">
        <v>8775</v>
      </c>
      <c r="O255" s="1835">
        <v>2</v>
      </c>
      <c r="P255" s="1858"/>
      <c r="Q255" s="1848"/>
      <c r="R255" s="897"/>
      <c r="S255" s="1849"/>
      <c r="T255" s="703" t="s">
        <v>1125</v>
      </c>
      <c r="U255" s="897"/>
      <c r="V255" s="2626" t="s">
        <v>1126</v>
      </c>
      <c r="W255" s="898"/>
      <c r="X255" s="2945" t="s">
        <v>450</v>
      </c>
      <c r="Y255" s="910"/>
      <c r="Z255" s="2945" t="s">
        <v>451</v>
      </c>
      <c r="AA255" s="910"/>
      <c r="AB255" s="2945" t="s">
        <v>452</v>
      </c>
      <c r="AC255" s="910"/>
      <c r="AD255" s="2945" t="s">
        <v>30</v>
      </c>
      <c r="AE255" s="910"/>
      <c r="AF255" s="2945" t="s">
        <v>31</v>
      </c>
      <c r="AG255" s="898"/>
      <c r="AH255" s="681">
        <f>SUM('7층_부하량(월간_AVG)'!N6:P6)</f>
        <v>0</v>
      </c>
      <c r="AI255" s="932"/>
      <c r="AJ255" s="1327">
        <f t="shared" si="80"/>
        <v>0</v>
      </c>
      <c r="AK255" s="2913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0</v>
      </c>
      <c r="AL255" s="2914"/>
      <c r="AM255" s="2921">
        <f t="shared" si="69"/>
        <v>0</v>
      </c>
      <c r="AN255" s="962" t="s">
        <v>1127</v>
      </c>
      <c r="AO255" s="2631"/>
      <c r="AQ255" s="2367">
        <f t="shared" si="70"/>
        <v>0</v>
      </c>
      <c r="AR255" s="2367">
        <f t="shared" si="71"/>
        <v>0</v>
      </c>
      <c r="AS255" s="123" t="str">
        <f t="shared" si="82"/>
        <v>무부하 랙</v>
      </c>
      <c r="AT255" t="str">
        <f t="shared" si="75"/>
        <v/>
      </c>
      <c r="AU255" t="str">
        <f t="shared" si="76"/>
        <v/>
      </c>
      <c r="AZ255" s="123"/>
      <c r="BA255" s="123"/>
      <c r="BB255" s="123"/>
      <c r="BC255" s="3103"/>
      <c r="BD255" s="123"/>
      <c r="BE255" s="3104"/>
      <c r="BF255" s="3105"/>
      <c r="BG255" s="3112"/>
      <c r="BH255" s="3106"/>
      <c r="BI255" s="3107"/>
      <c r="BJ255" s="3108"/>
      <c r="BK255" s="3109"/>
      <c r="BL255" s="3110"/>
    </row>
    <row r="256" spans="1:64" ht="62.4">
      <c r="A256" s="2968"/>
      <c r="B256" s="1045"/>
      <c r="C256" s="2595"/>
      <c r="D256" s="2595"/>
      <c r="E256" s="2595"/>
      <c r="F256" s="2595" t="s">
        <v>27</v>
      </c>
      <c r="G256" s="2595"/>
      <c r="H256" s="1831" t="s">
        <v>9141</v>
      </c>
      <c r="I256" s="1857"/>
      <c r="J256" s="1831" t="str">
        <f t="shared" si="81"/>
        <v>7-DaHall 1-RPP-01-20-3</v>
      </c>
      <c r="K256" s="1857"/>
      <c r="L256" s="1833">
        <v>220</v>
      </c>
      <c r="M256" s="1834">
        <v>20</v>
      </c>
      <c r="N256" s="703" t="s">
        <v>8775</v>
      </c>
      <c r="O256" s="1835">
        <v>3</v>
      </c>
      <c r="P256" s="1858"/>
      <c r="Q256" s="1848"/>
      <c r="R256" s="897"/>
      <c r="S256" s="1849"/>
      <c r="T256" s="703" t="s">
        <v>1128</v>
      </c>
      <c r="U256" s="897"/>
      <c r="V256" s="2626" t="s">
        <v>1129</v>
      </c>
      <c r="W256" s="898"/>
      <c r="X256" s="2945" t="s">
        <v>450</v>
      </c>
      <c r="Y256" s="910"/>
      <c r="Z256" s="2945" t="s">
        <v>451</v>
      </c>
      <c r="AA256" s="910"/>
      <c r="AB256" s="2945" t="s">
        <v>452</v>
      </c>
      <c r="AC256" s="910"/>
      <c r="AD256" s="2945" t="s">
        <v>30</v>
      </c>
      <c r="AE256" s="910"/>
      <c r="AF256" s="2945" t="s">
        <v>31</v>
      </c>
      <c r="AG256" s="898"/>
      <c r="AH256" s="681">
        <f>SUM('7층_부하량(월간_AVG)'!D7:F7)</f>
        <v>0</v>
      </c>
      <c r="AI256" s="932"/>
      <c r="AJ256" s="1327">
        <f t="shared" si="80"/>
        <v>0</v>
      </c>
      <c r="AK256" s="2913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0</v>
      </c>
      <c r="AL256" s="2914"/>
      <c r="AM256" s="2921">
        <f t="shared" si="69"/>
        <v>0</v>
      </c>
      <c r="AN256" s="2629" t="s">
        <v>1130</v>
      </c>
      <c r="AO256" s="2631"/>
      <c r="AQ256" s="2367">
        <f t="shared" si="70"/>
        <v>0</v>
      </c>
      <c r="AR256" s="2367">
        <f t="shared" si="71"/>
        <v>0</v>
      </c>
      <c r="AS256" s="123" t="str">
        <f t="shared" si="82"/>
        <v>무부하 랙</v>
      </c>
      <c r="AT256" t="str">
        <f t="shared" si="75"/>
        <v/>
      </c>
      <c r="AU256" t="str">
        <f t="shared" si="76"/>
        <v/>
      </c>
      <c r="AZ256" s="123"/>
      <c r="BA256" s="123"/>
      <c r="BB256" s="123"/>
      <c r="BC256" s="3103"/>
      <c r="BD256" s="123"/>
      <c r="BE256" s="3104"/>
      <c r="BF256" s="3105"/>
      <c r="BG256" s="3112"/>
      <c r="BH256" s="3106"/>
      <c r="BI256" s="3107"/>
      <c r="BJ256" s="3108"/>
      <c r="BK256" s="3109"/>
      <c r="BL256" s="3110"/>
    </row>
    <row r="257" spans="1:64" ht="62.4">
      <c r="A257" s="2968"/>
      <c r="B257" s="1045"/>
      <c r="C257" s="2595"/>
      <c r="D257" s="2595"/>
      <c r="E257" s="2595"/>
      <c r="F257" s="2595" t="s">
        <v>27</v>
      </c>
      <c r="G257" s="2595"/>
      <c r="H257" s="1831" t="s">
        <v>9142</v>
      </c>
      <c r="I257" s="1857"/>
      <c r="J257" s="1831" t="str">
        <f t="shared" si="81"/>
        <v>7-DaHall 1-RPP-01-20-5</v>
      </c>
      <c r="K257" s="1857"/>
      <c r="L257" s="1833">
        <v>220</v>
      </c>
      <c r="M257" s="1834">
        <v>20</v>
      </c>
      <c r="N257" s="703" t="s">
        <v>8775</v>
      </c>
      <c r="O257" s="1835">
        <v>5</v>
      </c>
      <c r="P257" s="1858"/>
      <c r="Q257" s="1848"/>
      <c r="R257" s="897"/>
      <c r="S257" s="1849"/>
      <c r="T257" s="703" t="s">
        <v>1131</v>
      </c>
      <c r="U257" s="897"/>
      <c r="V257" s="2626" t="s">
        <v>1132</v>
      </c>
      <c r="W257" s="898"/>
      <c r="X257" s="2945" t="s">
        <v>450</v>
      </c>
      <c r="Y257" s="910"/>
      <c r="Z257" s="2945" t="s">
        <v>451</v>
      </c>
      <c r="AA257" s="910"/>
      <c r="AB257" s="2945" t="s">
        <v>452</v>
      </c>
      <c r="AC257" s="910"/>
      <c r="AD257" s="2945" t="s">
        <v>30</v>
      </c>
      <c r="AE257" s="910"/>
      <c r="AF257" s="2945" t="s">
        <v>31</v>
      </c>
      <c r="AG257" s="898"/>
      <c r="AH257" s="681">
        <f>SUM('7층_부하량(월간_AVG)'!D8:F8)</f>
        <v>0</v>
      </c>
      <c r="AI257" s="932"/>
      <c r="AJ257" s="1327">
        <f t="shared" si="80"/>
        <v>0</v>
      </c>
      <c r="AK257" s="2913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0</v>
      </c>
      <c r="AL257" s="2914"/>
      <c r="AM257" s="2921">
        <f t="shared" si="69"/>
        <v>0</v>
      </c>
      <c r="AN257" s="2629" t="s">
        <v>1130</v>
      </c>
      <c r="AO257" s="2631"/>
      <c r="AQ257" s="2367">
        <f t="shared" si="70"/>
        <v>0</v>
      </c>
      <c r="AR257" s="2367">
        <f t="shared" si="71"/>
        <v>0</v>
      </c>
      <c r="AS257" s="123" t="str">
        <f t="shared" si="82"/>
        <v>무부하 랙</v>
      </c>
      <c r="AT257" t="str">
        <f t="shared" si="75"/>
        <v/>
      </c>
      <c r="AU257" t="str">
        <f t="shared" si="76"/>
        <v/>
      </c>
      <c r="AZ257" s="123"/>
      <c r="BA257" s="123"/>
      <c r="BB257" s="123"/>
      <c r="BC257" s="3103"/>
      <c r="BD257" s="123"/>
      <c r="BE257" s="3104"/>
      <c r="BF257" s="3105"/>
      <c r="BG257" s="3112"/>
      <c r="BH257" s="3106"/>
      <c r="BI257" s="3107"/>
      <c r="BJ257" s="3108"/>
      <c r="BK257" s="3109"/>
      <c r="BL257" s="3110"/>
    </row>
    <row r="258" spans="1:64" ht="62.4">
      <c r="A258" s="2968"/>
      <c r="B258" s="1045"/>
      <c r="C258" s="2595"/>
      <c r="D258" s="2595"/>
      <c r="E258" s="2595"/>
      <c r="F258" s="2595" t="s">
        <v>27</v>
      </c>
      <c r="G258" s="2595"/>
      <c r="H258" s="1831" t="s">
        <v>9143</v>
      </c>
      <c r="I258" s="1857"/>
      <c r="J258" s="1831" t="str">
        <f t="shared" si="81"/>
        <v>7-DaHall 1-RPP-01-20-9</v>
      </c>
      <c r="K258" s="1857"/>
      <c r="L258" s="1833">
        <v>220</v>
      </c>
      <c r="M258" s="1834">
        <v>20</v>
      </c>
      <c r="N258" s="703" t="s">
        <v>8775</v>
      </c>
      <c r="O258" s="1835">
        <v>9</v>
      </c>
      <c r="P258" s="1858"/>
      <c r="Q258" s="1848"/>
      <c r="R258" s="897"/>
      <c r="S258" s="1849"/>
      <c r="T258" s="703" t="s">
        <v>1133</v>
      </c>
      <c r="U258" s="897"/>
      <c r="V258" s="2626" t="s">
        <v>1134</v>
      </c>
      <c r="W258" s="898"/>
      <c r="X258" s="2945" t="s">
        <v>450</v>
      </c>
      <c r="Y258" s="910"/>
      <c r="Z258" s="2945" t="s">
        <v>451</v>
      </c>
      <c r="AA258" s="910"/>
      <c r="AB258" s="2945" t="s">
        <v>452</v>
      </c>
      <c r="AC258" s="910"/>
      <c r="AD258" s="2945" t="s">
        <v>30</v>
      </c>
      <c r="AE258" s="910"/>
      <c r="AF258" s="2945" t="s">
        <v>31</v>
      </c>
      <c r="AG258" s="898"/>
      <c r="AH258" s="681">
        <f>SUM('7층_부하량(월간_AVG)'!D10:F10)</f>
        <v>0</v>
      </c>
      <c r="AI258" s="932"/>
      <c r="AJ258" s="1327">
        <f t="shared" si="80"/>
        <v>0</v>
      </c>
      <c r="AK258" s="2913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0</v>
      </c>
      <c r="AL258" s="2914"/>
      <c r="AM258" s="2921">
        <f t="shared" si="69"/>
        <v>0</v>
      </c>
      <c r="AN258" s="2629" t="s">
        <v>1135</v>
      </c>
      <c r="AO258" s="2631"/>
      <c r="AQ258" s="2367">
        <f t="shared" si="70"/>
        <v>0</v>
      </c>
      <c r="AR258" s="2367">
        <f t="shared" si="71"/>
        <v>0</v>
      </c>
      <c r="AS258" s="123" t="str">
        <f t="shared" si="82"/>
        <v>무부하 랙</v>
      </c>
      <c r="AT258" t="str">
        <f t="shared" si="75"/>
        <v/>
      </c>
      <c r="AU258" t="str">
        <f t="shared" si="76"/>
        <v/>
      </c>
      <c r="AZ258" s="123"/>
      <c r="BA258" s="123"/>
      <c r="BB258" s="123"/>
      <c r="BC258" s="3103"/>
      <c r="BD258" s="123"/>
      <c r="BE258" s="3104"/>
      <c r="BF258" s="3105"/>
      <c r="BG258" s="3112"/>
      <c r="BH258" s="3106"/>
      <c r="BI258" s="3107"/>
      <c r="BJ258" s="3108"/>
      <c r="BK258" s="3109"/>
      <c r="BL258" s="3110"/>
    </row>
    <row r="259" spans="1:64" ht="62.4">
      <c r="A259" s="2968"/>
      <c r="B259" s="1045"/>
      <c r="C259" s="2595"/>
      <c r="D259" s="2595"/>
      <c r="E259" s="2595"/>
      <c r="F259" s="2595" t="s">
        <v>27</v>
      </c>
      <c r="G259" s="2595"/>
      <c r="H259" s="1831" t="s">
        <v>9144</v>
      </c>
      <c r="I259" s="1857"/>
      <c r="J259" s="1831" t="str">
        <f t="shared" si="81"/>
        <v>7-DaHall 1-RPP-01-20-13</v>
      </c>
      <c r="K259" s="1857"/>
      <c r="L259" s="1833">
        <v>220</v>
      </c>
      <c r="M259" s="1834">
        <v>20</v>
      </c>
      <c r="N259" s="703" t="s">
        <v>8775</v>
      </c>
      <c r="O259" s="1835">
        <v>13</v>
      </c>
      <c r="P259" s="1858"/>
      <c r="Q259" s="1848"/>
      <c r="R259" s="897"/>
      <c r="S259" s="1849"/>
      <c r="T259" s="703" t="s">
        <v>1136</v>
      </c>
      <c r="U259" s="897"/>
      <c r="V259" s="2626" t="s">
        <v>1137</v>
      </c>
      <c r="W259" s="898"/>
      <c r="X259" s="2945" t="s">
        <v>450</v>
      </c>
      <c r="Y259" s="910"/>
      <c r="Z259" s="2945" t="s">
        <v>451</v>
      </c>
      <c r="AA259" s="910"/>
      <c r="AB259" s="2945" t="s">
        <v>452</v>
      </c>
      <c r="AC259" s="910"/>
      <c r="AD259" s="2945" t="s">
        <v>30</v>
      </c>
      <c r="AE259" s="910"/>
      <c r="AF259" s="2945" t="s">
        <v>31</v>
      </c>
      <c r="AG259" s="898"/>
      <c r="AH259" s="681">
        <f>SUM('7층_부하량(월간_AVG)'!D12:F12)</f>
        <v>0</v>
      </c>
      <c r="AI259" s="932"/>
      <c r="AJ259" s="1327">
        <f t="shared" si="80"/>
        <v>0</v>
      </c>
      <c r="AK259" s="2913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0</v>
      </c>
      <c r="AL259" s="2914"/>
      <c r="AM259" s="2921">
        <f t="shared" si="69"/>
        <v>0</v>
      </c>
      <c r="AN259" s="2629" t="s">
        <v>1138</v>
      </c>
      <c r="AO259" s="2631"/>
      <c r="AQ259" s="2367">
        <f t="shared" si="70"/>
        <v>0</v>
      </c>
      <c r="AR259" s="2367">
        <f t="shared" si="71"/>
        <v>0</v>
      </c>
      <c r="AS259" s="123" t="str">
        <f t="shared" si="82"/>
        <v>무부하 랙</v>
      </c>
      <c r="AT259" t="str">
        <f t="shared" si="75"/>
        <v/>
      </c>
      <c r="AU259" t="str">
        <f t="shared" si="76"/>
        <v/>
      </c>
      <c r="AZ259" s="123"/>
      <c r="BA259" s="123"/>
      <c r="BB259" s="123"/>
      <c r="BC259" s="3103"/>
      <c r="BD259" s="123"/>
      <c r="BE259" s="3104"/>
      <c r="BF259" s="3105"/>
      <c r="BG259" s="3112"/>
      <c r="BH259" s="3106"/>
      <c r="BI259" s="3107"/>
      <c r="BJ259" s="3108"/>
      <c r="BK259" s="3109"/>
      <c r="BL259" s="3110"/>
    </row>
    <row r="260" spans="1:64" ht="62.4">
      <c r="A260" s="2968"/>
      <c r="B260" s="1045"/>
      <c r="C260" s="2595"/>
      <c r="D260" s="2595"/>
      <c r="E260" s="2595"/>
      <c r="F260" s="2595" t="s">
        <v>27</v>
      </c>
      <c r="G260" s="2595"/>
      <c r="H260" s="1831" t="s">
        <v>9145</v>
      </c>
      <c r="I260" s="1857"/>
      <c r="J260" s="1831" t="str">
        <f t="shared" si="81"/>
        <v>7-DaHall 1-RPP-01-20-15</v>
      </c>
      <c r="K260" s="1857"/>
      <c r="L260" s="1833">
        <v>220</v>
      </c>
      <c r="M260" s="1834">
        <v>20</v>
      </c>
      <c r="N260" s="703" t="s">
        <v>8775</v>
      </c>
      <c r="O260" s="1835">
        <v>15</v>
      </c>
      <c r="P260" s="1858"/>
      <c r="Q260" s="1848"/>
      <c r="R260" s="897"/>
      <c r="S260" s="1849"/>
      <c r="T260" s="703" t="s">
        <v>1139</v>
      </c>
      <c r="U260" s="897"/>
      <c r="V260" s="2626" t="s">
        <v>1140</v>
      </c>
      <c r="W260" s="898"/>
      <c r="X260" s="2945" t="s">
        <v>450</v>
      </c>
      <c r="Y260" s="910"/>
      <c r="Z260" s="2945" t="s">
        <v>451</v>
      </c>
      <c r="AA260" s="910"/>
      <c r="AB260" s="2945" t="s">
        <v>452</v>
      </c>
      <c r="AC260" s="910"/>
      <c r="AD260" s="2945" t="s">
        <v>30</v>
      </c>
      <c r="AE260" s="910"/>
      <c r="AF260" s="2945" t="s">
        <v>31</v>
      </c>
      <c r="AG260" s="898"/>
      <c r="AH260" s="681">
        <f>SUM('7층_부하량(월간_AVG)'!D13:F13)</f>
        <v>0</v>
      </c>
      <c r="AI260" s="932"/>
      <c r="AJ260" s="1327">
        <f t="shared" si="80"/>
        <v>0</v>
      </c>
      <c r="AK260" s="2913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0</v>
      </c>
      <c r="AL260" s="2914"/>
      <c r="AM260" s="2921">
        <f t="shared" si="69"/>
        <v>0</v>
      </c>
      <c r="AN260" s="2629" t="s">
        <v>1141</v>
      </c>
      <c r="AO260" s="2631"/>
      <c r="AQ260" s="2367">
        <f t="shared" si="70"/>
        <v>0</v>
      </c>
      <c r="AR260" s="2367">
        <f t="shared" si="71"/>
        <v>0</v>
      </c>
      <c r="AS260" s="123" t="str">
        <f t="shared" si="82"/>
        <v>무부하 랙</v>
      </c>
      <c r="AT260" t="str">
        <f t="shared" si="75"/>
        <v/>
      </c>
      <c r="AU260" t="str">
        <f t="shared" si="76"/>
        <v/>
      </c>
      <c r="AZ260" s="123"/>
      <c r="BA260" s="123"/>
      <c r="BB260" s="123"/>
      <c r="BC260" s="3103"/>
      <c r="BD260" s="123"/>
      <c r="BE260" s="3104"/>
      <c r="BF260" s="3105"/>
      <c r="BG260" s="3112"/>
      <c r="BH260" s="3106"/>
      <c r="BI260" s="3107"/>
      <c r="BJ260" s="3108"/>
      <c r="BK260" s="3109"/>
      <c r="BL260" s="3110"/>
    </row>
    <row r="261" spans="1:64" ht="62.4">
      <c r="A261" s="2968"/>
      <c r="B261" s="1045"/>
      <c r="C261" s="2595"/>
      <c r="D261" s="2595"/>
      <c r="E261" s="2595"/>
      <c r="F261" s="2595" t="s">
        <v>27</v>
      </c>
      <c r="G261" s="2595"/>
      <c r="H261" s="1831" t="s">
        <v>9146</v>
      </c>
      <c r="I261" s="1857"/>
      <c r="J261" s="1831" t="str">
        <f t="shared" si="81"/>
        <v>7-DaHall 1-RPP-01-20-17</v>
      </c>
      <c r="K261" s="1857"/>
      <c r="L261" s="1833">
        <v>220</v>
      </c>
      <c r="M261" s="1834">
        <v>20</v>
      </c>
      <c r="N261" s="703" t="s">
        <v>8775</v>
      </c>
      <c r="O261" s="1835">
        <v>17</v>
      </c>
      <c r="P261" s="1858"/>
      <c r="Q261" s="1848"/>
      <c r="R261" s="897"/>
      <c r="S261" s="1849"/>
      <c r="T261" s="703" t="s">
        <v>1142</v>
      </c>
      <c r="U261" s="897"/>
      <c r="V261" s="2626" t="s">
        <v>1143</v>
      </c>
      <c r="W261" s="898"/>
      <c r="X261" s="2945" t="s">
        <v>450</v>
      </c>
      <c r="Y261" s="910"/>
      <c r="Z261" s="2945" t="s">
        <v>451</v>
      </c>
      <c r="AA261" s="910"/>
      <c r="AB261" s="2945" t="s">
        <v>452</v>
      </c>
      <c r="AC261" s="910"/>
      <c r="AD261" s="2945" t="s">
        <v>30</v>
      </c>
      <c r="AE261" s="910"/>
      <c r="AF261" s="2945" t="s">
        <v>31</v>
      </c>
      <c r="AG261" s="898"/>
      <c r="AH261" s="681">
        <f>SUM('7층_부하량(월간_AVG)'!D14:F14)</f>
        <v>0</v>
      </c>
      <c r="AI261" s="932"/>
      <c r="AJ261" s="1327">
        <f t="shared" si="80"/>
        <v>0</v>
      </c>
      <c r="AK261" s="2913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0</v>
      </c>
      <c r="AL261" s="2914"/>
      <c r="AM261" s="2921">
        <f t="shared" si="69"/>
        <v>0</v>
      </c>
      <c r="AN261" s="1332" t="s">
        <v>1144</v>
      </c>
      <c r="AO261" s="2631"/>
      <c r="AQ261" s="2367">
        <f t="shared" si="70"/>
        <v>0</v>
      </c>
      <c r="AR261" s="2367">
        <f t="shared" si="71"/>
        <v>0</v>
      </c>
      <c r="AS261" s="123" t="str">
        <f t="shared" si="82"/>
        <v>무부하 랙</v>
      </c>
      <c r="AT261" t="str">
        <f t="shared" si="75"/>
        <v/>
      </c>
      <c r="AU261" t="str">
        <f t="shared" si="76"/>
        <v/>
      </c>
      <c r="AZ261" s="123"/>
      <c r="BA261" s="123"/>
      <c r="BB261" s="123"/>
      <c r="BC261" s="3103"/>
      <c r="BD261" s="123"/>
      <c r="BE261" s="3104"/>
      <c r="BF261" s="3105"/>
      <c r="BG261" s="3112"/>
      <c r="BH261" s="3106"/>
      <c r="BI261" s="3107"/>
      <c r="BJ261" s="3108"/>
      <c r="BK261" s="3109"/>
      <c r="BL261" s="3110"/>
    </row>
    <row r="262" spans="1:64" ht="62.4">
      <c r="A262" s="2968"/>
      <c r="B262" s="1045"/>
      <c r="C262" s="2595"/>
      <c r="D262" s="2595"/>
      <c r="E262" s="2595"/>
      <c r="F262" s="2595" t="s">
        <v>27</v>
      </c>
      <c r="G262" s="2595"/>
      <c r="H262" s="1831" t="s">
        <v>9147</v>
      </c>
      <c r="I262" s="1857"/>
      <c r="J262" s="1831" t="str">
        <f t="shared" si="81"/>
        <v>7-DaHall 1-RPP-01-20-27</v>
      </c>
      <c r="K262" s="1857"/>
      <c r="L262" s="1833">
        <v>220</v>
      </c>
      <c r="M262" s="1834">
        <v>20</v>
      </c>
      <c r="N262" s="703" t="s">
        <v>8775</v>
      </c>
      <c r="O262" s="1835">
        <v>27</v>
      </c>
      <c r="P262" s="1858"/>
      <c r="Q262" s="1848"/>
      <c r="R262" s="897"/>
      <c r="S262" s="1849"/>
      <c r="T262" s="703" t="s">
        <v>1145</v>
      </c>
      <c r="U262" s="897"/>
      <c r="V262" s="2626" t="s">
        <v>1146</v>
      </c>
      <c r="W262" s="898"/>
      <c r="X262" s="2945" t="s">
        <v>450</v>
      </c>
      <c r="Y262" s="910"/>
      <c r="Z262" s="2945" t="s">
        <v>451</v>
      </c>
      <c r="AA262" s="910"/>
      <c r="AB262" s="2945" t="s">
        <v>452</v>
      </c>
      <c r="AC262" s="910"/>
      <c r="AD262" s="2945" t="s">
        <v>30</v>
      </c>
      <c r="AE262" s="910"/>
      <c r="AF262" s="2945" t="s">
        <v>31</v>
      </c>
      <c r="AG262" s="898"/>
      <c r="AH262" s="681">
        <f>SUM('7층_부하량(월간_AVG)'!D19:F19)</f>
        <v>3.3507526698250545</v>
      </c>
      <c r="AI262" s="932"/>
      <c r="AJ262" s="1327">
        <f t="shared" si="80"/>
        <v>3.3507526698250545</v>
      </c>
      <c r="AK262" s="2913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429.2</v>
      </c>
      <c r="AL262" s="2914"/>
      <c r="AM262" s="2921">
        <f t="shared" si="69"/>
        <v>429.2</v>
      </c>
      <c r="AN262" s="1332" t="s">
        <v>1147</v>
      </c>
      <c r="AO262" s="2631"/>
      <c r="AQ262" s="2367">
        <f t="shared" si="70"/>
        <v>0.57688172043010755</v>
      </c>
      <c r="AR262" s="2367">
        <f t="shared" si="71"/>
        <v>-0.57688172043010755</v>
      </c>
      <c r="AS262" s="123" t="str">
        <f t="shared" si="82"/>
        <v>사용초과</v>
      </c>
      <c r="AT262">
        <f t="shared" si="75"/>
        <v>0</v>
      </c>
      <c r="AU262">
        <f t="shared" si="76"/>
        <v>0</v>
      </c>
      <c r="AZ262" s="123"/>
      <c r="BA262" s="123"/>
      <c r="BB262" s="123"/>
      <c r="BC262" s="3103"/>
      <c r="BD262" s="123"/>
      <c r="BE262" s="3104"/>
      <c r="BF262" s="3105"/>
      <c r="BG262" s="3112"/>
      <c r="BH262" s="3106"/>
      <c r="BI262" s="3107"/>
      <c r="BJ262" s="3108"/>
      <c r="BK262" s="3109"/>
      <c r="BL262" s="3110"/>
    </row>
    <row r="263" spans="1:64" ht="62.4">
      <c r="A263" s="2968"/>
      <c r="B263" s="1045"/>
      <c r="C263" s="2595"/>
      <c r="D263" s="2595"/>
      <c r="E263" s="2595"/>
      <c r="F263" s="2595" t="s">
        <v>27</v>
      </c>
      <c r="G263" s="2595"/>
      <c r="H263" s="1831" t="s">
        <v>9148</v>
      </c>
      <c r="I263" s="1857"/>
      <c r="J263" s="1831" t="str">
        <f t="shared" si="81"/>
        <v>7-DaHall 1-RPP-01-30-28</v>
      </c>
      <c r="K263" s="1857"/>
      <c r="L263" s="1833">
        <v>220</v>
      </c>
      <c r="M263" s="1834">
        <v>30</v>
      </c>
      <c r="N263" s="703" t="s">
        <v>8775</v>
      </c>
      <c r="O263" s="1835">
        <v>28</v>
      </c>
      <c r="P263" s="1858"/>
      <c r="Q263" s="1848"/>
      <c r="R263" s="897"/>
      <c r="S263" s="1849"/>
      <c r="T263" s="703" t="s">
        <v>1148</v>
      </c>
      <c r="U263" s="897"/>
      <c r="V263" s="2626" t="s">
        <v>1149</v>
      </c>
      <c r="W263" s="898"/>
      <c r="X263" s="2945" t="s">
        <v>450</v>
      </c>
      <c r="Y263" s="910"/>
      <c r="Z263" s="2945" t="s">
        <v>451</v>
      </c>
      <c r="AA263" s="910"/>
      <c r="AB263" s="2945" t="s">
        <v>452</v>
      </c>
      <c r="AC263" s="910"/>
      <c r="AD263" s="2945" t="s">
        <v>30</v>
      </c>
      <c r="AE263" s="910"/>
      <c r="AF263" s="2945" t="s">
        <v>31</v>
      </c>
      <c r="AG263" s="898"/>
      <c r="AH263" s="681">
        <f>SUM('7층_부하량(월간_AVG)'!N19:P19)</f>
        <v>1.5886038510586329</v>
      </c>
      <c r="AI263" s="932"/>
      <c r="AJ263" s="1327">
        <f t="shared" si="80"/>
        <v>1.5886038510586329</v>
      </c>
      <c r="AK263" s="2913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3" s="2914"/>
      <c r="AM263" s="2921">
        <f t="shared" si="69"/>
        <v>131.5</v>
      </c>
      <c r="AN263" s="1332" t="s">
        <v>1150</v>
      </c>
      <c r="AO263" s="2631"/>
      <c r="AQ263" s="2367">
        <f t="shared" si="70"/>
        <v>0.176747311827957</v>
      </c>
      <c r="AR263" s="2367">
        <f t="shared" si="71"/>
        <v>-0.176747311827957</v>
      </c>
      <c r="AS263" s="123" t="str">
        <f t="shared" si="82"/>
        <v>사용초과</v>
      </c>
      <c r="AT263">
        <f t="shared" si="75"/>
        <v>0</v>
      </c>
      <c r="AU263">
        <f t="shared" si="76"/>
        <v>0</v>
      </c>
      <c r="AZ263" s="123"/>
      <c r="BA263" s="123"/>
      <c r="BB263" s="123"/>
      <c r="BC263" s="3103"/>
      <c r="BD263" s="123"/>
      <c r="BE263" s="3104"/>
      <c r="BF263" s="3105"/>
      <c r="BG263" s="3112"/>
      <c r="BH263" s="3106"/>
      <c r="BI263" s="3107"/>
      <c r="BJ263" s="3108"/>
      <c r="BK263" s="3109"/>
      <c r="BL263" s="3110"/>
    </row>
    <row r="264" spans="1:64" ht="62.4">
      <c r="A264" s="2968"/>
      <c r="B264" s="1045"/>
      <c r="C264" s="2595"/>
      <c r="D264" s="2595"/>
      <c r="E264" s="2595"/>
      <c r="F264" s="2595" t="s">
        <v>27</v>
      </c>
      <c r="G264" s="2595"/>
      <c r="H264" s="1831" t="s">
        <v>9149</v>
      </c>
      <c r="I264" s="1857"/>
      <c r="J264" s="1831" t="str">
        <f t="shared" si="81"/>
        <v>7-DaHall 1-RPP-01-20-29</v>
      </c>
      <c r="K264" s="1857"/>
      <c r="L264" s="1833">
        <v>220</v>
      </c>
      <c r="M264" s="1834">
        <v>20</v>
      </c>
      <c r="N264" s="703" t="s">
        <v>8775</v>
      </c>
      <c r="O264" s="1835">
        <v>29</v>
      </c>
      <c r="P264" s="1858"/>
      <c r="Q264" s="1848"/>
      <c r="R264" s="897"/>
      <c r="S264" s="1849"/>
      <c r="T264" s="703" t="s">
        <v>1151</v>
      </c>
      <c r="U264" s="897"/>
      <c r="V264" s="2626" t="s">
        <v>1152</v>
      </c>
      <c r="W264" s="898"/>
      <c r="X264" s="2945" t="s">
        <v>450</v>
      </c>
      <c r="Y264" s="910"/>
      <c r="Z264" s="2945" t="s">
        <v>451</v>
      </c>
      <c r="AA264" s="910"/>
      <c r="AB264" s="2945" t="s">
        <v>452</v>
      </c>
      <c r="AC264" s="910"/>
      <c r="AD264" s="2945" t="s">
        <v>30</v>
      </c>
      <c r="AE264" s="910"/>
      <c r="AF264" s="2945" t="s">
        <v>31</v>
      </c>
      <c r="AG264" s="898"/>
      <c r="AH264" s="681">
        <f>SUM('7층_부하량(월간_AVG)'!D20:F20)</f>
        <v>4.1683632263997223</v>
      </c>
      <c r="AI264" s="932"/>
      <c r="AJ264" s="1327">
        <f t="shared" si="80"/>
        <v>4.1683632263997223</v>
      </c>
      <c r="AK264" s="2913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4" s="2914"/>
      <c r="AM264" s="2921">
        <f t="shared" si="69"/>
        <v>131.5</v>
      </c>
      <c r="AN264" s="1332" t="s">
        <v>1153</v>
      </c>
      <c r="AO264" s="2631"/>
      <c r="AQ264" s="2367">
        <f t="shared" si="70"/>
        <v>0.176747311827957</v>
      </c>
      <c r="AR264" s="2367">
        <f t="shared" si="71"/>
        <v>-0.176747311827957</v>
      </c>
      <c r="AS264" s="123" t="str">
        <f t="shared" si="82"/>
        <v>사용초과</v>
      </c>
      <c r="AT264">
        <f t="shared" si="75"/>
        <v>0</v>
      </c>
      <c r="AU264">
        <f t="shared" si="76"/>
        <v>0</v>
      </c>
      <c r="AZ264" s="123"/>
      <c r="BA264" s="123"/>
      <c r="BB264" s="123"/>
      <c r="BC264" s="3103"/>
      <c r="BD264" s="123"/>
      <c r="BE264" s="3104"/>
      <c r="BF264" s="3105"/>
      <c r="BG264" s="3112"/>
      <c r="BH264" s="3106"/>
      <c r="BI264" s="3107"/>
      <c r="BJ264" s="3108"/>
      <c r="BK264" s="3109"/>
      <c r="BL264" s="3110"/>
    </row>
    <row r="265" spans="1:64" ht="62.4">
      <c r="A265" s="2968"/>
      <c r="B265" s="1045"/>
      <c r="C265" s="2595"/>
      <c r="D265" s="2595"/>
      <c r="E265" s="2595"/>
      <c r="F265" s="2595" t="s">
        <v>27</v>
      </c>
      <c r="G265" s="2595"/>
      <c r="H265" s="1831" t="s">
        <v>9150</v>
      </c>
      <c r="I265" s="1857"/>
      <c r="J265" s="1831" t="str">
        <f t="shared" si="81"/>
        <v>7-DaHall 1-RPP-01-30-30</v>
      </c>
      <c r="K265" s="1857"/>
      <c r="L265" s="1833">
        <v>220</v>
      </c>
      <c r="M265" s="1834">
        <v>30</v>
      </c>
      <c r="N265" s="703" t="s">
        <v>8775</v>
      </c>
      <c r="O265" s="1835">
        <v>30</v>
      </c>
      <c r="P265" s="1858"/>
      <c r="Q265" s="1848"/>
      <c r="R265" s="897"/>
      <c r="S265" s="1849"/>
      <c r="T265" s="703" t="s">
        <v>1154</v>
      </c>
      <c r="U265" s="897"/>
      <c r="V265" s="2626" t="s">
        <v>1155</v>
      </c>
      <c r="W265" s="898"/>
      <c r="X265" s="2945" t="s">
        <v>450</v>
      </c>
      <c r="Y265" s="910"/>
      <c r="Z265" s="2945" t="s">
        <v>451</v>
      </c>
      <c r="AA265" s="910"/>
      <c r="AB265" s="2945" t="s">
        <v>452</v>
      </c>
      <c r="AC265" s="910"/>
      <c r="AD265" s="2945" t="s">
        <v>30</v>
      </c>
      <c r="AE265" s="910"/>
      <c r="AF265" s="2945" t="s">
        <v>31</v>
      </c>
      <c r="AG265" s="898"/>
      <c r="AH265" s="681">
        <f>SUM('7층_부하량(월간_AVG)'!N20:P20)</f>
        <v>4.4077855847119389</v>
      </c>
      <c r="AI265" s="932"/>
      <c r="AJ265" s="1327">
        <f t="shared" si="80"/>
        <v>4.4077855847119389</v>
      </c>
      <c r="AK265" s="2913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521.4</v>
      </c>
      <c r="AL265" s="2914"/>
      <c r="AM265" s="2921">
        <f t="shared" si="69"/>
        <v>521.4</v>
      </c>
      <c r="AN265" s="1332" t="s">
        <v>1156</v>
      </c>
      <c r="AO265" s="2631"/>
      <c r="AQ265" s="2367">
        <f t="shared" si="70"/>
        <v>0.70080645161290323</v>
      </c>
      <c r="AR265" s="2367">
        <f t="shared" si="71"/>
        <v>-0.70080645161290323</v>
      </c>
      <c r="AS265" s="123" t="str">
        <f t="shared" si="82"/>
        <v>사용초과</v>
      </c>
      <c r="AT265">
        <f t="shared" si="75"/>
        <v>0</v>
      </c>
      <c r="AU265">
        <f t="shared" si="76"/>
        <v>0</v>
      </c>
      <c r="AZ265" s="123"/>
      <c r="BA265" s="123"/>
      <c r="BB265" s="123"/>
      <c r="BC265" s="3103"/>
      <c r="BD265" s="123"/>
      <c r="BE265" s="3104"/>
      <c r="BF265" s="3105"/>
      <c r="BG265" s="3112"/>
      <c r="BH265" s="3106"/>
      <c r="BI265" s="3107"/>
      <c r="BJ265" s="3108"/>
      <c r="BK265" s="3109"/>
      <c r="BL265" s="3110"/>
    </row>
    <row r="266" spans="1:64" ht="63" thickBot="1">
      <c r="A266" s="2968"/>
      <c r="B266" s="1045"/>
      <c r="C266" s="2595"/>
      <c r="D266" s="2595"/>
      <c r="E266" s="2595"/>
      <c r="F266" s="2595" t="s">
        <v>27</v>
      </c>
      <c r="G266" s="2595"/>
      <c r="H266" s="1831" t="s">
        <v>9151</v>
      </c>
      <c r="I266" s="1857"/>
      <c r="J266" s="1831" t="str">
        <f t="shared" si="81"/>
        <v>7-DaHall 1-RPP-01-20-31</v>
      </c>
      <c r="K266" s="1857"/>
      <c r="L266" s="1833">
        <v>220</v>
      </c>
      <c r="M266" s="1834">
        <v>20</v>
      </c>
      <c r="N266" s="703" t="s">
        <v>8775</v>
      </c>
      <c r="O266" s="1835">
        <v>31</v>
      </c>
      <c r="P266" s="1858"/>
      <c r="Q266" s="1848"/>
      <c r="R266" s="897"/>
      <c r="S266" s="1849"/>
      <c r="T266" s="703" t="s">
        <v>1157</v>
      </c>
      <c r="U266" s="897"/>
      <c r="V266" s="2626" t="s">
        <v>1158</v>
      </c>
      <c r="W266" s="898"/>
      <c r="X266" s="2945" t="s">
        <v>450</v>
      </c>
      <c r="Y266" s="910"/>
      <c r="Z266" s="2945" t="s">
        <v>451</v>
      </c>
      <c r="AA266" s="910"/>
      <c r="AB266" s="2945" t="s">
        <v>452</v>
      </c>
      <c r="AC266" s="910"/>
      <c r="AD266" s="2945" t="s">
        <v>30</v>
      </c>
      <c r="AE266" s="910"/>
      <c r="AF266" s="2945" t="s">
        <v>31</v>
      </c>
      <c r="AG266" s="898"/>
      <c r="AH266" s="681">
        <f>SUM('7층_부하량(월간_AVG)'!D21:F21)</f>
        <v>5.7145312967792243</v>
      </c>
      <c r="AI266" s="932"/>
      <c r="AJ266" s="1327">
        <f t="shared" si="80"/>
        <v>5.7145312967792243</v>
      </c>
      <c r="AK266" s="2913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582.9</v>
      </c>
      <c r="AL266" s="2914"/>
      <c r="AM266" s="2921">
        <f t="shared" ref="AM266:AM282" si="83">SUBTOTAL(9,AK266:AL266)</f>
        <v>582.9</v>
      </c>
      <c r="AN266" s="1332" t="s">
        <v>1159</v>
      </c>
      <c r="AO266" s="2631"/>
      <c r="AQ266" s="2367">
        <f t="shared" ref="AQ266:AQ282" si="84">AM266/(24*31)</f>
        <v>0.78346774193548385</v>
      </c>
      <c r="AR266" s="2367">
        <f t="shared" ref="AR266:AR282" si="85">E266-AQ266</f>
        <v>-0.78346774193548385</v>
      </c>
      <c r="AS266" s="123" t="str">
        <f t="shared" si="82"/>
        <v>사용초과</v>
      </c>
      <c r="AT266">
        <f t="shared" si="75"/>
        <v>0</v>
      </c>
      <c r="AU266">
        <f t="shared" si="76"/>
        <v>0</v>
      </c>
      <c r="AZ266" s="123"/>
      <c r="BA266" s="123"/>
      <c r="BB266" s="123"/>
      <c r="BC266" s="3103"/>
      <c r="BD266" s="123"/>
      <c r="BE266" s="3104"/>
      <c r="BF266" s="3105"/>
      <c r="BG266" s="3112"/>
      <c r="BH266" s="3106"/>
      <c r="BI266" s="3107"/>
      <c r="BJ266" s="3108"/>
      <c r="BK266" s="3109"/>
      <c r="BL266" s="3110"/>
    </row>
    <row r="267" spans="1:64" ht="27" customHeight="1">
      <c r="A267" s="2968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9152</v>
      </c>
      <c r="J267" s="1994"/>
      <c r="K267" s="1936" t="str">
        <f>"7-DaHall 1-"&amp;R267&amp;"-"&amp;Q267&amp;"-"&amp;S267</f>
        <v>7-DaHall 1-PDU-02-30-50</v>
      </c>
      <c r="L267" s="1996"/>
      <c r="M267" s="1997"/>
      <c r="N267" s="906"/>
      <c r="O267" s="1998"/>
      <c r="P267" s="2011">
        <v>220</v>
      </c>
      <c r="Q267" s="1941">
        <v>30</v>
      </c>
      <c r="R267" s="704" t="s">
        <v>8750</v>
      </c>
      <c r="S267" s="1942">
        <v>50</v>
      </c>
      <c r="T267" s="906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950" t="s">
        <v>165</v>
      </c>
      <c r="AD267" s="732"/>
      <c r="AE267" s="2950" t="s">
        <v>111</v>
      </c>
      <c r="AF267" s="896"/>
      <c r="AG267" s="2950" t="s">
        <v>36</v>
      </c>
      <c r="AH267" s="938"/>
      <c r="AI267" s="933">
        <f>SUM('7층_부하량(월간_AVG)'!N55:P55)</f>
        <v>3.4988071971104837</v>
      </c>
      <c r="AJ267" s="1329">
        <f t="shared" si="80"/>
        <v>3.4988071971104837</v>
      </c>
      <c r="AK267" s="2913"/>
      <c r="AL267" s="2914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339.7</v>
      </c>
      <c r="AM267" s="2921">
        <f t="shared" si="83"/>
        <v>339.7</v>
      </c>
      <c r="AN267" s="1333" t="s">
        <v>1161</v>
      </c>
      <c r="AO267" s="674"/>
      <c r="AQ267" s="2367">
        <f t="shared" si="84"/>
        <v>0.4565860215053763</v>
      </c>
      <c r="AR267" s="2367">
        <f t="shared" si="85"/>
        <v>-0.4565860215053763</v>
      </c>
      <c r="AS267" s="123" t="str">
        <f t="shared" si="82"/>
        <v>사용초과</v>
      </c>
      <c r="AT267">
        <f t="shared" si="75"/>
        <v>0</v>
      </c>
      <c r="AU267">
        <f t="shared" si="76"/>
        <v>0</v>
      </c>
      <c r="AZ267" s="123"/>
      <c r="BA267" s="123"/>
      <c r="BB267" s="123"/>
      <c r="BC267" s="3103"/>
      <c r="BD267" s="123"/>
      <c r="BE267" s="3104"/>
      <c r="BF267" s="3105"/>
      <c r="BG267" s="3112"/>
      <c r="BH267" s="3106"/>
      <c r="BI267" s="3107"/>
      <c r="BJ267" s="3108"/>
      <c r="BK267" s="3109"/>
      <c r="BL267" s="3110"/>
    </row>
    <row r="268" spans="1:64" ht="46.8">
      <c r="A268" s="2968"/>
      <c r="B268" s="1045"/>
      <c r="C268" s="2595"/>
      <c r="D268" s="2595"/>
      <c r="E268" s="2595"/>
      <c r="F268" s="2595" t="s">
        <v>27</v>
      </c>
      <c r="G268" s="2595"/>
      <c r="H268" s="1891"/>
      <c r="I268" s="1839" t="s">
        <v>9153</v>
      </c>
      <c r="J268" s="1891"/>
      <c r="K268" s="1839" t="str">
        <f>"7-DaHall 1-"&amp;R268&amp;"-"&amp;Q268&amp;"-"&amp;S268</f>
        <v>7-DaHall 1-PDU-02-30-52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8750</v>
      </c>
      <c r="S268" s="1842">
        <v>52</v>
      </c>
      <c r="T268" s="912"/>
      <c r="U268" s="687" t="s">
        <v>1162</v>
      </c>
      <c r="V268" s="897"/>
      <c r="W268" s="897"/>
      <c r="X268" s="897"/>
      <c r="Y268" s="897"/>
      <c r="Z268" s="897"/>
      <c r="AA268" s="897"/>
      <c r="AB268" s="897"/>
      <c r="AC268" s="2969" t="s">
        <v>165</v>
      </c>
      <c r="AD268" s="897"/>
      <c r="AE268" s="2969" t="s">
        <v>111</v>
      </c>
      <c r="AF268" s="897"/>
      <c r="AG268" s="2969" t="s">
        <v>9154</v>
      </c>
      <c r="AH268" s="935"/>
      <c r="AI268" s="902">
        <f>SUM('7층_부하량(월간_AVG)'!N56:P56)</f>
        <v>0</v>
      </c>
      <c r="AJ268" s="1327">
        <f t="shared" si="80"/>
        <v>0</v>
      </c>
      <c r="AK268" s="2913"/>
      <c r="AL268" s="2914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0</v>
      </c>
      <c r="AM268" s="2921">
        <f t="shared" si="83"/>
        <v>0</v>
      </c>
      <c r="AN268" s="2629" t="s">
        <v>1163</v>
      </c>
      <c r="AO268" s="2631"/>
      <c r="AQ268" s="2367">
        <f t="shared" si="84"/>
        <v>0</v>
      </c>
      <c r="AR268" s="2367">
        <f t="shared" si="85"/>
        <v>0</v>
      </c>
      <c r="AS268" s="123" t="str">
        <f t="shared" si="82"/>
        <v>무부하 랙</v>
      </c>
      <c r="AT268" t="str">
        <f t="shared" si="75"/>
        <v/>
      </c>
      <c r="AU268" t="str">
        <f t="shared" si="76"/>
        <v/>
      </c>
      <c r="AZ268" s="123"/>
      <c r="BA268" s="123"/>
      <c r="BB268" s="123"/>
      <c r="BC268" s="3103"/>
      <c r="BD268" s="123"/>
      <c r="BE268" s="3104"/>
      <c r="BF268" s="3105"/>
      <c r="BG268" s="3112"/>
      <c r="BH268" s="3106"/>
      <c r="BI268" s="3107"/>
      <c r="BJ268" s="3108"/>
      <c r="BK268" s="3109"/>
      <c r="BL268" s="3110"/>
    </row>
    <row r="269" spans="1:64" ht="47.4" thickBot="1">
      <c r="A269" s="2968"/>
      <c r="B269" s="1045"/>
      <c r="C269" s="2627"/>
      <c r="D269" s="2627"/>
      <c r="E269" s="2627"/>
      <c r="F269" s="2627" t="s">
        <v>27</v>
      </c>
      <c r="G269" s="2627"/>
      <c r="H269" s="1967"/>
      <c r="I269" s="2001" t="s">
        <v>9155</v>
      </c>
      <c r="J269" s="1967"/>
      <c r="K269" s="2001" t="str">
        <f>"7-DaHall 1-"&amp;R269&amp;"-"&amp;Q269&amp;"-"&amp;S269</f>
        <v>7-DaHall 1-PDU-02-30-54</v>
      </c>
      <c r="L269" s="1969"/>
      <c r="M269" s="1970"/>
      <c r="N269" s="907"/>
      <c r="O269" s="1971"/>
      <c r="P269" s="2005">
        <v>220</v>
      </c>
      <c r="Q269" s="2006">
        <v>30</v>
      </c>
      <c r="R269" s="908" t="s">
        <v>8750</v>
      </c>
      <c r="S269" s="2007">
        <v>54</v>
      </c>
      <c r="T269" s="907"/>
      <c r="U269" s="908" t="s">
        <v>1164</v>
      </c>
      <c r="V269" s="897"/>
      <c r="W269" s="897"/>
      <c r="X269" s="897"/>
      <c r="Y269" s="897"/>
      <c r="Z269" s="897"/>
      <c r="AA269" s="897"/>
      <c r="AB269" s="911"/>
      <c r="AC269" s="2970" t="s">
        <v>165</v>
      </c>
      <c r="AD269" s="911"/>
      <c r="AE269" s="2970" t="s">
        <v>111</v>
      </c>
      <c r="AF269" s="911"/>
      <c r="AG269" s="2970" t="s">
        <v>9154</v>
      </c>
      <c r="AH269" s="939"/>
      <c r="AI269" s="930">
        <f>SUM('7층_부하량(월간_AVG)'!N57:P57)</f>
        <v>0</v>
      </c>
      <c r="AJ269" s="1328">
        <f t="shared" si="80"/>
        <v>0</v>
      </c>
      <c r="AK269" s="2913"/>
      <c r="AL269" s="2914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0</v>
      </c>
      <c r="AM269" s="2921">
        <f t="shared" si="83"/>
        <v>0</v>
      </c>
      <c r="AN269" s="2630" t="s">
        <v>1165</v>
      </c>
      <c r="AO269" s="679"/>
      <c r="AQ269" s="2367">
        <f t="shared" si="84"/>
        <v>0</v>
      </c>
      <c r="AR269" s="2367">
        <f t="shared" si="85"/>
        <v>0</v>
      </c>
      <c r="AS269" s="123" t="str">
        <f t="shared" si="82"/>
        <v>무부하 랙</v>
      </c>
      <c r="AT269" t="str">
        <f t="shared" si="75"/>
        <v/>
      </c>
      <c r="AU269" t="str">
        <f t="shared" si="76"/>
        <v/>
      </c>
      <c r="AZ269" s="123"/>
      <c r="BA269" s="123"/>
      <c r="BB269" s="123"/>
      <c r="BC269" s="3103"/>
      <c r="BD269" s="123"/>
      <c r="BE269" s="3104"/>
      <c r="BF269" s="3105"/>
      <c r="BG269" s="3112"/>
      <c r="BH269" s="3106"/>
      <c r="BI269" s="3107"/>
      <c r="BJ269" s="3108"/>
      <c r="BK269" s="3109"/>
      <c r="BL269" s="3110"/>
    </row>
    <row r="270" spans="1:64" ht="27" customHeight="1" thickBot="1">
      <c r="A270" s="2968"/>
      <c r="B270" s="1045"/>
      <c r="C270" s="672"/>
      <c r="D270" s="672"/>
      <c r="E270" s="672"/>
      <c r="F270" s="672" t="s">
        <v>27</v>
      </c>
      <c r="G270" s="672"/>
      <c r="H270" s="1935" t="s">
        <v>9156</v>
      </c>
      <c r="I270" s="1995"/>
      <c r="J270" s="1935" t="str">
        <f>"7-DaHall 1-"&amp;N270&amp;"-"&amp;M270&amp;"-"&amp;O270</f>
        <v>7-DaHall 1-PDU-01-30-52</v>
      </c>
      <c r="K270" s="1995"/>
      <c r="L270" s="2012">
        <v>220</v>
      </c>
      <c r="M270" s="2013">
        <v>30</v>
      </c>
      <c r="N270" s="894" t="s">
        <v>8749</v>
      </c>
      <c r="O270" s="2014">
        <v>52</v>
      </c>
      <c r="P270" s="1999"/>
      <c r="Q270" s="1997"/>
      <c r="R270" s="906"/>
      <c r="S270" s="1998"/>
      <c r="T270" s="894" t="s">
        <v>1166</v>
      </c>
      <c r="U270" s="906"/>
      <c r="V270" s="732"/>
      <c r="W270" s="732"/>
      <c r="X270" s="732"/>
      <c r="Y270" s="732"/>
      <c r="Z270" s="732"/>
      <c r="AA270" s="732"/>
      <c r="AB270" s="2607" t="s">
        <v>164</v>
      </c>
      <c r="AC270" s="732"/>
      <c r="AD270" s="2607" t="s">
        <v>110</v>
      </c>
      <c r="AE270" s="732"/>
      <c r="AF270" s="2607" t="s">
        <v>31</v>
      </c>
      <c r="AG270" s="896"/>
      <c r="AH270" s="680">
        <f>SUM('7층_부하량(월간_AVG)'!N88:P88)</f>
        <v>0</v>
      </c>
      <c r="AI270" s="937"/>
      <c r="AJ270" s="1329">
        <f t="shared" si="80"/>
        <v>0</v>
      </c>
      <c r="AK270" s="2913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0</v>
      </c>
      <c r="AL270" s="2914"/>
      <c r="AM270" s="2921">
        <f t="shared" si="83"/>
        <v>0</v>
      </c>
      <c r="AN270" s="882" t="s">
        <v>1167</v>
      </c>
      <c r="AO270" s="674"/>
      <c r="AQ270" s="2367">
        <f t="shared" si="84"/>
        <v>0</v>
      </c>
      <c r="AR270" s="2367">
        <f t="shared" si="85"/>
        <v>0</v>
      </c>
      <c r="AS270" s="123" t="str">
        <f t="shared" si="82"/>
        <v>무부하 랙</v>
      </c>
      <c r="AT270" t="str">
        <f t="shared" si="75"/>
        <v/>
      </c>
      <c r="AU270" t="str">
        <f t="shared" si="76"/>
        <v/>
      </c>
      <c r="AZ270" s="123"/>
      <c r="BA270" s="123"/>
      <c r="BB270" s="123"/>
      <c r="BC270" s="3103"/>
      <c r="BD270" s="123"/>
      <c r="BE270" s="3104"/>
      <c r="BF270" s="3105"/>
      <c r="BG270" s="3112"/>
      <c r="BH270" s="3106"/>
      <c r="BI270" s="3107"/>
      <c r="BJ270" s="3108"/>
      <c r="BK270" s="3109"/>
      <c r="BL270" s="3110"/>
    </row>
    <row r="271" spans="1:64" ht="27" customHeight="1">
      <c r="A271" s="2968"/>
      <c r="B271" s="1045"/>
      <c r="C271" s="672"/>
      <c r="D271" s="672"/>
      <c r="E271" s="672"/>
      <c r="F271" s="672" t="s">
        <v>27</v>
      </c>
      <c r="G271" s="672"/>
      <c r="H271" s="1994"/>
      <c r="I271" s="1936" t="s">
        <v>9157</v>
      </c>
      <c r="J271" s="1994"/>
      <c r="K271" s="1936" t="str">
        <f t="shared" ref="K271:K282" si="86">"7-DaHall 1-"&amp;R271&amp;"-"&amp;Q271&amp;"-"&amp;S271</f>
        <v>7-DaHall 1-RPP-02-20-1</v>
      </c>
      <c r="L271" s="1996"/>
      <c r="M271" s="1997"/>
      <c r="N271" s="906"/>
      <c r="O271" s="1998"/>
      <c r="P271" s="2011">
        <v>220</v>
      </c>
      <c r="Q271" s="1941">
        <v>20</v>
      </c>
      <c r="R271" s="704" t="s">
        <v>8776</v>
      </c>
      <c r="S271" s="1942">
        <v>1</v>
      </c>
      <c r="T271" s="906"/>
      <c r="U271" s="704" t="s">
        <v>1168</v>
      </c>
      <c r="V271" s="896"/>
      <c r="W271" s="900" t="s">
        <v>1169</v>
      </c>
      <c r="X271" s="896"/>
      <c r="Y271" s="2950" t="s">
        <v>460</v>
      </c>
      <c r="Z271" s="896"/>
      <c r="AA271" s="2950" t="s">
        <v>461</v>
      </c>
      <c r="AB271" s="896"/>
      <c r="AC271" s="2950" t="s">
        <v>462</v>
      </c>
      <c r="AD271" s="896"/>
      <c r="AE271" s="2950" t="s">
        <v>35</v>
      </c>
      <c r="AF271" s="896"/>
      <c r="AG271" s="2950" t="s">
        <v>36</v>
      </c>
      <c r="AH271" s="929"/>
      <c r="AI271" s="933">
        <f>SUM('7층_부하량(월간_AVG)'!D95:F95)</f>
        <v>0.86817545863433088</v>
      </c>
      <c r="AJ271" s="1329">
        <f t="shared" si="80"/>
        <v>0.86817545863433088</v>
      </c>
      <c r="AK271" s="2913"/>
      <c r="AL271" s="2914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83.8</v>
      </c>
      <c r="AM271" s="2921">
        <f t="shared" si="83"/>
        <v>83.8</v>
      </c>
      <c r="AN271" s="882" t="s">
        <v>1170</v>
      </c>
      <c r="AO271" s="674"/>
      <c r="AQ271" s="2367">
        <f t="shared" si="84"/>
        <v>0.11263440860215053</v>
      </c>
      <c r="AR271" s="2367">
        <f t="shared" si="85"/>
        <v>-0.11263440860215053</v>
      </c>
      <c r="AS271" s="123" t="str">
        <f t="shared" si="82"/>
        <v>사용초과</v>
      </c>
      <c r="AT271">
        <f t="shared" si="75"/>
        <v>0</v>
      </c>
      <c r="AU271">
        <f t="shared" si="76"/>
        <v>0</v>
      </c>
      <c r="AZ271" s="123"/>
      <c r="BA271" s="123"/>
      <c r="BB271" s="123"/>
      <c r="BC271" s="3103"/>
      <c r="BD271" s="123"/>
      <c r="BE271" s="3104"/>
      <c r="BF271" s="3105"/>
      <c r="BG271" s="3112"/>
      <c r="BH271" s="3106"/>
      <c r="BI271" s="3107"/>
      <c r="BJ271" s="3108"/>
      <c r="BK271" s="3109"/>
      <c r="BL271" s="3110"/>
    </row>
    <row r="272" spans="1:64" ht="62.4">
      <c r="A272" s="2968"/>
      <c r="B272" s="1045"/>
      <c r="C272" s="2595"/>
      <c r="D272" s="2595"/>
      <c r="E272" s="2595"/>
      <c r="F272" s="2595" t="s">
        <v>27</v>
      </c>
      <c r="G272" s="2595"/>
      <c r="H272" s="1891"/>
      <c r="I272" s="1839" t="s">
        <v>9158</v>
      </c>
      <c r="J272" s="1891"/>
      <c r="K272" s="1839" t="str">
        <f t="shared" si="86"/>
        <v>7-DaHall 1-RPP-02-30-2</v>
      </c>
      <c r="L272" s="1893"/>
      <c r="M272" s="1896"/>
      <c r="N272" s="912"/>
      <c r="O272" s="1894"/>
      <c r="P272" s="1840">
        <v>220</v>
      </c>
      <c r="Q272" s="1841">
        <v>30</v>
      </c>
      <c r="R272" s="687" t="s">
        <v>8776</v>
      </c>
      <c r="S272" s="1842">
        <v>2</v>
      </c>
      <c r="T272" s="912"/>
      <c r="U272" s="687" t="s">
        <v>1171</v>
      </c>
      <c r="V272" s="897"/>
      <c r="W272" s="2609" t="s">
        <v>1172</v>
      </c>
      <c r="X272" s="897"/>
      <c r="Y272" s="2969" t="s">
        <v>9159</v>
      </c>
      <c r="Z272" s="897"/>
      <c r="AA272" s="2969" t="s">
        <v>9160</v>
      </c>
      <c r="AB272" s="897"/>
      <c r="AC272" s="2969" t="s">
        <v>9161</v>
      </c>
      <c r="AD272" s="897"/>
      <c r="AE272" s="2969" t="s">
        <v>9162</v>
      </c>
      <c r="AF272" s="897"/>
      <c r="AG272" s="2969" t="s">
        <v>9154</v>
      </c>
      <c r="AH272" s="935"/>
      <c r="AI272" s="902">
        <f>SUM('7층_부하량(월간_AVG)'!N95:P95)</f>
        <v>1.6264164896273741</v>
      </c>
      <c r="AJ272" s="1327">
        <f t="shared" si="80"/>
        <v>1.6264164896273741</v>
      </c>
      <c r="AK272" s="2913"/>
      <c r="AL272" s="2914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254.8</v>
      </c>
      <c r="AM272" s="2921">
        <f t="shared" si="83"/>
        <v>254.8</v>
      </c>
      <c r="AN272" s="2629" t="s">
        <v>1173</v>
      </c>
      <c r="AO272" s="2631"/>
      <c r="AQ272" s="2367">
        <f t="shared" si="84"/>
        <v>0.34247311827956989</v>
      </c>
      <c r="AR272" s="2367">
        <f t="shared" si="85"/>
        <v>-0.34247311827956989</v>
      </c>
      <c r="AS272" s="123" t="str">
        <f t="shared" si="82"/>
        <v>사용초과</v>
      </c>
      <c r="AT272">
        <f t="shared" si="75"/>
        <v>0</v>
      </c>
      <c r="AU272">
        <f t="shared" si="76"/>
        <v>0</v>
      </c>
      <c r="AZ272" s="123"/>
      <c r="BA272" s="123"/>
      <c r="BB272" s="123"/>
      <c r="BC272" s="3103"/>
      <c r="BD272" s="123"/>
      <c r="BE272" s="3104"/>
      <c r="BF272" s="3105"/>
      <c r="BG272" s="3112"/>
      <c r="BH272" s="3106"/>
      <c r="BI272" s="3107"/>
      <c r="BJ272" s="3108"/>
      <c r="BK272" s="3109"/>
      <c r="BL272" s="3110"/>
    </row>
    <row r="273" spans="1:64" ht="62.4">
      <c r="A273" s="2968"/>
      <c r="B273" s="1045"/>
      <c r="C273" s="2595"/>
      <c r="D273" s="2595"/>
      <c r="E273" s="2595"/>
      <c r="F273" s="2595" t="s">
        <v>27</v>
      </c>
      <c r="G273" s="2595"/>
      <c r="H273" s="1891"/>
      <c r="I273" s="1839" t="s">
        <v>9163</v>
      </c>
      <c r="J273" s="1891"/>
      <c r="K273" s="1839" t="str">
        <f t="shared" si="86"/>
        <v>7-DaHall 1-RPP-02-20-3</v>
      </c>
      <c r="L273" s="1893"/>
      <c r="M273" s="1896"/>
      <c r="N273" s="912"/>
      <c r="O273" s="1894"/>
      <c r="P273" s="1840">
        <v>220</v>
      </c>
      <c r="Q273" s="1841">
        <v>20</v>
      </c>
      <c r="R273" s="687" t="s">
        <v>8776</v>
      </c>
      <c r="S273" s="1842">
        <v>3</v>
      </c>
      <c r="T273" s="912"/>
      <c r="U273" s="687" t="s">
        <v>1174</v>
      </c>
      <c r="V273" s="897"/>
      <c r="W273" s="2609" t="s">
        <v>1175</v>
      </c>
      <c r="X273" s="897"/>
      <c r="Y273" s="2969" t="s">
        <v>9159</v>
      </c>
      <c r="Z273" s="897"/>
      <c r="AA273" s="2969" t="s">
        <v>9160</v>
      </c>
      <c r="AB273" s="897"/>
      <c r="AC273" s="2969" t="s">
        <v>9161</v>
      </c>
      <c r="AD273" s="897"/>
      <c r="AE273" s="2969" t="s">
        <v>9162</v>
      </c>
      <c r="AF273" s="897"/>
      <c r="AG273" s="2969" t="s">
        <v>9154</v>
      </c>
      <c r="AH273" s="935"/>
      <c r="AI273" s="902">
        <f>SUM('7층_부하량(월간_AVG)'!D96:F96)</f>
        <v>0.54998326794983188</v>
      </c>
      <c r="AJ273" s="1327">
        <f t="shared" si="80"/>
        <v>0.54998326794983188</v>
      </c>
      <c r="AK273" s="2913"/>
      <c r="AL273" s="2914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73" s="2921">
        <f t="shared" si="83"/>
        <v>70.900000000000006</v>
      </c>
      <c r="AN273" s="2629" t="s">
        <v>1176</v>
      </c>
      <c r="AO273" s="2631"/>
      <c r="AQ273" s="2367">
        <f t="shared" si="84"/>
        <v>9.5295698924731193E-2</v>
      </c>
      <c r="AR273" s="2367">
        <f t="shared" si="85"/>
        <v>-9.5295698924731193E-2</v>
      </c>
      <c r="AS273" s="123" t="str">
        <f t="shared" si="82"/>
        <v>사용초과</v>
      </c>
      <c r="AT273">
        <f t="shared" si="75"/>
        <v>0</v>
      </c>
      <c r="AU273">
        <f t="shared" si="76"/>
        <v>0</v>
      </c>
      <c r="AZ273" s="123"/>
      <c r="BA273" s="123"/>
      <c r="BB273" s="123"/>
      <c r="BC273" s="3103"/>
      <c r="BD273" s="123"/>
      <c r="BE273" s="3104"/>
      <c r="BF273" s="3105"/>
      <c r="BG273" s="3112"/>
      <c r="BH273" s="3106"/>
      <c r="BI273" s="3107"/>
      <c r="BJ273" s="3108"/>
      <c r="BK273" s="3109"/>
      <c r="BL273" s="3110"/>
    </row>
    <row r="274" spans="1:64" ht="62.4">
      <c r="A274" s="2968"/>
      <c r="B274" s="1045"/>
      <c r="C274" s="2595"/>
      <c r="D274" s="2595"/>
      <c r="E274" s="2595"/>
      <c r="F274" s="2595" t="s">
        <v>27</v>
      </c>
      <c r="G274" s="2595"/>
      <c r="H274" s="1891"/>
      <c r="I274" s="1839" t="s">
        <v>9164</v>
      </c>
      <c r="J274" s="1891"/>
      <c r="K274" s="1839" t="str">
        <f t="shared" si="86"/>
        <v>7-DaHall 1-RPP-02-30-6</v>
      </c>
      <c r="L274" s="1893"/>
      <c r="M274" s="1896"/>
      <c r="N274" s="912"/>
      <c r="O274" s="1894"/>
      <c r="P274" s="1840">
        <v>220</v>
      </c>
      <c r="Q274" s="1841">
        <v>30</v>
      </c>
      <c r="R274" s="687" t="s">
        <v>8776</v>
      </c>
      <c r="S274" s="1842">
        <v>6</v>
      </c>
      <c r="T274" s="912"/>
      <c r="U274" s="687" t="s">
        <v>1177</v>
      </c>
      <c r="V274" s="897"/>
      <c r="W274" s="2609" t="s">
        <v>1178</v>
      </c>
      <c r="X274" s="897"/>
      <c r="Y274" s="2969" t="s">
        <v>9159</v>
      </c>
      <c r="Z274" s="897"/>
      <c r="AA274" s="2969" t="s">
        <v>9160</v>
      </c>
      <c r="AB274" s="897"/>
      <c r="AC274" s="2969" t="s">
        <v>9161</v>
      </c>
      <c r="AD274" s="897"/>
      <c r="AE274" s="2969" t="s">
        <v>9162</v>
      </c>
      <c r="AF274" s="897"/>
      <c r="AG274" s="2969" t="s">
        <v>9154</v>
      </c>
      <c r="AH274" s="935"/>
      <c r="AI274" s="902">
        <f>SUM('7층_부하량(월간_AVG)'!N97:P97)</f>
        <v>0</v>
      </c>
      <c r="AJ274" s="1327">
        <f t="shared" si="80"/>
        <v>0</v>
      </c>
      <c r="AK274" s="2913"/>
      <c r="AL274" s="2914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0</v>
      </c>
      <c r="AM274" s="2921">
        <f t="shared" si="83"/>
        <v>0</v>
      </c>
      <c r="AN274" s="2629" t="s">
        <v>1179</v>
      </c>
      <c r="AO274" s="2631"/>
      <c r="AQ274" s="2367">
        <f t="shared" si="84"/>
        <v>0</v>
      </c>
      <c r="AR274" s="2367">
        <f t="shared" si="85"/>
        <v>0</v>
      </c>
      <c r="AS274" s="123" t="str">
        <f t="shared" si="82"/>
        <v>무부하 랙</v>
      </c>
      <c r="AT274" t="str">
        <f t="shared" si="75"/>
        <v/>
      </c>
      <c r="AU274" t="str">
        <f t="shared" si="76"/>
        <v/>
      </c>
      <c r="AZ274" s="123"/>
      <c r="BA274" s="123"/>
      <c r="BB274" s="123"/>
      <c r="BC274" s="3103"/>
      <c r="BD274" s="123"/>
      <c r="BE274" s="3104"/>
      <c r="BF274" s="3105"/>
      <c r="BG274" s="3112"/>
      <c r="BH274" s="3106"/>
      <c r="BI274" s="3107"/>
      <c r="BJ274" s="3108"/>
      <c r="BK274" s="3109"/>
      <c r="BL274" s="3110"/>
    </row>
    <row r="275" spans="1:64" ht="62.4">
      <c r="A275" s="2968"/>
      <c r="B275" s="1045"/>
      <c r="C275" s="2595"/>
      <c r="D275" s="2595"/>
      <c r="E275" s="2595"/>
      <c r="F275" s="2595" t="s">
        <v>27</v>
      </c>
      <c r="G275" s="2595"/>
      <c r="H275" s="1845"/>
      <c r="I275" s="1839" t="s">
        <v>9165</v>
      </c>
      <c r="J275" s="1845"/>
      <c r="K275" s="1839" t="str">
        <f t="shared" si="86"/>
        <v>7-DaHall 1-RPP-02-20-7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8776</v>
      </c>
      <c r="S275" s="1842">
        <v>7</v>
      </c>
      <c r="T275" s="897"/>
      <c r="U275" s="687" t="s">
        <v>1180</v>
      </c>
      <c r="V275" s="897"/>
      <c r="W275" s="2609" t="s">
        <v>1181</v>
      </c>
      <c r="X275" s="897"/>
      <c r="Y275" s="2969" t="s">
        <v>9159</v>
      </c>
      <c r="Z275" s="897"/>
      <c r="AA275" s="2969" t="s">
        <v>9160</v>
      </c>
      <c r="AB275" s="897"/>
      <c r="AC275" s="2969" t="s">
        <v>9161</v>
      </c>
      <c r="AD275" s="897"/>
      <c r="AE275" s="2969" t="s">
        <v>9162</v>
      </c>
      <c r="AF275" s="897"/>
      <c r="AG275" s="2969" t="s">
        <v>9154</v>
      </c>
      <c r="AH275" s="926"/>
      <c r="AI275" s="902">
        <f>SUM('7층_부하량(월간_AVG)'!D98:F98)</f>
        <v>1.1212534433466859</v>
      </c>
      <c r="AJ275" s="1327">
        <f t="shared" si="80"/>
        <v>1.1212534433466859</v>
      </c>
      <c r="AK275" s="2913"/>
      <c r="AL275" s="2914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5" s="2921">
        <f t="shared" si="83"/>
        <v>153.69999999999999</v>
      </c>
      <c r="AN275" s="1332" t="s">
        <v>1182</v>
      </c>
      <c r="AO275" s="2631"/>
      <c r="AQ275" s="2367">
        <f t="shared" si="84"/>
        <v>0.20658602150537633</v>
      </c>
      <c r="AR275" s="2367">
        <f t="shared" si="85"/>
        <v>-0.20658602150537633</v>
      </c>
      <c r="AS275" s="123" t="str">
        <f t="shared" si="82"/>
        <v>사용초과</v>
      </c>
      <c r="AT275">
        <f t="shared" si="75"/>
        <v>0</v>
      </c>
      <c r="AU275">
        <f t="shared" si="76"/>
        <v>0</v>
      </c>
      <c r="AZ275" s="123"/>
      <c r="BA275" s="123"/>
      <c r="BB275" s="123"/>
      <c r="BC275" s="3103"/>
      <c r="BD275" s="123"/>
      <c r="BE275" s="3104"/>
      <c r="BF275" s="3105"/>
      <c r="BG275" s="3112"/>
      <c r="BH275" s="3106"/>
      <c r="BI275" s="3107"/>
      <c r="BJ275" s="3108"/>
      <c r="BK275" s="3109"/>
      <c r="BL275" s="3110"/>
    </row>
    <row r="276" spans="1:64" ht="62.4">
      <c r="A276" s="2968"/>
      <c r="B276" s="1045"/>
      <c r="C276" s="2595"/>
      <c r="D276" s="2595"/>
      <c r="E276" s="2595"/>
      <c r="F276" s="2595" t="s">
        <v>27</v>
      </c>
      <c r="G276" s="2595"/>
      <c r="H276" s="1891"/>
      <c r="I276" s="1839" t="s">
        <v>9166</v>
      </c>
      <c r="J276" s="1891"/>
      <c r="K276" s="1839" t="str">
        <f t="shared" si="86"/>
        <v>7-DaHall 1-RPP-02-20-11</v>
      </c>
      <c r="L276" s="1893"/>
      <c r="M276" s="1896"/>
      <c r="N276" s="912"/>
      <c r="O276" s="1894"/>
      <c r="P276" s="1840">
        <v>220</v>
      </c>
      <c r="Q276" s="1841">
        <v>20</v>
      </c>
      <c r="R276" s="687" t="s">
        <v>8776</v>
      </c>
      <c r="S276" s="1842">
        <v>11</v>
      </c>
      <c r="T276" s="912"/>
      <c r="U276" s="687" t="s">
        <v>1183</v>
      </c>
      <c r="V276" s="897"/>
      <c r="W276" s="2609" t="s">
        <v>1184</v>
      </c>
      <c r="X276" s="897"/>
      <c r="Y276" s="2969" t="s">
        <v>9159</v>
      </c>
      <c r="Z276" s="897"/>
      <c r="AA276" s="2969" t="s">
        <v>9160</v>
      </c>
      <c r="AB276" s="897"/>
      <c r="AC276" s="2969" t="s">
        <v>9161</v>
      </c>
      <c r="AD276" s="897"/>
      <c r="AE276" s="2969" t="s">
        <v>9162</v>
      </c>
      <c r="AF276" s="897"/>
      <c r="AG276" s="2969" t="s">
        <v>9154</v>
      </c>
      <c r="AH276" s="935"/>
      <c r="AI276" s="902">
        <f>SUM('7층_부하량(월간_AVG)'!D100:F100)</f>
        <v>0</v>
      </c>
      <c r="AJ276" s="1327">
        <f t="shared" si="80"/>
        <v>0</v>
      </c>
      <c r="AK276" s="2913"/>
      <c r="AL276" s="2914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0</v>
      </c>
      <c r="AM276" s="2921">
        <f t="shared" si="83"/>
        <v>0</v>
      </c>
      <c r="AN276" s="2629" t="s">
        <v>1185</v>
      </c>
      <c r="AO276" s="2631"/>
      <c r="AQ276" s="2367">
        <f t="shared" si="84"/>
        <v>0</v>
      </c>
      <c r="AR276" s="2367">
        <f t="shared" si="85"/>
        <v>0</v>
      </c>
      <c r="AS276" s="123" t="str">
        <f t="shared" si="82"/>
        <v>무부하 랙</v>
      </c>
      <c r="AT276" t="str">
        <f t="shared" si="75"/>
        <v/>
      </c>
      <c r="AU276" t="str">
        <f t="shared" si="76"/>
        <v/>
      </c>
      <c r="AZ276" s="123"/>
      <c r="BA276" s="123"/>
      <c r="BB276" s="123"/>
      <c r="BC276" s="3103"/>
      <c r="BD276" s="123"/>
      <c r="BE276" s="3104"/>
      <c r="BF276" s="3105"/>
      <c r="BG276" s="3112"/>
      <c r="BH276" s="3106"/>
      <c r="BI276" s="3107"/>
      <c r="BJ276" s="3108"/>
      <c r="BK276" s="3109"/>
      <c r="BL276" s="3110"/>
    </row>
    <row r="277" spans="1:64" ht="62.4">
      <c r="A277" s="2968"/>
      <c r="B277" s="1045"/>
      <c r="C277" s="2595"/>
      <c r="D277" s="2595"/>
      <c r="E277" s="2595"/>
      <c r="F277" s="2595" t="s">
        <v>27</v>
      </c>
      <c r="G277" s="2595"/>
      <c r="H277" s="1891"/>
      <c r="I277" s="1839" t="s">
        <v>9167</v>
      </c>
      <c r="J277" s="1891"/>
      <c r="K277" s="1839" t="str">
        <f t="shared" si="86"/>
        <v>7-DaHall 1-RPP-02-30-22</v>
      </c>
      <c r="L277" s="1893"/>
      <c r="M277" s="1896"/>
      <c r="N277" s="912"/>
      <c r="O277" s="1894"/>
      <c r="P277" s="1840">
        <v>220</v>
      </c>
      <c r="Q277" s="1841">
        <v>30</v>
      </c>
      <c r="R277" s="687" t="s">
        <v>8776</v>
      </c>
      <c r="S277" s="1842">
        <v>22</v>
      </c>
      <c r="T277" s="912"/>
      <c r="U277" s="687" t="s">
        <v>1186</v>
      </c>
      <c r="V277" s="897"/>
      <c r="W277" s="2609" t="s">
        <v>1187</v>
      </c>
      <c r="X277" s="897"/>
      <c r="Y277" s="2969" t="s">
        <v>9159</v>
      </c>
      <c r="Z277" s="897"/>
      <c r="AA277" s="2969" t="s">
        <v>9160</v>
      </c>
      <c r="AB277" s="897"/>
      <c r="AC277" s="2969" t="s">
        <v>9161</v>
      </c>
      <c r="AD277" s="897"/>
      <c r="AE277" s="2969" t="s">
        <v>9162</v>
      </c>
      <c r="AF277" s="897"/>
      <c r="AG277" s="2969" t="s">
        <v>9154</v>
      </c>
      <c r="AH277" s="935"/>
      <c r="AI277" s="902">
        <f>SUM('7층_부하량(월간_AVG)'!N105:P105)</f>
        <v>0</v>
      </c>
      <c r="AJ277" s="1327">
        <f t="shared" si="80"/>
        <v>0</v>
      </c>
      <c r="AK277" s="2913"/>
      <c r="AL277" s="2914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0</v>
      </c>
      <c r="AM277" s="2921">
        <f t="shared" si="83"/>
        <v>0</v>
      </c>
      <c r="AN277" s="2629" t="s">
        <v>1188</v>
      </c>
      <c r="AO277" s="2631"/>
      <c r="AQ277" s="2367">
        <f t="shared" si="84"/>
        <v>0</v>
      </c>
      <c r="AR277" s="2367">
        <f t="shared" si="85"/>
        <v>0</v>
      </c>
      <c r="AS277" s="123" t="str">
        <f t="shared" si="82"/>
        <v>무부하 랙</v>
      </c>
      <c r="AT277" t="str">
        <f t="shared" si="75"/>
        <v/>
      </c>
      <c r="AU277" t="str">
        <f t="shared" si="76"/>
        <v/>
      </c>
      <c r="AZ277" s="123"/>
      <c r="BA277" s="123"/>
      <c r="BB277" s="123"/>
      <c r="BC277" s="3103"/>
      <c r="BD277" s="123"/>
      <c r="BE277" s="3104"/>
      <c r="BF277" s="3105"/>
      <c r="BG277" s="3112"/>
      <c r="BH277" s="3106"/>
      <c r="BI277" s="3107"/>
      <c r="BJ277" s="3108"/>
      <c r="BK277" s="3109"/>
      <c r="BL277" s="3110"/>
    </row>
    <row r="278" spans="1:64" ht="62.4">
      <c r="A278" s="2968"/>
      <c r="B278" s="1045"/>
      <c r="C278" s="2595"/>
      <c r="D278" s="2595"/>
      <c r="E278" s="2595"/>
      <c r="F278" s="2595" t="s">
        <v>27</v>
      </c>
      <c r="G278" s="2595"/>
      <c r="H278" s="1845"/>
      <c r="I278" s="1839" t="s">
        <v>9168</v>
      </c>
      <c r="J278" s="1845"/>
      <c r="K278" s="1839" t="str">
        <f t="shared" si="86"/>
        <v>7-DaHall 1-RPP-02-30-24</v>
      </c>
      <c r="L278" s="1847"/>
      <c r="M278" s="1848"/>
      <c r="N278" s="897"/>
      <c r="O278" s="1849"/>
      <c r="P278" s="1840">
        <v>220</v>
      </c>
      <c r="Q278" s="1841">
        <v>30</v>
      </c>
      <c r="R278" s="687" t="s">
        <v>8776</v>
      </c>
      <c r="S278" s="1842">
        <v>24</v>
      </c>
      <c r="T278" s="897"/>
      <c r="U278" s="687" t="s">
        <v>1189</v>
      </c>
      <c r="V278" s="897"/>
      <c r="W278" s="2609" t="s">
        <v>1190</v>
      </c>
      <c r="X278" s="897"/>
      <c r="Y278" s="2969" t="s">
        <v>9159</v>
      </c>
      <c r="Z278" s="897"/>
      <c r="AA278" s="2969" t="s">
        <v>9160</v>
      </c>
      <c r="AB278" s="897"/>
      <c r="AC278" s="2969" t="s">
        <v>9161</v>
      </c>
      <c r="AD278" s="897"/>
      <c r="AE278" s="2969" t="s">
        <v>9162</v>
      </c>
      <c r="AF278" s="897"/>
      <c r="AG278" s="2969" t="s">
        <v>9154</v>
      </c>
      <c r="AH278" s="926"/>
      <c r="AI278" s="902">
        <f>SUM('7층_부하량(월간_AVG)'!N106:P106)</f>
        <v>2.2798488907171173</v>
      </c>
      <c r="AJ278" s="1327">
        <f t="shared" si="80"/>
        <v>2.2798488907171173</v>
      </c>
      <c r="AK278" s="2913"/>
      <c r="AL278" s="2914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220.8</v>
      </c>
      <c r="AM278" s="2921">
        <f t="shared" si="83"/>
        <v>220.8</v>
      </c>
      <c r="AN278" s="1332" t="s">
        <v>1191</v>
      </c>
      <c r="AO278" s="2631"/>
      <c r="AQ278" s="2367">
        <f t="shared" si="84"/>
        <v>0.29677419354838713</v>
      </c>
      <c r="AR278" s="2367">
        <f t="shared" si="85"/>
        <v>-0.29677419354838713</v>
      </c>
      <c r="AS278" s="123" t="str">
        <f t="shared" si="82"/>
        <v>사용초과</v>
      </c>
      <c r="AT278">
        <f t="shared" si="75"/>
        <v>0</v>
      </c>
      <c r="AU278">
        <f t="shared" si="76"/>
        <v>0</v>
      </c>
      <c r="AZ278" s="123"/>
      <c r="BA278" s="123"/>
      <c r="BB278" s="123"/>
      <c r="BC278" s="3103"/>
      <c r="BD278" s="123"/>
      <c r="BE278" s="3104"/>
      <c r="BF278" s="3105"/>
      <c r="BG278" s="3112"/>
      <c r="BH278" s="3106"/>
      <c r="BI278" s="3107"/>
      <c r="BJ278" s="3108"/>
      <c r="BK278" s="3109"/>
      <c r="BL278" s="3110"/>
    </row>
    <row r="279" spans="1:64" ht="62.4">
      <c r="A279" s="2968"/>
      <c r="B279" s="1045"/>
      <c r="C279" s="2595"/>
      <c r="D279" s="2595"/>
      <c r="E279" s="2595"/>
      <c r="F279" s="2595" t="s">
        <v>27</v>
      </c>
      <c r="G279" s="2595"/>
      <c r="H279" s="1845"/>
      <c r="I279" s="1839" t="s">
        <v>9169</v>
      </c>
      <c r="J279" s="1845"/>
      <c r="K279" s="1839" t="str">
        <f t="shared" si="86"/>
        <v>7-DaHall 1-RPP-02-20-35</v>
      </c>
      <c r="L279" s="1847"/>
      <c r="M279" s="1848"/>
      <c r="N279" s="897"/>
      <c r="O279" s="1849"/>
      <c r="P279" s="1840">
        <v>220</v>
      </c>
      <c r="Q279" s="1841">
        <v>20</v>
      </c>
      <c r="R279" s="687" t="s">
        <v>8776</v>
      </c>
      <c r="S279" s="1842">
        <v>35</v>
      </c>
      <c r="T279" s="897"/>
      <c r="U279" s="687" t="s">
        <v>1192</v>
      </c>
      <c r="V279" s="897"/>
      <c r="W279" s="2609" t="s">
        <v>1193</v>
      </c>
      <c r="X279" s="897"/>
      <c r="Y279" s="2969" t="s">
        <v>9159</v>
      </c>
      <c r="Z279" s="897"/>
      <c r="AA279" s="2969" t="s">
        <v>9160</v>
      </c>
      <c r="AB279" s="897"/>
      <c r="AC279" s="2969" t="s">
        <v>9161</v>
      </c>
      <c r="AD279" s="897"/>
      <c r="AE279" s="2969" t="s">
        <v>9162</v>
      </c>
      <c r="AF279" s="897"/>
      <c r="AG279" s="2969" t="s">
        <v>9154</v>
      </c>
      <c r="AH279" s="926"/>
      <c r="AI279" s="902">
        <f>SUM('7층_부하량(월간_AVG)'!D112:F112)</f>
        <v>2.5731669086990143</v>
      </c>
      <c r="AJ279" s="1327">
        <f t="shared" si="80"/>
        <v>2.5731669086990143</v>
      </c>
      <c r="AK279" s="2913"/>
      <c r="AL279" s="2914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301.2</v>
      </c>
      <c r="AM279" s="2921">
        <f t="shared" si="83"/>
        <v>301.2</v>
      </c>
      <c r="AN279" s="1332" t="s">
        <v>1194</v>
      </c>
      <c r="AO279" s="2631"/>
      <c r="AQ279" s="2367">
        <f t="shared" si="84"/>
        <v>0.40483870967741936</v>
      </c>
      <c r="AR279" s="2367">
        <f t="shared" si="85"/>
        <v>-0.40483870967741936</v>
      </c>
      <c r="AS279" s="123" t="str">
        <f t="shared" si="82"/>
        <v>사용초과</v>
      </c>
      <c r="AT279">
        <f t="shared" si="75"/>
        <v>0</v>
      </c>
      <c r="AU279">
        <f t="shared" si="76"/>
        <v>0</v>
      </c>
      <c r="AZ279" s="123"/>
      <c r="BA279" s="123"/>
      <c r="BB279" s="123"/>
      <c r="BC279" s="3103"/>
      <c r="BD279" s="123"/>
      <c r="BE279" s="3104"/>
      <c r="BF279" s="3105"/>
      <c r="BG279" s="3112"/>
      <c r="BH279" s="3106"/>
      <c r="BI279" s="3107"/>
      <c r="BJ279" s="3108"/>
      <c r="BK279" s="3109"/>
      <c r="BL279" s="3110"/>
    </row>
    <row r="280" spans="1:64" ht="62.4">
      <c r="A280" s="2968"/>
      <c r="B280" s="1045"/>
      <c r="C280" s="2595"/>
      <c r="D280" s="2595"/>
      <c r="E280" s="2595"/>
      <c r="F280" s="2595" t="s">
        <v>27</v>
      </c>
      <c r="G280" s="2595"/>
      <c r="H280" s="1845"/>
      <c r="I280" s="1839" t="s">
        <v>9170</v>
      </c>
      <c r="J280" s="1845"/>
      <c r="K280" s="1839" t="str">
        <f t="shared" si="86"/>
        <v>7-DaHall 1-RPP-02-20-37</v>
      </c>
      <c r="L280" s="1847"/>
      <c r="M280" s="1848"/>
      <c r="N280" s="897"/>
      <c r="O280" s="1849"/>
      <c r="P280" s="1840">
        <v>220</v>
      </c>
      <c r="Q280" s="1841">
        <v>20</v>
      </c>
      <c r="R280" s="687" t="s">
        <v>8776</v>
      </c>
      <c r="S280" s="1842">
        <v>37</v>
      </c>
      <c r="T280" s="897"/>
      <c r="U280" s="687" t="s">
        <v>1195</v>
      </c>
      <c r="V280" s="897"/>
      <c r="W280" s="2609" t="s">
        <v>1196</v>
      </c>
      <c r="X280" s="897"/>
      <c r="Y280" s="2969" t="s">
        <v>9159</v>
      </c>
      <c r="Z280" s="897"/>
      <c r="AA280" s="2969" t="s">
        <v>9160</v>
      </c>
      <c r="AB280" s="897"/>
      <c r="AC280" s="2969" t="s">
        <v>9161</v>
      </c>
      <c r="AD280" s="897"/>
      <c r="AE280" s="2969" t="s">
        <v>9162</v>
      </c>
      <c r="AF280" s="897"/>
      <c r="AG280" s="2969" t="s">
        <v>9154</v>
      </c>
      <c r="AH280" s="926"/>
      <c r="AI280" s="902">
        <f>SUM('7층_부하량(월간_AVG)'!D113:F113)</f>
        <v>5.8651822589427249</v>
      </c>
      <c r="AJ280" s="1327">
        <f t="shared" si="80"/>
        <v>5.8651822589427249</v>
      </c>
      <c r="AK280" s="2913"/>
      <c r="AL280" s="2914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671.9</v>
      </c>
      <c r="AM280" s="2921">
        <f t="shared" si="83"/>
        <v>671.9</v>
      </c>
      <c r="AN280" s="1332" t="s">
        <v>1197</v>
      </c>
      <c r="AO280" s="2631"/>
      <c r="AQ280" s="2367">
        <f t="shared" si="84"/>
        <v>0.90309139784946235</v>
      </c>
      <c r="AR280" s="2367">
        <f t="shared" si="85"/>
        <v>-0.90309139784946235</v>
      </c>
      <c r="AS280" s="123" t="str">
        <f t="shared" si="82"/>
        <v>사용초과</v>
      </c>
      <c r="AT280">
        <f t="shared" si="75"/>
        <v>0</v>
      </c>
      <c r="AU280">
        <f t="shared" si="76"/>
        <v>0</v>
      </c>
      <c r="AZ280" s="123"/>
      <c r="BA280" s="123"/>
      <c r="BB280" s="123"/>
      <c r="BC280" s="3103"/>
      <c r="BD280" s="123"/>
      <c r="BE280" s="3104"/>
      <c r="BF280" s="3105"/>
      <c r="BG280" s="3112"/>
      <c r="BH280" s="3106"/>
      <c r="BI280" s="3107"/>
      <c r="BJ280" s="3108"/>
      <c r="BK280" s="3109"/>
      <c r="BL280" s="3110"/>
    </row>
    <row r="281" spans="1:64" ht="62.4">
      <c r="A281" s="2968"/>
      <c r="B281" s="1045"/>
      <c r="C281" s="2595"/>
      <c r="D281" s="2595"/>
      <c r="E281" s="2595"/>
      <c r="F281" s="705" t="s">
        <v>27</v>
      </c>
      <c r="G281" s="705"/>
      <c r="H281" s="2015"/>
      <c r="I281" s="2016" t="s">
        <v>9171</v>
      </c>
      <c r="J281" s="2015"/>
      <c r="K281" s="2016" t="str">
        <f t="shared" si="86"/>
        <v>7-DaHall 1-RPP-02-20-38</v>
      </c>
      <c r="L281" s="2017"/>
      <c r="M281" s="2018"/>
      <c r="N281" s="913"/>
      <c r="O281" s="2019"/>
      <c r="P281" s="2020">
        <v>220</v>
      </c>
      <c r="Q281" s="2021">
        <v>20</v>
      </c>
      <c r="R281" s="914" t="s">
        <v>8776</v>
      </c>
      <c r="S281" s="2022">
        <v>38</v>
      </c>
      <c r="T281" s="913"/>
      <c r="U281" s="914" t="s">
        <v>457</v>
      </c>
      <c r="V281" s="897"/>
      <c r="W281" s="2609" t="s">
        <v>459</v>
      </c>
      <c r="X281" s="897"/>
      <c r="Y281" s="2969" t="s">
        <v>9159</v>
      </c>
      <c r="Z281" s="897"/>
      <c r="AA281" s="2969" t="s">
        <v>9160</v>
      </c>
      <c r="AB281" s="897"/>
      <c r="AC281" s="2969" t="s">
        <v>9161</v>
      </c>
      <c r="AD281" s="897"/>
      <c r="AE281" s="2969" t="s">
        <v>9162</v>
      </c>
      <c r="AF281" s="897"/>
      <c r="AG281" s="2969" t="s">
        <v>9154</v>
      </c>
      <c r="AH281" s="936"/>
      <c r="AI281" s="934"/>
      <c r="AJ281" s="1330">
        <f t="shared" si="80"/>
        <v>0</v>
      </c>
      <c r="AK281" s="2913"/>
      <c r="AL281" s="2914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81" s="2921">
        <f t="shared" si="83"/>
        <v>788.8</v>
      </c>
      <c r="AN281" s="1334" t="s">
        <v>1198</v>
      </c>
      <c r="AO281" s="2631"/>
      <c r="AQ281" s="2367">
        <f t="shared" si="84"/>
        <v>1.0602150537634407</v>
      </c>
      <c r="AR281" s="2367">
        <f t="shared" si="85"/>
        <v>-1.0602150537634407</v>
      </c>
      <c r="AS281" s="123" t="str">
        <f t="shared" si="82"/>
        <v>사용초과</v>
      </c>
      <c r="AT281">
        <f t="shared" si="75"/>
        <v>0</v>
      </c>
      <c r="AU281">
        <f t="shared" si="76"/>
        <v>0</v>
      </c>
      <c r="AZ281" s="123"/>
      <c r="BA281" s="123"/>
      <c r="BB281" s="123"/>
      <c r="BC281" s="3103"/>
      <c r="BD281" s="123"/>
      <c r="BE281" s="3104"/>
      <c r="BF281" s="3105"/>
      <c r="BG281" s="3112"/>
      <c r="BH281" s="3106"/>
      <c r="BI281" s="3107"/>
      <c r="BJ281" s="3108"/>
      <c r="BK281" s="3109"/>
      <c r="BL281" s="3110"/>
    </row>
    <row r="282" spans="1:64" ht="63" thickBot="1">
      <c r="A282" s="2971"/>
      <c r="B282" s="1046"/>
      <c r="C282" s="2627"/>
      <c r="D282" s="2627"/>
      <c r="E282" s="2627"/>
      <c r="F282" s="2627" t="s">
        <v>27</v>
      </c>
      <c r="G282" s="2627"/>
      <c r="H282" s="2023"/>
      <c r="I282" s="2024" t="s">
        <v>9172</v>
      </c>
      <c r="J282" s="2023"/>
      <c r="K282" s="2024" t="str">
        <f t="shared" si="86"/>
        <v>7-DaHall 1-RPP-02-20-39</v>
      </c>
      <c r="L282" s="2025"/>
      <c r="M282" s="2026"/>
      <c r="N282" s="2027"/>
      <c r="O282" s="2028"/>
      <c r="P282" s="1932">
        <v>220</v>
      </c>
      <c r="Q282" s="2029">
        <v>20</v>
      </c>
      <c r="R282" s="2972" t="s">
        <v>8776</v>
      </c>
      <c r="S282" s="2030">
        <v>39</v>
      </c>
      <c r="T282" s="905"/>
      <c r="U282" s="908" t="s">
        <v>1199</v>
      </c>
      <c r="V282" s="905"/>
      <c r="W282" s="893" t="s">
        <v>1200</v>
      </c>
      <c r="X282" s="905"/>
      <c r="Y282" s="2970" t="s">
        <v>9159</v>
      </c>
      <c r="Z282" s="905"/>
      <c r="AA282" s="2970" t="s">
        <v>9160</v>
      </c>
      <c r="AB282" s="905"/>
      <c r="AC282" s="2970" t="s">
        <v>9161</v>
      </c>
      <c r="AD282" s="905"/>
      <c r="AE282" s="2970" t="s">
        <v>9162</v>
      </c>
      <c r="AF282" s="905"/>
      <c r="AG282" s="2970" t="s">
        <v>9154</v>
      </c>
      <c r="AH282" s="928"/>
      <c r="AI282" s="930">
        <f>SUM('7층_부하량(월간_AVG)'!D114:F114)</f>
        <v>2.870517241897061</v>
      </c>
      <c r="AJ282" s="1328">
        <f t="shared" si="80"/>
        <v>2.870517241897061</v>
      </c>
      <c r="AK282" s="2973"/>
      <c r="AL282" s="2974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266.10000000000002</v>
      </c>
      <c r="AM282" s="2975">
        <f t="shared" si="83"/>
        <v>266.10000000000002</v>
      </c>
      <c r="AN282" s="1335" t="s">
        <v>1201</v>
      </c>
      <c r="AO282" s="679"/>
      <c r="AQ282" s="2367">
        <f t="shared" si="84"/>
        <v>0.35766129032258065</v>
      </c>
      <c r="AR282" s="2367">
        <f t="shared" si="85"/>
        <v>-0.35766129032258065</v>
      </c>
      <c r="AS282" s="123" t="str">
        <f t="shared" si="82"/>
        <v>사용초과</v>
      </c>
      <c r="AT282">
        <f t="shared" si="75"/>
        <v>0</v>
      </c>
      <c r="AU282">
        <f t="shared" si="76"/>
        <v>0</v>
      </c>
      <c r="AZ282" s="123"/>
      <c r="BA282" s="123"/>
      <c r="BB282" s="123"/>
      <c r="BC282" s="3103"/>
      <c r="BD282" s="123"/>
      <c r="BE282" s="3104"/>
      <c r="BF282" s="3105"/>
      <c r="BG282" s="3112"/>
      <c r="BH282" s="3106"/>
      <c r="BI282" s="3107"/>
      <c r="BJ282" s="3108"/>
      <c r="BK282" s="3109"/>
      <c r="BL282" s="3110"/>
    </row>
    <row r="283" spans="1:64">
      <c r="AJ283" s="2358">
        <f>SUM(AJ5:AJ282)</f>
        <v>743.13524944223184</v>
      </c>
      <c r="AK283" s="1360">
        <f>SUM(AK130:AK282)/1000</f>
        <v>20.5655</v>
      </c>
      <c r="AL283" s="1360"/>
      <c r="AM283" s="1360"/>
    </row>
  </sheetData>
  <mergeCells count="140">
    <mergeCell ref="BN3:BN4"/>
    <mergeCell ref="AZ3:AZ4"/>
    <mergeCell ref="BA3:BA4"/>
    <mergeCell ref="BB3:BB4"/>
    <mergeCell ref="BC3:BC4"/>
    <mergeCell ref="BE3:BF3"/>
    <mergeCell ref="BG3:BI3"/>
    <mergeCell ref="BJ3:BK3"/>
    <mergeCell ref="BL3:BL4"/>
    <mergeCell ref="BM3:BM4"/>
    <mergeCell ref="AQ3:AQ4"/>
    <mergeCell ref="AR3:AR4"/>
    <mergeCell ref="AS3:AS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</mergeCells>
  <phoneticPr fontId="13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B253"/>
  <sheetViews>
    <sheetView zoomScaleNormal="10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B1" sqref="B1:AE1"/>
    </sheetView>
  </sheetViews>
  <sheetFormatPr defaultRowHeight="14.4"/>
  <cols>
    <col min="1" max="1" width="9.69921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69921875" style="2041" bestFit="1" customWidth="1"/>
    <col min="11" max="11" width="6.09765625" customWidth="1"/>
    <col min="12" max="12" width="5.8984375" customWidth="1"/>
    <col min="13" max="13" width="3.3984375" customWidth="1"/>
    <col min="14" max="14" width="3.3984375" style="1447" customWidth="1"/>
    <col min="15" max="15" width="6.09765625" customWidth="1"/>
    <col min="16" max="16" width="5.8984375" customWidth="1"/>
    <col min="17" max="17" width="3.69921875" customWidth="1"/>
    <col min="18" max="18" width="3.3984375" style="1447" customWidth="1"/>
    <col min="19" max="24" width="9.59765625" customWidth="1"/>
    <col min="25" max="27" width="8.8984375" style="249"/>
    <col min="28" max="28" width="11.69921875" style="249" bestFit="1" customWidth="1"/>
    <col min="29" max="29" width="11.69921875" style="249" customWidth="1"/>
    <col min="30" max="30" width="16.69921875" style="249" customWidth="1"/>
    <col min="31" max="31" width="16.69921875" style="1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37" max="37" width="14.8984375" customWidth="1"/>
    <col min="43" max="43" width="11" bestFit="1" customWidth="1"/>
    <col min="44" max="44" width="19.3984375" bestFit="1" customWidth="1"/>
    <col min="46" max="47" width="26.59765625" bestFit="1" customWidth="1"/>
    <col min="51" max="51" width="9.69921875" bestFit="1" customWidth="1"/>
    <col min="52" max="52" width="12.3984375" bestFit="1" customWidth="1"/>
    <col min="53" max="53" width="10.3984375" bestFit="1" customWidth="1"/>
    <col min="54" max="54" width="11.69921875" bestFit="1" customWidth="1"/>
  </cols>
  <sheetData>
    <row r="1" spans="1:54" ht="25.8">
      <c r="B1" s="3373" t="s">
        <v>1202</v>
      </c>
      <c r="C1" s="3373"/>
      <c r="D1" s="3373"/>
      <c r="E1" s="3373"/>
      <c r="F1" s="3373"/>
      <c r="G1" s="3373"/>
      <c r="H1" s="3373"/>
      <c r="I1" s="3373"/>
      <c r="J1" s="3373"/>
      <c r="K1" s="3373"/>
      <c r="L1" s="3373"/>
      <c r="M1" s="3373"/>
      <c r="N1" s="3373"/>
      <c r="O1" s="3373"/>
      <c r="P1" s="3373"/>
      <c r="Q1" s="3373"/>
      <c r="R1" s="3373"/>
      <c r="S1" s="3373"/>
      <c r="T1" s="3373"/>
      <c r="U1" s="3373"/>
      <c r="V1" s="3373"/>
      <c r="W1" s="3373"/>
      <c r="X1" s="3373"/>
      <c r="Y1" s="3373"/>
      <c r="Z1" s="3373"/>
      <c r="AA1" s="3373"/>
      <c r="AB1" s="3373"/>
      <c r="AC1" s="3373"/>
      <c r="AD1" s="3373"/>
      <c r="AE1" s="3373"/>
      <c r="AP1" s="123"/>
      <c r="AQ1" s="123"/>
      <c r="AR1" s="123"/>
      <c r="AT1" s="123"/>
      <c r="AU1" s="123"/>
      <c r="AX1" s="123" t="str">
        <f>'7층~4층_고객 총사용량(삭제X)'!G2</f>
        <v>sejong</v>
      </c>
      <c r="AY1" s="3074" t="s">
        <v>9265</v>
      </c>
      <c r="AZ1" s="3075" t="s">
        <v>9267</v>
      </c>
      <c r="BA1" s="3076" t="s">
        <v>9268</v>
      </c>
      <c r="BB1" s="3066" t="s">
        <v>9269</v>
      </c>
    </row>
    <row r="2" spans="1:54" ht="16.2" thickBot="1">
      <c r="I2" s="2041" t="s">
        <v>1203</v>
      </c>
      <c r="AE2" s="488"/>
      <c r="AP2" s="123"/>
      <c r="AQ2" s="123"/>
      <c r="AR2" s="123"/>
      <c r="AS2" s="3080"/>
      <c r="AT2" s="123"/>
      <c r="AU2" s="123"/>
      <c r="AY2" s="3097">
        <f>SUBTOTAL(109,AS5:AS250)</f>
        <v>1.6</v>
      </c>
      <c r="AZ2" s="3098">
        <f>SUBTOTAL(109,BA5:BA250)/(24*31)</f>
        <v>0.17862903225806454</v>
      </c>
      <c r="BA2" s="3097">
        <f>AY2-AZ2</f>
        <v>1.4213709677419355</v>
      </c>
      <c r="BB2" s="3096" t="str">
        <f>IF(SIGN(BA2)&gt;=0,IF(AZ2=0,"미사용 랙","적정 사용"),"사용초과")</f>
        <v>적정 사용</v>
      </c>
    </row>
    <row r="3" spans="1:54" ht="13.5" customHeight="1" thickTop="1" thickBot="1">
      <c r="A3" s="3366" t="s">
        <v>1204</v>
      </c>
      <c r="B3" s="3368" t="s">
        <v>1205</v>
      </c>
      <c r="C3" s="3378" t="s">
        <v>1206</v>
      </c>
      <c r="D3" s="3022" t="s">
        <v>9265</v>
      </c>
      <c r="E3" s="3380" t="s">
        <v>1207</v>
      </c>
      <c r="F3" s="3368"/>
      <c r="G3" s="3381" t="s">
        <v>1208</v>
      </c>
      <c r="H3" s="3382"/>
      <c r="I3" s="3387" t="s">
        <v>6631</v>
      </c>
      <c r="J3" s="3388"/>
      <c r="K3" s="3387" t="s">
        <v>7</v>
      </c>
      <c r="L3" s="3389"/>
      <c r="M3" s="3389"/>
      <c r="N3" s="3389"/>
      <c r="O3" s="3389"/>
      <c r="P3" s="3389"/>
      <c r="Q3" s="3389"/>
      <c r="R3" s="3388"/>
      <c r="S3" s="3381" t="s">
        <v>1209</v>
      </c>
      <c r="T3" s="3382"/>
      <c r="U3" s="3381" t="s">
        <v>13</v>
      </c>
      <c r="V3" s="3382"/>
      <c r="W3" s="3381" t="s">
        <v>14</v>
      </c>
      <c r="X3" s="3382"/>
      <c r="Y3" s="3383" t="s">
        <v>8722</v>
      </c>
      <c r="Z3" s="3384"/>
      <c r="AA3" s="3384"/>
      <c r="AB3" s="3374" t="s">
        <v>8723</v>
      </c>
      <c r="AC3" s="3375"/>
      <c r="AD3" s="3385" t="s">
        <v>6632</v>
      </c>
      <c r="AE3" s="3376" t="s">
        <v>1210</v>
      </c>
      <c r="AG3" s="3293" t="s">
        <v>9267</v>
      </c>
      <c r="AH3" s="3295" t="s">
        <v>9268</v>
      </c>
      <c r="AI3" s="3297" t="s">
        <v>9269</v>
      </c>
      <c r="AJ3" s="3066" t="s">
        <v>9270</v>
      </c>
      <c r="AK3" s="3066"/>
      <c r="AL3" s="3066" t="s">
        <v>9271</v>
      </c>
      <c r="AM3" s="3066" t="s">
        <v>9272</v>
      </c>
      <c r="AP3" s="3419" t="s">
        <v>3734</v>
      </c>
      <c r="AQ3" s="3421" t="s">
        <v>1204</v>
      </c>
      <c r="AR3" s="3423" t="s">
        <v>1206</v>
      </c>
      <c r="AS3" s="3081" t="s">
        <v>9265</v>
      </c>
      <c r="AT3" s="3223" t="s">
        <v>6630</v>
      </c>
      <c r="AU3" s="3224"/>
      <c r="AV3" s="3425" t="s">
        <v>8722</v>
      </c>
      <c r="AW3" s="3384"/>
      <c r="AX3" s="3384"/>
      <c r="AY3" s="3426" t="s">
        <v>8723</v>
      </c>
      <c r="AZ3" s="3427"/>
      <c r="BA3" s="3428" t="s">
        <v>6632</v>
      </c>
      <c r="BB3" s="3430" t="s">
        <v>1210</v>
      </c>
    </row>
    <row r="4" spans="1:54" ht="15.6" thickTop="1" thickBot="1">
      <c r="A4" s="3367"/>
      <c r="B4" s="3369"/>
      <c r="C4" s="3379"/>
      <c r="D4" s="3023" t="s">
        <v>9266</v>
      </c>
      <c r="E4" s="2685" t="s">
        <v>19</v>
      </c>
      <c r="F4" s="2685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390" t="s">
        <v>19</v>
      </c>
      <c r="L4" s="3391"/>
      <c r="M4" s="3391"/>
      <c r="N4" s="3392"/>
      <c r="O4" s="3393" t="s">
        <v>20</v>
      </c>
      <c r="P4" s="3393"/>
      <c r="Q4" s="3393"/>
      <c r="R4" s="3394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1" t="s">
        <v>23</v>
      </c>
      <c r="AB4" s="2819" t="s">
        <v>19</v>
      </c>
      <c r="AC4" s="2820" t="s">
        <v>20</v>
      </c>
      <c r="AD4" s="3386"/>
      <c r="AE4" s="3377"/>
      <c r="AG4" s="3294"/>
      <c r="AH4" s="3296"/>
      <c r="AI4" s="3298"/>
      <c r="AJ4" s="3067">
        <f>COUNTIF(AI5:AI500,"사용초과")</f>
        <v>11</v>
      </c>
      <c r="AK4" s="3067"/>
      <c r="AL4" s="3067">
        <f>COUNTIF(AI5:AI500,AL3)</f>
        <v>37</v>
      </c>
      <c r="AM4" s="3067">
        <f>COUNTIF(AI5:AI500,AM3)</f>
        <v>198</v>
      </c>
      <c r="AP4" s="3420"/>
      <c r="AQ4" s="3422"/>
      <c r="AR4" s="3424"/>
      <c r="AS4" s="3082" t="s">
        <v>9266</v>
      </c>
      <c r="AT4" s="2065" t="s">
        <v>3737</v>
      </c>
      <c r="AU4" s="2066" t="s">
        <v>3738</v>
      </c>
      <c r="AV4" s="3083" t="s">
        <v>3737</v>
      </c>
      <c r="AW4" s="2067" t="s">
        <v>3738</v>
      </c>
      <c r="AX4" s="2651" t="s">
        <v>23</v>
      </c>
      <c r="AY4" s="2713" t="s">
        <v>3737</v>
      </c>
      <c r="AZ4" s="2714" t="s">
        <v>3738</v>
      </c>
      <c r="BA4" s="3429"/>
      <c r="BB4" s="3431"/>
    </row>
    <row r="5" spans="1:54" ht="15" thickTop="1">
      <c r="A5" s="1084" t="s">
        <v>2219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55"/>
      <c r="AB5" s="2826"/>
      <c r="AC5" s="2827"/>
      <c r="AD5" s="2835">
        <f t="shared" ref="AD5:AD41" si="0">SUM(AB5:AC5)</f>
        <v>0</v>
      </c>
      <c r="AE5" s="2828" t="s">
        <v>1265</v>
      </c>
      <c r="AG5" s="2367">
        <f>AD5/(24*31)</f>
        <v>0</v>
      </c>
      <c r="AH5" s="2367">
        <f>D5-AG5</f>
        <v>0</v>
      </c>
      <c r="AI5" s="123" t="str">
        <f t="shared" ref="AI5:AI68" si="1">IF(SIGN(AH5)&gt;=0,IF(AD5=0,"무부하 랙","적정함"),"사용초과")</f>
        <v>무부하 랙</v>
      </c>
      <c r="AJ5" t="str">
        <f>IF(AI5="사용초과",C5,"")</f>
        <v/>
      </c>
      <c r="AK5" t="str">
        <f>IF(AJ5="","",A5)</f>
        <v/>
      </c>
      <c r="AP5" s="123" t="str" cm="1">
        <f t="array" ref="AP5:AS5">IF($AX$1="", "", _xlfn._xlws.FILTER(A5:D1064, ISNUMBER(SEARCH($AX$1,C5:C1064)), "찾을 수 없음"))</f>
        <v>A810</v>
      </c>
      <c r="AQ5" s="123" t="str">
        <v>6F-Y11</v>
      </c>
      <c r="AR5" s="123" t="str">
        <v>Sejong Telecom Inc.</v>
      </c>
      <c r="AS5" s="3084">
        <v>1.6</v>
      </c>
      <c r="AT5" s="123" t="str" cm="1">
        <f t="array" ref="AT5:AU5">IF($AX$1="", "", _xlfn._xlws.FILTER(I5:J1064, ISNUMBER(SEARCH($AX$1,C5:C1064)), "찾을 수 없음"))</f>
        <v>6-DaHall 1-PDU-05-30-35</v>
      </c>
      <c r="AU5" s="123" t="str">
        <v>6-DaHall 1-PDU-06-30-35</v>
      </c>
      <c r="AV5" s="3085" cm="1">
        <f t="array" ref="AV5:BB5">IF($AX$1="", "", _xlfn._xlws.FILTER(Y5:AE1064, ISNUMBER(SEARCH($AX$1,C5:C1064)), "찾을 수 없음"))</f>
        <v>0.67999025717570161</v>
      </c>
      <c r="AW5" s="3086">
        <v>0.39000000000000018</v>
      </c>
      <c r="AX5" s="3087">
        <v>1.0699902571757018</v>
      </c>
      <c r="AY5" s="3088">
        <v>88.2</v>
      </c>
      <c r="AZ5" s="3089">
        <v>44.7</v>
      </c>
      <c r="BA5" s="3090">
        <v>132.9</v>
      </c>
      <c r="BB5" s="3091">
        <v>0</v>
      </c>
    </row>
    <row r="6" spans="1:54">
      <c r="A6" s="2652" t="s">
        <v>2220</v>
      </c>
      <c r="B6" s="2712" t="s">
        <v>2221</v>
      </c>
      <c r="C6" s="2712"/>
      <c r="D6" s="2712"/>
      <c r="E6" s="2712"/>
      <c r="F6" s="2712"/>
      <c r="G6" s="2708"/>
      <c r="H6" s="2691"/>
      <c r="I6" s="2137"/>
      <c r="J6" s="2138"/>
      <c r="K6" s="1492"/>
      <c r="L6" s="1493"/>
      <c r="M6" s="2708"/>
      <c r="N6" s="1494"/>
      <c r="O6" s="1495"/>
      <c r="P6" s="1496"/>
      <c r="Q6" s="2691"/>
      <c r="R6" s="1497"/>
      <c r="S6" s="832"/>
      <c r="T6" s="833"/>
      <c r="U6" s="832"/>
      <c r="V6" s="833"/>
      <c r="W6" s="832"/>
      <c r="X6" s="833"/>
      <c r="Y6" s="834"/>
      <c r="Z6" s="834"/>
      <c r="AA6" s="2457">
        <f t="shared" ref="AA6:AA14" si="2">SUM(Y6:Z6)</f>
        <v>0</v>
      </c>
      <c r="AB6" s="2717"/>
      <c r="AC6" s="2736"/>
      <c r="AD6" s="2829">
        <f t="shared" si="0"/>
        <v>0</v>
      </c>
      <c r="AE6" s="2858" t="s">
        <v>1265</v>
      </c>
      <c r="AG6" s="2367">
        <f t="shared" ref="AG6:AG25" si="3">AD6/(24*31)</f>
        <v>0</v>
      </c>
      <c r="AH6" s="2367">
        <f t="shared" ref="AH6:AH25" si="4">D6-AG6</f>
        <v>0</v>
      </c>
      <c r="AI6" s="123" t="str">
        <f t="shared" si="1"/>
        <v>무부하 랙</v>
      </c>
      <c r="AJ6" t="str">
        <f t="shared" ref="AJ6:AJ69" si="5">IF(AI6="사용초과",C6,"")</f>
        <v/>
      </c>
      <c r="AK6" t="str">
        <f t="shared" ref="AK6:AK69" si="6">IF(AJ6="","",A6)</f>
        <v/>
      </c>
      <c r="AP6" s="123"/>
      <c r="AQ6" s="123"/>
      <c r="AR6" s="123"/>
      <c r="AS6" s="3084"/>
      <c r="AT6" s="123"/>
      <c r="AU6" s="123"/>
      <c r="AV6" s="3085"/>
      <c r="AW6" s="3086"/>
      <c r="AX6" s="3087"/>
      <c r="AY6" s="3088"/>
      <c r="AZ6" s="3089"/>
      <c r="BA6" s="3090"/>
      <c r="BB6" s="3091"/>
    </row>
    <row r="7" spans="1:54">
      <c r="A7" s="2652" t="s">
        <v>2222</v>
      </c>
      <c r="B7" s="2712" t="s">
        <v>2223</v>
      </c>
      <c r="C7" s="2712"/>
      <c r="D7" s="2712"/>
      <c r="E7" s="2712"/>
      <c r="F7" s="2712"/>
      <c r="G7" s="2708"/>
      <c r="H7" s="2691"/>
      <c r="I7" s="2137"/>
      <c r="J7" s="2138"/>
      <c r="K7" s="1492"/>
      <c r="L7" s="1493"/>
      <c r="M7" s="2708"/>
      <c r="N7" s="1494"/>
      <c r="O7" s="1495"/>
      <c r="P7" s="1496"/>
      <c r="Q7" s="2691"/>
      <c r="R7" s="1497"/>
      <c r="S7" s="832"/>
      <c r="T7" s="833"/>
      <c r="U7" s="832"/>
      <c r="V7" s="833"/>
      <c r="W7" s="832"/>
      <c r="X7" s="833"/>
      <c r="Y7" s="834"/>
      <c r="Z7" s="834"/>
      <c r="AA7" s="2457">
        <f t="shared" si="2"/>
        <v>0</v>
      </c>
      <c r="AB7" s="2717"/>
      <c r="AC7" s="2849"/>
      <c r="AD7" s="2847">
        <f t="shared" si="0"/>
        <v>0</v>
      </c>
      <c r="AE7" s="2848" t="s">
        <v>1265</v>
      </c>
      <c r="AG7" s="2367">
        <f t="shared" si="3"/>
        <v>0</v>
      </c>
      <c r="AH7" s="2367">
        <f t="shared" si="4"/>
        <v>0</v>
      </c>
      <c r="AI7" s="123" t="str">
        <f t="shared" si="1"/>
        <v>무부하 랙</v>
      </c>
      <c r="AJ7" t="str">
        <f t="shared" si="5"/>
        <v/>
      </c>
      <c r="AK7" t="str">
        <f t="shared" si="6"/>
        <v/>
      </c>
      <c r="AP7" s="123"/>
      <c r="AQ7" s="123"/>
      <c r="AR7" s="123"/>
      <c r="AS7" s="3084"/>
      <c r="AT7" s="123"/>
      <c r="AU7" s="123"/>
      <c r="AV7" s="3085"/>
      <c r="AW7" s="3086"/>
      <c r="AX7" s="3087"/>
      <c r="AY7" s="3088"/>
      <c r="AZ7" s="3089"/>
      <c r="BA7" s="3090"/>
      <c r="BB7" s="3091"/>
    </row>
    <row r="8" spans="1:54">
      <c r="A8" s="2652" t="s">
        <v>2224</v>
      </c>
      <c r="B8" s="2712" t="s">
        <v>2225</v>
      </c>
      <c r="C8" s="2712"/>
      <c r="D8" s="2712"/>
      <c r="E8" s="2712"/>
      <c r="F8" s="2712"/>
      <c r="G8" s="2708"/>
      <c r="H8" s="2691"/>
      <c r="I8" s="2137"/>
      <c r="J8" s="2138"/>
      <c r="K8" s="1492"/>
      <c r="L8" s="1493"/>
      <c r="M8" s="2708"/>
      <c r="N8" s="1494"/>
      <c r="O8" s="1495"/>
      <c r="P8" s="1496"/>
      <c r="Q8" s="2691"/>
      <c r="R8" s="1497"/>
      <c r="S8" s="832"/>
      <c r="T8" s="833"/>
      <c r="U8" s="832"/>
      <c r="V8" s="833"/>
      <c r="W8" s="832"/>
      <c r="X8" s="833"/>
      <c r="Y8" s="834"/>
      <c r="Z8" s="834"/>
      <c r="AA8" s="2457">
        <f t="shared" si="2"/>
        <v>0</v>
      </c>
      <c r="AB8" s="2717"/>
      <c r="AC8" s="2849"/>
      <c r="AD8" s="2847">
        <f t="shared" si="0"/>
        <v>0</v>
      </c>
      <c r="AE8" s="2848" t="s">
        <v>1265</v>
      </c>
      <c r="AG8" s="2367">
        <f t="shared" si="3"/>
        <v>0</v>
      </c>
      <c r="AH8" s="2367">
        <f t="shared" si="4"/>
        <v>0</v>
      </c>
      <c r="AI8" s="123" t="str">
        <f t="shared" si="1"/>
        <v>무부하 랙</v>
      </c>
      <c r="AJ8" t="str">
        <f t="shared" si="5"/>
        <v/>
      </c>
      <c r="AK8" t="str">
        <f t="shared" si="6"/>
        <v/>
      </c>
      <c r="AP8" s="123"/>
      <c r="AQ8" s="123"/>
      <c r="AR8" s="123"/>
      <c r="AS8" s="3084"/>
      <c r="AT8" s="123"/>
      <c r="AU8" s="123"/>
      <c r="AV8" s="3085"/>
      <c r="AW8" s="3086"/>
      <c r="AX8" s="3087"/>
      <c r="AY8" s="3088"/>
      <c r="AZ8" s="3089"/>
      <c r="BA8" s="3090"/>
      <c r="BB8" s="3091"/>
    </row>
    <row r="9" spans="1:54" ht="28.8">
      <c r="A9" s="2652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41" t="s">
        <v>2230</v>
      </c>
      <c r="H9" s="2636" t="s">
        <v>2231</v>
      </c>
      <c r="I9" s="2128" t="str">
        <f t="shared" ref="I9:I14" si="7">"6-DaHall 1-PDU-"&amp;M9&amp;"-"&amp;L9&amp;"-"&amp;N9</f>
        <v>6-DaHall 1-PDU-07-30-36</v>
      </c>
      <c r="J9" s="2129" t="str">
        <f t="shared" ref="J9:J14" si="8">"6-DaHall 1-PDU-"&amp;Q9&amp;"-"&amp;P9&amp;"-"&amp;R9</f>
        <v>6-DaHall 1-PDU-08-30-36</v>
      </c>
      <c r="K9" s="1477">
        <v>220</v>
      </c>
      <c r="L9" s="1478">
        <v>30</v>
      </c>
      <c r="M9" s="2435" t="s">
        <v>6492</v>
      </c>
      <c r="N9" s="1465">
        <v>36</v>
      </c>
      <c r="O9" s="1469">
        <v>220</v>
      </c>
      <c r="P9" s="1470">
        <v>30</v>
      </c>
      <c r="Q9" s="2441" t="s">
        <v>6504</v>
      </c>
      <c r="R9" s="1468">
        <v>36</v>
      </c>
      <c r="S9" s="3342" t="s">
        <v>2189</v>
      </c>
      <c r="T9" s="3339" t="s">
        <v>2190</v>
      </c>
      <c r="U9" s="3342" t="s">
        <v>2191</v>
      </c>
      <c r="V9" s="3339" t="s">
        <v>2192</v>
      </c>
      <c r="W9" s="3342" t="s">
        <v>1880</v>
      </c>
      <c r="X9" s="3339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52">
        <f t="shared" si="2"/>
        <v>0</v>
      </c>
      <c r="AB9" s="2715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46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29">
        <f t="shared" si="0"/>
        <v>0</v>
      </c>
      <c r="AE9" s="2821"/>
      <c r="AG9" s="2367">
        <f t="shared" si="3"/>
        <v>0</v>
      </c>
      <c r="AH9" s="2367">
        <f t="shared" si="4"/>
        <v>0</v>
      </c>
      <c r="AI9" s="123" t="str">
        <f t="shared" si="1"/>
        <v>무부하 랙</v>
      </c>
      <c r="AJ9" t="str">
        <f t="shared" si="5"/>
        <v/>
      </c>
      <c r="AK9" t="str">
        <f t="shared" si="6"/>
        <v/>
      </c>
      <c r="AP9" s="123"/>
      <c r="AQ9" s="123"/>
      <c r="AR9" s="123"/>
      <c r="AS9" s="3084"/>
      <c r="AT9" s="123"/>
      <c r="AU9" s="123"/>
      <c r="AV9" s="3085"/>
      <c r="AW9" s="3086"/>
      <c r="AX9" s="3087"/>
      <c r="AY9" s="3088"/>
      <c r="AZ9" s="3089"/>
      <c r="BA9" s="3090"/>
      <c r="BB9" s="3091"/>
    </row>
    <row r="10" spans="1:54" ht="28.8">
      <c r="A10" s="2652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41" t="s">
        <v>2236</v>
      </c>
      <c r="H10" s="2636" t="s">
        <v>2237</v>
      </c>
      <c r="I10" s="2128" t="str">
        <f t="shared" si="7"/>
        <v>6-DaHall 1-PDU-07-30-38</v>
      </c>
      <c r="J10" s="2129" t="str">
        <f t="shared" si="8"/>
        <v>6-DaHall 1-PDU-08-30-38</v>
      </c>
      <c r="K10" s="1477">
        <v>220</v>
      </c>
      <c r="L10" s="1478">
        <v>30</v>
      </c>
      <c r="M10" s="2435" t="s">
        <v>6492</v>
      </c>
      <c r="N10" s="1465">
        <v>38</v>
      </c>
      <c r="O10" s="1469">
        <v>220</v>
      </c>
      <c r="P10" s="1470">
        <v>30</v>
      </c>
      <c r="Q10" s="2441" t="s">
        <v>6504</v>
      </c>
      <c r="R10" s="1468">
        <v>38</v>
      </c>
      <c r="S10" s="3343"/>
      <c r="T10" s="3340"/>
      <c r="U10" s="3343"/>
      <c r="V10" s="3340"/>
      <c r="W10" s="3343"/>
      <c r="X10" s="3340"/>
      <c r="Y10" s="253">
        <f>SUM('6층_부하량(월간_AVG)'!L404:N404)</f>
        <v>0</v>
      </c>
      <c r="Z10" s="253">
        <f>SUM('6층_부하량(월간_AVG)'!L436:N436)</f>
        <v>0</v>
      </c>
      <c r="AA10" s="2452">
        <f t="shared" si="2"/>
        <v>0</v>
      </c>
      <c r="AB10" s="2715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46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29">
        <f t="shared" si="0"/>
        <v>0</v>
      </c>
      <c r="AE10" s="2821"/>
      <c r="AG10" s="2367">
        <f t="shared" si="3"/>
        <v>0</v>
      </c>
      <c r="AH10" s="2367">
        <f t="shared" si="4"/>
        <v>0</v>
      </c>
      <c r="AI10" s="123" t="str">
        <f t="shared" si="1"/>
        <v>무부하 랙</v>
      </c>
      <c r="AJ10" t="str">
        <f t="shared" si="5"/>
        <v/>
      </c>
      <c r="AK10" t="str">
        <f t="shared" si="6"/>
        <v/>
      </c>
      <c r="AP10" s="123"/>
      <c r="AQ10" s="123"/>
      <c r="AR10" s="123"/>
      <c r="AS10" s="3084"/>
      <c r="AT10" s="123"/>
      <c r="AU10" s="123"/>
      <c r="AV10" s="3085"/>
      <c r="AW10" s="3086"/>
      <c r="AX10" s="3087"/>
      <c r="AY10" s="3088"/>
      <c r="AZ10" s="3089"/>
      <c r="BA10" s="3090"/>
      <c r="BB10" s="3091"/>
    </row>
    <row r="11" spans="1:54" ht="28.8">
      <c r="A11" s="2652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41" t="s">
        <v>2242</v>
      </c>
      <c r="H11" s="2636" t="s">
        <v>2243</v>
      </c>
      <c r="I11" s="2128" t="str">
        <f t="shared" si="7"/>
        <v>6-DaHall 1-PDU-07-30-40</v>
      </c>
      <c r="J11" s="2129" t="str">
        <f t="shared" si="8"/>
        <v>6-DaHall 1-PDU-08-30-40</v>
      </c>
      <c r="K11" s="1477">
        <v>220</v>
      </c>
      <c r="L11" s="1478">
        <v>30</v>
      </c>
      <c r="M11" s="2435" t="s">
        <v>6492</v>
      </c>
      <c r="N11" s="1465">
        <v>40</v>
      </c>
      <c r="O11" s="1469">
        <v>220</v>
      </c>
      <c r="P11" s="1470">
        <v>30</v>
      </c>
      <c r="Q11" s="2441" t="s">
        <v>6504</v>
      </c>
      <c r="R11" s="1468">
        <v>40</v>
      </c>
      <c r="S11" s="3343"/>
      <c r="T11" s="3340"/>
      <c r="U11" s="3343"/>
      <c r="V11" s="3340"/>
      <c r="W11" s="3343"/>
      <c r="X11" s="3340"/>
      <c r="Y11" s="253">
        <f>SUM('6층_부하량(월간_AVG)'!L405:N405)</f>
        <v>0</v>
      </c>
      <c r="Z11" s="253">
        <f>SUM('6층_부하량(월간_AVG)'!L437:N437)</f>
        <v>0</v>
      </c>
      <c r="AA11" s="2452">
        <f t="shared" si="2"/>
        <v>0</v>
      </c>
      <c r="AB11" s="2715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46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29">
        <f t="shared" si="0"/>
        <v>0</v>
      </c>
      <c r="AE11" s="2821"/>
      <c r="AG11" s="2367">
        <f t="shared" si="3"/>
        <v>0</v>
      </c>
      <c r="AH11" s="2367">
        <f t="shared" si="4"/>
        <v>0</v>
      </c>
      <c r="AI11" s="123" t="str">
        <f t="shared" si="1"/>
        <v>무부하 랙</v>
      </c>
      <c r="AJ11" t="str">
        <f t="shared" si="5"/>
        <v/>
      </c>
      <c r="AK11" t="str">
        <f t="shared" si="6"/>
        <v/>
      </c>
      <c r="AP11" s="123"/>
      <c r="AQ11" s="123"/>
      <c r="AR11" s="123"/>
      <c r="AS11" s="3084"/>
      <c r="AT11" s="123"/>
      <c r="AU11" s="123"/>
      <c r="AV11" s="3085"/>
      <c r="AW11" s="3086"/>
      <c r="AX11" s="3087"/>
      <c r="AY11" s="3088"/>
      <c r="AZ11" s="3089"/>
      <c r="BA11" s="3090"/>
      <c r="BB11" s="3091"/>
    </row>
    <row r="12" spans="1:54" ht="28.8">
      <c r="A12" s="2652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41" t="s">
        <v>2248</v>
      </c>
      <c r="H12" s="2636" t="s">
        <v>2249</v>
      </c>
      <c r="I12" s="2128" t="str">
        <f t="shared" si="7"/>
        <v>6-DaHall 1-PDU-07-30-42</v>
      </c>
      <c r="J12" s="2129" t="str">
        <f t="shared" si="8"/>
        <v>6-DaHall 1-PDU-08-30-42</v>
      </c>
      <c r="K12" s="1477">
        <v>220</v>
      </c>
      <c r="L12" s="1478">
        <v>30</v>
      </c>
      <c r="M12" s="2435" t="s">
        <v>6492</v>
      </c>
      <c r="N12" s="1465">
        <v>42</v>
      </c>
      <c r="O12" s="1469">
        <v>220</v>
      </c>
      <c r="P12" s="1470">
        <v>30</v>
      </c>
      <c r="Q12" s="2441" t="s">
        <v>6504</v>
      </c>
      <c r="R12" s="1468">
        <v>42</v>
      </c>
      <c r="S12" s="3343"/>
      <c r="T12" s="3340"/>
      <c r="U12" s="3343"/>
      <c r="V12" s="3340"/>
      <c r="W12" s="3343"/>
      <c r="X12" s="3340"/>
      <c r="Y12" s="253">
        <f>SUM('6층_부하량(월간_AVG)'!L406:N406)</f>
        <v>0</v>
      </c>
      <c r="Z12" s="253">
        <f>SUM('6층_부하량(월간_AVG)'!L438:N438)</f>
        <v>0</v>
      </c>
      <c r="AA12" s="2452">
        <f t="shared" si="2"/>
        <v>0</v>
      </c>
      <c r="AB12" s="2715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46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29">
        <f t="shared" si="0"/>
        <v>0</v>
      </c>
      <c r="AE12" s="2821"/>
      <c r="AG12" s="2367">
        <f t="shared" si="3"/>
        <v>0</v>
      </c>
      <c r="AH12" s="2367">
        <f t="shared" si="4"/>
        <v>0</v>
      </c>
      <c r="AI12" s="123" t="str">
        <f t="shared" si="1"/>
        <v>무부하 랙</v>
      </c>
      <c r="AJ12" t="str">
        <f t="shared" si="5"/>
        <v/>
      </c>
      <c r="AK12" t="str">
        <f t="shared" si="6"/>
        <v/>
      </c>
      <c r="AP12" s="123"/>
      <c r="AQ12" s="123"/>
      <c r="AR12" s="123"/>
      <c r="AS12" s="3084"/>
      <c r="AT12" s="123"/>
      <c r="AU12" s="123"/>
      <c r="AV12" s="3085"/>
      <c r="AW12" s="3086"/>
      <c r="AX12" s="3087"/>
      <c r="AY12" s="3088"/>
      <c r="AZ12" s="3089"/>
      <c r="BA12" s="3090"/>
      <c r="BB12" s="3091"/>
    </row>
    <row r="13" spans="1:54" ht="28.8">
      <c r="A13" s="2652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41" t="s">
        <v>2254</v>
      </c>
      <c r="H13" s="2636" t="s">
        <v>2255</v>
      </c>
      <c r="I13" s="2128" t="str">
        <f t="shared" si="7"/>
        <v>6-DaHall 1-PDU-07-30-44</v>
      </c>
      <c r="J13" s="2129" t="str">
        <f t="shared" si="8"/>
        <v>6-DaHall 1-PDU-08-30-44</v>
      </c>
      <c r="K13" s="1477">
        <v>220</v>
      </c>
      <c r="L13" s="1478">
        <v>30</v>
      </c>
      <c r="M13" s="2435" t="s">
        <v>6492</v>
      </c>
      <c r="N13" s="1465">
        <v>44</v>
      </c>
      <c r="O13" s="1469">
        <v>220</v>
      </c>
      <c r="P13" s="1470">
        <v>30</v>
      </c>
      <c r="Q13" s="2441" t="s">
        <v>6504</v>
      </c>
      <c r="R13" s="1468">
        <v>44</v>
      </c>
      <c r="S13" s="3343"/>
      <c r="T13" s="3340"/>
      <c r="U13" s="3343"/>
      <c r="V13" s="3340"/>
      <c r="W13" s="3343"/>
      <c r="X13" s="3340"/>
      <c r="Y13" s="253">
        <f>SUM('6층_부하량(월간_AVG)'!L407:N407)</f>
        <v>0</v>
      </c>
      <c r="Z13" s="253">
        <f>SUM('6층_부하량(월간_AVG)'!L439:N439)</f>
        <v>0</v>
      </c>
      <c r="AA13" s="2452">
        <f t="shared" si="2"/>
        <v>0</v>
      </c>
      <c r="AB13" s="2715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46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29">
        <f t="shared" si="0"/>
        <v>0</v>
      </c>
      <c r="AE13" s="2821"/>
      <c r="AG13" s="2367">
        <f t="shared" si="3"/>
        <v>0</v>
      </c>
      <c r="AH13" s="2367">
        <f t="shared" si="4"/>
        <v>0</v>
      </c>
      <c r="AI13" s="123" t="str">
        <f t="shared" si="1"/>
        <v>무부하 랙</v>
      </c>
      <c r="AJ13" t="str">
        <f t="shared" si="5"/>
        <v/>
      </c>
      <c r="AK13" t="str">
        <f t="shared" si="6"/>
        <v/>
      </c>
      <c r="AP13" s="123"/>
      <c r="AQ13" s="123"/>
      <c r="AR13" s="123"/>
      <c r="AS13" s="3084"/>
      <c r="AT13" s="123"/>
      <c r="AU13" s="123"/>
      <c r="AV13" s="3085"/>
      <c r="AW13" s="3086"/>
      <c r="AX13" s="3087"/>
      <c r="AY13" s="3088"/>
      <c r="AZ13" s="3089"/>
      <c r="BA13" s="3090"/>
      <c r="BB13" s="3091"/>
    </row>
    <row r="14" spans="1:54" ht="27" customHeight="1" thickBot="1">
      <c r="A14" s="2660" t="s">
        <v>2256</v>
      </c>
      <c r="B14" s="2661" t="s">
        <v>2257</v>
      </c>
      <c r="C14" s="2661"/>
      <c r="D14" s="2661"/>
      <c r="E14" s="2661" t="s">
        <v>2258</v>
      </c>
      <c r="F14" s="2661" t="s">
        <v>2259</v>
      </c>
      <c r="G14" s="2643" t="s">
        <v>2260</v>
      </c>
      <c r="H14" s="2637" t="s">
        <v>2261</v>
      </c>
      <c r="I14" s="2130" t="str">
        <f t="shared" si="7"/>
        <v>6-DaHall 1-PDU-07-30-46</v>
      </c>
      <c r="J14" s="2131" t="str">
        <f t="shared" si="8"/>
        <v>6-DaHall 1-PDU-08-30-46</v>
      </c>
      <c r="K14" s="1498">
        <v>220</v>
      </c>
      <c r="L14" s="1499">
        <v>30</v>
      </c>
      <c r="M14" s="2438" t="s">
        <v>6492</v>
      </c>
      <c r="N14" s="1473">
        <v>46</v>
      </c>
      <c r="O14" s="1500">
        <v>220</v>
      </c>
      <c r="P14" s="1501">
        <v>30</v>
      </c>
      <c r="Q14" s="2444" t="s">
        <v>6504</v>
      </c>
      <c r="R14" s="1476">
        <v>46</v>
      </c>
      <c r="S14" s="3344"/>
      <c r="T14" s="3341"/>
      <c r="U14" s="3344"/>
      <c r="V14" s="3341"/>
      <c r="W14" s="3344"/>
      <c r="X14" s="3341"/>
      <c r="Y14" s="329">
        <f>SUM('6층_부하량(월간_AVG)'!L408:N408)</f>
        <v>0</v>
      </c>
      <c r="Z14" s="329">
        <f>SUM('6층_부하량(월간_AVG)'!L440:N440)</f>
        <v>0</v>
      </c>
      <c r="AA14" s="2453">
        <f t="shared" si="2"/>
        <v>0</v>
      </c>
      <c r="AB14" s="2715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46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34">
        <f t="shared" si="0"/>
        <v>0</v>
      </c>
      <c r="AE14" s="2823"/>
      <c r="AG14" s="2367">
        <f t="shared" si="3"/>
        <v>0</v>
      </c>
      <c r="AH14" s="2367">
        <f t="shared" si="4"/>
        <v>0</v>
      </c>
      <c r="AI14" s="123" t="str">
        <f t="shared" si="1"/>
        <v>무부하 랙</v>
      </c>
      <c r="AJ14" t="str">
        <f t="shared" si="5"/>
        <v/>
      </c>
      <c r="AK14" t="str">
        <f t="shared" si="6"/>
        <v/>
      </c>
      <c r="AP14" s="123"/>
      <c r="AQ14" s="123"/>
      <c r="AR14" s="123"/>
      <c r="AS14" s="3084"/>
      <c r="AT14" s="123"/>
      <c r="AU14" s="123"/>
      <c r="AV14" s="3085"/>
      <c r="AW14" s="3086"/>
      <c r="AX14" s="3087"/>
      <c r="AY14" s="3088"/>
      <c r="AZ14" s="3089"/>
      <c r="BA14" s="3090"/>
      <c r="BB14" s="3091"/>
    </row>
    <row r="15" spans="1:54" ht="15" thickTop="1">
      <c r="A15" s="1084" t="s">
        <v>2262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55"/>
      <c r="AB15" s="2826"/>
      <c r="AC15" s="2827"/>
      <c r="AD15" s="2835">
        <f t="shared" si="0"/>
        <v>0</v>
      </c>
      <c r="AE15" s="2828" t="s">
        <v>1265</v>
      </c>
      <c r="AG15" s="2367">
        <f t="shared" si="3"/>
        <v>0</v>
      </c>
      <c r="AH15" s="2367">
        <f t="shared" si="4"/>
        <v>0</v>
      </c>
      <c r="AI15" s="123" t="str">
        <f t="shared" si="1"/>
        <v>무부하 랙</v>
      </c>
      <c r="AJ15" t="str">
        <f t="shared" si="5"/>
        <v/>
      </c>
      <c r="AK15" t="str">
        <f t="shared" si="6"/>
        <v/>
      </c>
      <c r="AP15" s="123"/>
      <c r="AQ15" s="123"/>
      <c r="AR15" s="123"/>
      <c r="AS15" s="3084"/>
      <c r="AT15" s="123"/>
      <c r="AU15" s="123"/>
      <c r="AV15" s="3085"/>
      <c r="AW15" s="3086"/>
      <c r="AX15" s="3087"/>
      <c r="AY15" s="3088"/>
      <c r="AZ15" s="3089"/>
      <c r="BA15" s="3090"/>
      <c r="BB15" s="3091"/>
    </row>
    <row r="16" spans="1:54">
      <c r="A16" s="2652" t="s">
        <v>2263</v>
      </c>
      <c r="B16" s="2712" t="s">
        <v>2264</v>
      </c>
      <c r="C16" s="2712"/>
      <c r="D16" s="2712"/>
      <c r="E16" s="2712"/>
      <c r="F16" s="2712"/>
      <c r="G16" s="2708"/>
      <c r="H16" s="2691"/>
      <c r="I16" s="2137"/>
      <c r="J16" s="2138"/>
      <c r="K16" s="1492"/>
      <c r="L16" s="1493"/>
      <c r="M16" s="2708"/>
      <c r="N16" s="1494"/>
      <c r="O16" s="1495"/>
      <c r="P16" s="1496"/>
      <c r="Q16" s="2691"/>
      <c r="R16" s="1497"/>
      <c r="S16" s="832"/>
      <c r="T16" s="833"/>
      <c r="U16" s="832"/>
      <c r="V16" s="833"/>
      <c r="W16" s="832"/>
      <c r="X16" s="833"/>
      <c r="Y16" s="252"/>
      <c r="Z16" s="252"/>
      <c r="AA16" s="2451"/>
      <c r="AB16" s="2840"/>
      <c r="AC16" s="2859"/>
      <c r="AD16" s="2860">
        <f t="shared" si="0"/>
        <v>0</v>
      </c>
      <c r="AE16" s="2858" t="s">
        <v>1265</v>
      </c>
      <c r="AG16" s="2367">
        <f t="shared" si="3"/>
        <v>0</v>
      </c>
      <c r="AH16" s="2367">
        <f t="shared" si="4"/>
        <v>0</v>
      </c>
      <c r="AI16" s="123" t="str">
        <f t="shared" si="1"/>
        <v>무부하 랙</v>
      </c>
      <c r="AJ16" t="str">
        <f t="shared" si="5"/>
        <v/>
      </c>
      <c r="AK16" t="str">
        <f t="shared" si="6"/>
        <v/>
      </c>
      <c r="AP16" s="123"/>
      <c r="AQ16" s="123"/>
      <c r="AR16" s="123"/>
      <c r="AS16" s="3084"/>
      <c r="AT16" s="123"/>
      <c r="AU16" s="123"/>
      <c r="AV16" s="3085"/>
      <c r="AW16" s="3086"/>
      <c r="AX16" s="3087"/>
      <c r="AY16" s="3088"/>
      <c r="AZ16" s="3089"/>
      <c r="BA16" s="3090"/>
      <c r="BB16" s="3091"/>
    </row>
    <row r="17" spans="1:54">
      <c r="A17" s="2652" t="s">
        <v>2265</v>
      </c>
      <c r="B17" s="2712" t="s">
        <v>2266</v>
      </c>
      <c r="C17" s="2712"/>
      <c r="D17" s="2712"/>
      <c r="E17" s="2712"/>
      <c r="F17" s="2712"/>
      <c r="G17" s="2708"/>
      <c r="H17" s="2691"/>
      <c r="I17" s="2137"/>
      <c r="J17" s="2138"/>
      <c r="K17" s="1492"/>
      <c r="L17" s="1493"/>
      <c r="M17" s="2708"/>
      <c r="N17" s="1494"/>
      <c r="O17" s="1495"/>
      <c r="P17" s="1496"/>
      <c r="Q17" s="2691"/>
      <c r="R17" s="1497"/>
      <c r="S17" s="832"/>
      <c r="T17" s="833"/>
      <c r="U17" s="832"/>
      <c r="V17" s="833"/>
      <c r="W17" s="832"/>
      <c r="X17" s="833"/>
      <c r="Y17" s="252"/>
      <c r="Z17" s="252"/>
      <c r="AA17" s="2451"/>
      <c r="AB17" s="2840"/>
      <c r="AC17" s="2736"/>
      <c r="AD17" s="2829">
        <f t="shared" si="0"/>
        <v>0</v>
      </c>
      <c r="AE17" s="2848" t="s">
        <v>1265</v>
      </c>
      <c r="AG17" s="2367">
        <f t="shared" si="3"/>
        <v>0</v>
      </c>
      <c r="AH17" s="2367">
        <f t="shared" si="4"/>
        <v>0</v>
      </c>
      <c r="AI17" s="123" t="str">
        <f t="shared" si="1"/>
        <v>무부하 랙</v>
      </c>
      <c r="AJ17" t="str">
        <f t="shared" si="5"/>
        <v/>
      </c>
      <c r="AK17" t="str">
        <f t="shared" si="6"/>
        <v/>
      </c>
      <c r="AP17" s="123"/>
      <c r="AQ17" s="123"/>
      <c r="AR17" s="123"/>
      <c r="AS17" s="3084"/>
      <c r="AT17" s="123"/>
      <c r="AU17" s="123"/>
      <c r="AV17" s="3085"/>
      <c r="AW17" s="3086"/>
      <c r="AX17" s="3087"/>
      <c r="AY17" s="3088"/>
      <c r="AZ17" s="3089"/>
      <c r="BA17" s="3090"/>
      <c r="BB17" s="3091"/>
    </row>
    <row r="18" spans="1:54">
      <c r="A18" s="2652" t="s">
        <v>2267</v>
      </c>
      <c r="B18" s="2712" t="s">
        <v>2268</v>
      </c>
      <c r="C18" s="2712"/>
      <c r="D18" s="2712"/>
      <c r="E18" s="2712"/>
      <c r="F18" s="2712"/>
      <c r="G18" s="2708"/>
      <c r="H18" s="2691"/>
      <c r="I18" s="2137"/>
      <c r="J18" s="2138"/>
      <c r="K18" s="1492"/>
      <c r="L18" s="1493"/>
      <c r="M18" s="2708"/>
      <c r="N18" s="1494"/>
      <c r="O18" s="1495"/>
      <c r="P18" s="1496"/>
      <c r="Q18" s="2691"/>
      <c r="R18" s="1497"/>
      <c r="S18" s="832"/>
      <c r="T18" s="833"/>
      <c r="U18" s="832"/>
      <c r="V18" s="833"/>
      <c r="W18" s="832"/>
      <c r="X18" s="833"/>
      <c r="Y18" s="252"/>
      <c r="Z18" s="252"/>
      <c r="AA18" s="2451"/>
      <c r="AB18" s="2840"/>
      <c r="AC18" s="2736"/>
      <c r="AD18" s="2829">
        <f t="shared" si="0"/>
        <v>0</v>
      </c>
      <c r="AE18" s="2848" t="s">
        <v>1265</v>
      </c>
      <c r="AG18" s="2367">
        <f t="shared" si="3"/>
        <v>0</v>
      </c>
      <c r="AH18" s="2367">
        <f t="shared" si="4"/>
        <v>0</v>
      </c>
      <c r="AI18" s="123" t="str">
        <f t="shared" si="1"/>
        <v>무부하 랙</v>
      </c>
      <c r="AJ18" t="str">
        <f t="shared" si="5"/>
        <v/>
      </c>
      <c r="AK18" t="str">
        <f t="shared" si="6"/>
        <v/>
      </c>
      <c r="AP18" s="123"/>
      <c r="AQ18" s="123"/>
      <c r="AR18" s="123"/>
      <c r="AS18" s="3084"/>
      <c r="AT18" s="123"/>
      <c r="AU18" s="123"/>
      <c r="AV18" s="3085"/>
      <c r="AW18" s="3086"/>
      <c r="AX18" s="3087"/>
      <c r="AY18" s="3088"/>
      <c r="AZ18" s="3089"/>
      <c r="BA18" s="3090"/>
      <c r="BB18" s="3091"/>
    </row>
    <row r="19" spans="1:54" ht="28.8">
      <c r="A19" s="2652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41" t="s">
        <v>2273</v>
      </c>
      <c r="H19" s="2636" t="s">
        <v>2274</v>
      </c>
      <c r="I19" s="2128" t="str">
        <f t="shared" ref="I19:I24" si="9">"6-DaHall 1-PDU-"&amp;M19&amp;"-"&amp;L19&amp;"-"&amp;N19</f>
        <v>6-DaHall 1-PDU-07-30-54</v>
      </c>
      <c r="J19" s="2129" t="str">
        <f t="shared" ref="J19:J24" si="10">"6-DaHall 1-PDU-"&amp;Q19&amp;"-"&amp;P19&amp;"-"&amp;R19</f>
        <v>6-DaHall 1-PDU-08-30-54</v>
      </c>
      <c r="K19" s="1477">
        <v>220</v>
      </c>
      <c r="L19" s="1478">
        <v>30</v>
      </c>
      <c r="M19" s="2435" t="s">
        <v>6492</v>
      </c>
      <c r="N19" s="1465">
        <v>54</v>
      </c>
      <c r="O19" s="1469">
        <v>220</v>
      </c>
      <c r="P19" s="1470">
        <v>30</v>
      </c>
      <c r="Q19" s="2441" t="s">
        <v>6504</v>
      </c>
      <c r="R19" s="1468">
        <v>54</v>
      </c>
      <c r="S19" s="3342" t="s">
        <v>2189</v>
      </c>
      <c r="T19" s="3339" t="s">
        <v>2190</v>
      </c>
      <c r="U19" s="3342" t="s">
        <v>2191</v>
      </c>
      <c r="V19" s="3339" t="s">
        <v>2192</v>
      </c>
      <c r="W19" s="3342" t="s">
        <v>1880</v>
      </c>
      <c r="X19" s="3339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52">
        <f t="shared" ref="AA19:AA24" si="11">SUM(Y19:Z19)</f>
        <v>0</v>
      </c>
      <c r="AB19" s="2715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46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29">
        <f t="shared" si="0"/>
        <v>0</v>
      </c>
      <c r="AE19" s="2821"/>
      <c r="AG19" s="2367">
        <f t="shared" si="3"/>
        <v>0</v>
      </c>
      <c r="AH19" s="2367">
        <f t="shared" si="4"/>
        <v>0</v>
      </c>
      <c r="AI19" s="123" t="str">
        <f t="shared" si="1"/>
        <v>무부하 랙</v>
      </c>
      <c r="AJ19" t="str">
        <f t="shared" si="5"/>
        <v/>
      </c>
      <c r="AK19" t="str">
        <f t="shared" si="6"/>
        <v/>
      </c>
      <c r="AP19" s="123"/>
      <c r="AQ19" s="123"/>
      <c r="AR19" s="123"/>
      <c r="AS19" s="3084"/>
      <c r="AT19" s="123"/>
      <c r="AU19" s="123"/>
      <c r="AV19" s="3085"/>
      <c r="AW19" s="3086"/>
      <c r="AX19" s="3087"/>
      <c r="AY19" s="3088"/>
      <c r="AZ19" s="3089"/>
      <c r="BA19" s="3090"/>
      <c r="BB19" s="3091"/>
    </row>
    <row r="20" spans="1:54" ht="28.8">
      <c r="A20" s="2652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41" t="s">
        <v>2279</v>
      </c>
      <c r="H20" s="2636" t="s">
        <v>2280</v>
      </c>
      <c r="I20" s="2128" t="str">
        <f t="shared" si="9"/>
        <v>6-DaHall 1-PDU-07-30-53</v>
      </c>
      <c r="J20" s="2129" t="str">
        <f t="shared" si="10"/>
        <v>6-DaHall 1-PDU-08-30-53</v>
      </c>
      <c r="K20" s="1477">
        <v>220</v>
      </c>
      <c r="L20" s="1478">
        <v>30</v>
      </c>
      <c r="M20" s="2435" t="s">
        <v>6492</v>
      </c>
      <c r="N20" s="1465">
        <v>53</v>
      </c>
      <c r="O20" s="1469">
        <v>220</v>
      </c>
      <c r="P20" s="1470">
        <v>30</v>
      </c>
      <c r="Q20" s="2441" t="s">
        <v>6504</v>
      </c>
      <c r="R20" s="1468">
        <v>53</v>
      </c>
      <c r="S20" s="3343"/>
      <c r="T20" s="3340"/>
      <c r="U20" s="3343"/>
      <c r="V20" s="3340"/>
      <c r="W20" s="3343"/>
      <c r="X20" s="3340"/>
      <c r="Y20" s="268">
        <f>SUM('6층_부하량(월간_AVG)'!D412:F412)</f>
        <v>0</v>
      </c>
      <c r="Z20" s="268">
        <f>SUM('6층_부하량(월간_AVG)'!D444:F444)</f>
        <v>0</v>
      </c>
      <c r="AA20" s="2452">
        <f t="shared" si="11"/>
        <v>0</v>
      </c>
      <c r="AB20" s="2715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46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29">
        <f t="shared" si="0"/>
        <v>0</v>
      </c>
      <c r="AE20" s="2821"/>
      <c r="AG20" s="2367">
        <f t="shared" si="3"/>
        <v>0</v>
      </c>
      <c r="AH20" s="2367">
        <f t="shared" si="4"/>
        <v>0</v>
      </c>
      <c r="AI20" s="123" t="str">
        <f t="shared" si="1"/>
        <v>무부하 랙</v>
      </c>
      <c r="AJ20" t="str">
        <f t="shared" si="5"/>
        <v/>
      </c>
      <c r="AK20" t="str">
        <f t="shared" si="6"/>
        <v/>
      </c>
      <c r="AP20" s="123"/>
      <c r="AQ20" s="123"/>
      <c r="AR20" s="123"/>
      <c r="AS20" s="3084"/>
      <c r="AT20" s="123"/>
      <c r="AU20" s="123"/>
      <c r="AV20" s="3085"/>
      <c r="AW20" s="3086"/>
      <c r="AX20" s="3087"/>
      <c r="AY20" s="3088"/>
      <c r="AZ20" s="3089"/>
      <c r="BA20" s="3090"/>
      <c r="BB20" s="3091"/>
    </row>
    <row r="21" spans="1:54" ht="28.8">
      <c r="A21" s="2652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41" t="s">
        <v>2284</v>
      </c>
      <c r="H21" s="2636" t="s">
        <v>2285</v>
      </c>
      <c r="I21" s="2128" t="str">
        <f t="shared" si="9"/>
        <v>6-DaHall 1-PDU-07-30-51</v>
      </c>
      <c r="J21" s="2129" t="str">
        <f t="shared" si="10"/>
        <v>6-DaHall 1-PDU-08-30-51</v>
      </c>
      <c r="K21" s="1477">
        <v>220</v>
      </c>
      <c r="L21" s="1478">
        <v>30</v>
      </c>
      <c r="M21" s="2435" t="s">
        <v>6492</v>
      </c>
      <c r="N21" s="1465">
        <v>51</v>
      </c>
      <c r="O21" s="1469">
        <v>220</v>
      </c>
      <c r="P21" s="1470">
        <v>30</v>
      </c>
      <c r="Q21" s="2441" t="s">
        <v>6504</v>
      </c>
      <c r="R21" s="1468">
        <v>51</v>
      </c>
      <c r="S21" s="3343"/>
      <c r="T21" s="3340"/>
      <c r="U21" s="3343"/>
      <c r="V21" s="3340"/>
      <c r="W21" s="3343"/>
      <c r="X21" s="3340"/>
      <c r="Y21" s="268">
        <f>SUM('6층_부하량(월간_AVG)'!D411:F411)</f>
        <v>0</v>
      </c>
      <c r="Z21" s="268">
        <f>SUM('6층_부하량(월간_AVG)'!D443:F443)</f>
        <v>0</v>
      </c>
      <c r="AA21" s="2452">
        <f t="shared" si="11"/>
        <v>0</v>
      </c>
      <c r="AB21" s="2715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46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29">
        <f t="shared" si="0"/>
        <v>0</v>
      </c>
      <c r="AE21" s="2821"/>
      <c r="AG21" s="2367">
        <f t="shared" si="3"/>
        <v>0</v>
      </c>
      <c r="AH21" s="2367">
        <f t="shared" si="4"/>
        <v>0</v>
      </c>
      <c r="AI21" s="123" t="str">
        <f t="shared" si="1"/>
        <v>무부하 랙</v>
      </c>
      <c r="AJ21" t="str">
        <f t="shared" si="5"/>
        <v/>
      </c>
      <c r="AK21" t="str">
        <f t="shared" si="6"/>
        <v/>
      </c>
      <c r="AP21" s="123"/>
      <c r="AQ21" s="123"/>
      <c r="AR21" s="123"/>
      <c r="AS21" s="3084"/>
      <c r="AT21" s="123"/>
      <c r="AU21" s="123"/>
      <c r="AV21" s="3085"/>
      <c r="AW21" s="3086"/>
      <c r="AX21" s="3087"/>
      <c r="AY21" s="3088"/>
      <c r="AZ21" s="3089"/>
      <c r="BA21" s="3090"/>
      <c r="BB21" s="3091"/>
    </row>
    <row r="22" spans="1:54" ht="27" customHeight="1">
      <c r="A22" s="2652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41" t="s">
        <v>2289</v>
      </c>
      <c r="H22" s="2636" t="s">
        <v>2290</v>
      </c>
      <c r="I22" s="2128" t="str">
        <f t="shared" si="9"/>
        <v>6-DaHall 1-PDU-07-30-49</v>
      </c>
      <c r="J22" s="2129" t="str">
        <f t="shared" si="10"/>
        <v>6-DaHall 1-PDU-08-30-49</v>
      </c>
      <c r="K22" s="1477">
        <v>220</v>
      </c>
      <c r="L22" s="1478">
        <v>30</v>
      </c>
      <c r="M22" s="2435" t="s">
        <v>6492</v>
      </c>
      <c r="N22" s="1465">
        <v>49</v>
      </c>
      <c r="O22" s="1469">
        <v>220</v>
      </c>
      <c r="P22" s="1470">
        <v>30</v>
      </c>
      <c r="Q22" s="2441" t="s">
        <v>6504</v>
      </c>
      <c r="R22" s="1468">
        <v>49</v>
      </c>
      <c r="S22" s="3359"/>
      <c r="T22" s="3346"/>
      <c r="U22" s="3359"/>
      <c r="V22" s="3346"/>
      <c r="W22" s="3343"/>
      <c r="X22" s="3340"/>
      <c r="Y22" s="268">
        <f>SUM('6층_부하량(월간_AVG)'!D410:F410)</f>
        <v>0</v>
      </c>
      <c r="Z22" s="268">
        <f>SUM('6층_부하량(월간_AVG)'!D442:F442)</f>
        <v>0</v>
      </c>
      <c r="AA22" s="2452">
        <f t="shared" si="11"/>
        <v>0</v>
      </c>
      <c r="AB22" s="2715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46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29">
        <f t="shared" si="0"/>
        <v>0</v>
      </c>
      <c r="AE22" s="2821"/>
      <c r="AG22" s="2367">
        <f t="shared" si="3"/>
        <v>0</v>
      </c>
      <c r="AH22" s="2367">
        <f t="shared" si="4"/>
        <v>0</v>
      </c>
      <c r="AI22" s="123" t="str">
        <f t="shared" si="1"/>
        <v>무부하 랙</v>
      </c>
      <c r="AJ22" t="str">
        <f t="shared" si="5"/>
        <v/>
      </c>
      <c r="AK22" t="str">
        <f t="shared" si="6"/>
        <v/>
      </c>
      <c r="AP22" s="123"/>
      <c r="AQ22" s="123"/>
      <c r="AR22" s="123"/>
      <c r="AS22" s="3084"/>
      <c r="AT22" s="123"/>
      <c r="AU22" s="123"/>
      <c r="AV22" s="3085"/>
      <c r="AW22" s="3086"/>
      <c r="AX22" s="3087"/>
      <c r="AY22" s="3088"/>
      <c r="AZ22" s="3089"/>
      <c r="BA22" s="3090"/>
      <c r="BB22" s="3091"/>
    </row>
    <row r="23" spans="1:54" ht="28.8">
      <c r="A23" s="2652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41" t="s">
        <v>2294</v>
      </c>
      <c r="H23" s="2636" t="s">
        <v>2295</v>
      </c>
      <c r="I23" s="2128" t="str">
        <f t="shared" si="9"/>
        <v>6-DaHall 1-PDU-03-30-16</v>
      </c>
      <c r="J23" s="2129" t="str">
        <f t="shared" si="10"/>
        <v>6-DaHall 1-PDU-04-30-16</v>
      </c>
      <c r="K23" s="1477">
        <v>220</v>
      </c>
      <c r="L23" s="1478">
        <v>30</v>
      </c>
      <c r="M23" s="2435" t="s">
        <v>6499</v>
      </c>
      <c r="N23" s="1465">
        <v>16</v>
      </c>
      <c r="O23" s="1469">
        <v>220</v>
      </c>
      <c r="P23" s="1470">
        <v>30</v>
      </c>
      <c r="Q23" s="2441" t="s">
        <v>6495</v>
      </c>
      <c r="R23" s="1468">
        <v>16</v>
      </c>
      <c r="S23" s="3342" t="s">
        <v>2213</v>
      </c>
      <c r="T23" s="3339" t="s">
        <v>2042</v>
      </c>
      <c r="U23" s="3342" t="s">
        <v>2043</v>
      </c>
      <c r="V23" s="3339" t="s">
        <v>2044</v>
      </c>
      <c r="W23" s="3343"/>
      <c r="X23" s="3340"/>
      <c r="Y23" s="268">
        <f>SUM('6층_부하량(월간_AVG)'!L269:N269)</f>
        <v>0</v>
      </c>
      <c r="Z23" s="268">
        <f>SUM('6층_부하량(월간_AVG)'!L299:N299)</f>
        <v>0</v>
      </c>
      <c r="AA23" s="2452">
        <f t="shared" si="11"/>
        <v>0</v>
      </c>
      <c r="AB23" s="2715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46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29">
        <f t="shared" si="0"/>
        <v>0</v>
      </c>
      <c r="AE23" s="2821"/>
      <c r="AG23" s="2367">
        <f t="shared" si="3"/>
        <v>0</v>
      </c>
      <c r="AH23" s="2367">
        <f t="shared" si="4"/>
        <v>0</v>
      </c>
      <c r="AI23" s="123" t="str">
        <f t="shared" si="1"/>
        <v>무부하 랙</v>
      </c>
      <c r="AJ23" t="str">
        <f t="shared" si="5"/>
        <v/>
      </c>
      <c r="AK23" t="str">
        <f t="shared" si="6"/>
        <v/>
      </c>
      <c r="AP23" s="123"/>
      <c r="AQ23" s="123"/>
      <c r="AR23" s="123"/>
      <c r="AS23" s="3084"/>
      <c r="AT23" s="123"/>
      <c r="AU23" s="123"/>
      <c r="AV23" s="3085"/>
      <c r="AW23" s="3086"/>
      <c r="AX23" s="3087"/>
      <c r="AY23" s="3088"/>
      <c r="AZ23" s="3089"/>
      <c r="BA23" s="3090"/>
      <c r="BB23" s="3091"/>
    </row>
    <row r="24" spans="1:54" ht="27" customHeight="1" thickBot="1">
      <c r="A24" s="2660" t="s">
        <v>740</v>
      </c>
      <c r="B24" s="2661" t="s">
        <v>2296</v>
      </c>
      <c r="C24" s="2661"/>
      <c r="D24" s="2661"/>
      <c r="E24" s="2661" t="s">
        <v>2297</v>
      </c>
      <c r="F24" s="2661" t="s">
        <v>2298</v>
      </c>
      <c r="G24" s="2643" t="s">
        <v>2299</v>
      </c>
      <c r="H24" s="2637" t="s">
        <v>2300</v>
      </c>
      <c r="I24" s="2130" t="str">
        <f t="shared" si="9"/>
        <v>6-DaHall 1-PDU-03-30-18</v>
      </c>
      <c r="J24" s="2131" t="str">
        <f t="shared" si="10"/>
        <v>6-DaHall 1-PDU-04-30-18</v>
      </c>
      <c r="K24" s="1498">
        <v>220</v>
      </c>
      <c r="L24" s="1499">
        <v>30</v>
      </c>
      <c r="M24" s="2438" t="s">
        <v>6499</v>
      </c>
      <c r="N24" s="1473">
        <v>18</v>
      </c>
      <c r="O24" s="1500">
        <v>220</v>
      </c>
      <c r="P24" s="1501">
        <v>30</v>
      </c>
      <c r="Q24" s="2444" t="s">
        <v>6495</v>
      </c>
      <c r="R24" s="1476">
        <v>18</v>
      </c>
      <c r="S24" s="3344"/>
      <c r="T24" s="3341"/>
      <c r="U24" s="3344"/>
      <c r="V24" s="3341"/>
      <c r="W24" s="3344"/>
      <c r="X24" s="3341"/>
      <c r="Y24" s="330">
        <f>SUM('6층_부하량(월간_AVG)'!L270:N270)</f>
        <v>0</v>
      </c>
      <c r="Z24" s="330">
        <f>SUM('6층_부하량(월간_AVG)'!L300:N300)</f>
        <v>0</v>
      </c>
      <c r="AA24" s="2453">
        <f t="shared" si="11"/>
        <v>0</v>
      </c>
      <c r="AB24" s="2715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46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34">
        <f t="shared" si="0"/>
        <v>0</v>
      </c>
      <c r="AE24" s="2823"/>
      <c r="AG24" s="2367">
        <f t="shared" si="3"/>
        <v>0</v>
      </c>
      <c r="AH24" s="2367">
        <f t="shared" si="4"/>
        <v>0</v>
      </c>
      <c r="AI24" s="123" t="str">
        <f t="shared" si="1"/>
        <v>무부하 랙</v>
      </c>
      <c r="AJ24" t="str">
        <f t="shared" si="5"/>
        <v/>
      </c>
      <c r="AK24" t="str">
        <f t="shared" si="6"/>
        <v/>
      </c>
      <c r="AP24" s="123"/>
      <c r="AQ24" s="123"/>
      <c r="AR24" s="123"/>
      <c r="AS24" s="3084"/>
      <c r="AT24" s="123"/>
      <c r="AU24" s="123"/>
      <c r="AV24" s="3085"/>
      <c r="AW24" s="3086"/>
      <c r="AX24" s="3087"/>
      <c r="AY24" s="3088"/>
      <c r="AZ24" s="3089"/>
      <c r="BA24" s="3090"/>
      <c r="BB24" s="3091"/>
    </row>
    <row r="25" spans="1:54" ht="15" thickTop="1">
      <c r="A25" s="1084" t="s">
        <v>2301</v>
      </c>
      <c r="B25" s="828" t="s">
        <v>2302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55"/>
      <c r="AB25" s="2826"/>
      <c r="AC25" s="2827"/>
      <c r="AD25" s="2835">
        <f t="shared" si="0"/>
        <v>0</v>
      </c>
      <c r="AE25" s="2828" t="s">
        <v>1265</v>
      </c>
      <c r="AG25" s="2367">
        <f t="shared" si="3"/>
        <v>0</v>
      </c>
      <c r="AH25" s="2367">
        <f t="shared" si="4"/>
        <v>0</v>
      </c>
      <c r="AI25" s="123" t="str">
        <f t="shared" si="1"/>
        <v>무부하 랙</v>
      </c>
      <c r="AJ25" t="str">
        <f t="shared" si="5"/>
        <v/>
      </c>
      <c r="AK25" t="str">
        <f t="shared" si="6"/>
        <v/>
      </c>
      <c r="AP25" s="123"/>
      <c r="AQ25" s="123"/>
      <c r="AR25" s="123"/>
      <c r="AS25" s="3084"/>
      <c r="AT25" s="123"/>
      <c r="AU25" s="123"/>
      <c r="AV25" s="3085"/>
      <c r="AW25" s="3086"/>
      <c r="AX25" s="3087"/>
      <c r="AY25" s="3088"/>
      <c r="AZ25" s="3089"/>
      <c r="BA25" s="3090"/>
      <c r="BB25" s="3091"/>
    </row>
    <row r="26" spans="1:54">
      <c r="A26" s="2652" t="s">
        <v>2303</v>
      </c>
      <c r="B26" s="2712" t="s">
        <v>2304</v>
      </c>
      <c r="C26" s="2712"/>
      <c r="D26" s="2712"/>
      <c r="E26" s="2712"/>
      <c r="F26" s="2712"/>
      <c r="G26" s="2708"/>
      <c r="H26" s="2691"/>
      <c r="I26" s="2137"/>
      <c r="J26" s="2138"/>
      <c r="K26" s="1492"/>
      <c r="L26" s="1493"/>
      <c r="M26" s="2708"/>
      <c r="N26" s="1494"/>
      <c r="O26" s="1495"/>
      <c r="P26" s="1496"/>
      <c r="Q26" s="2691"/>
      <c r="R26" s="1497"/>
      <c r="S26" s="832"/>
      <c r="T26" s="833"/>
      <c r="U26" s="832"/>
      <c r="V26" s="833"/>
      <c r="W26" s="832"/>
      <c r="X26" s="833"/>
      <c r="Y26" s="994"/>
      <c r="Z26" s="994"/>
      <c r="AA26" s="2461"/>
      <c r="AB26" s="2861"/>
      <c r="AC26" s="2719"/>
      <c r="AD26" s="2847">
        <f t="shared" si="0"/>
        <v>0</v>
      </c>
      <c r="AE26" s="2848" t="s">
        <v>1265</v>
      </c>
      <c r="AG26" s="2367">
        <f t="shared" ref="AG26:AG89" si="12">AD26/(24*31)</f>
        <v>0</v>
      </c>
      <c r="AH26" s="2367">
        <f t="shared" ref="AH26:AH89" si="13">D26-AG26</f>
        <v>0</v>
      </c>
      <c r="AI26" s="123" t="str">
        <f t="shared" si="1"/>
        <v>무부하 랙</v>
      </c>
      <c r="AJ26" t="str">
        <f t="shared" si="5"/>
        <v/>
      </c>
      <c r="AK26" t="str">
        <f t="shared" si="6"/>
        <v/>
      </c>
      <c r="AP26" s="123"/>
      <c r="AQ26" s="123"/>
      <c r="AR26" s="123"/>
      <c r="AS26" s="3084"/>
      <c r="AT26" s="123"/>
      <c r="AU26" s="123"/>
      <c r="AV26" s="3085"/>
      <c r="AW26" s="3086"/>
      <c r="AX26" s="3087"/>
      <c r="AY26" s="3088"/>
      <c r="AZ26" s="3089"/>
      <c r="BA26" s="3090"/>
      <c r="BB26" s="3091"/>
    </row>
    <row r="27" spans="1:54" ht="28.8">
      <c r="A27" s="2652" t="s">
        <v>2305</v>
      </c>
      <c r="B27" s="250" t="s">
        <v>2306</v>
      </c>
      <c r="C27" s="2664"/>
      <c r="D27" s="2664"/>
      <c r="E27" s="250" t="s">
        <v>2307</v>
      </c>
      <c r="F27" s="250" t="s">
        <v>2308</v>
      </c>
      <c r="G27" s="2641" t="s">
        <v>2309</v>
      </c>
      <c r="H27" s="2636" t="s">
        <v>2310</v>
      </c>
      <c r="I27" s="2128" t="str">
        <f t="shared" ref="I27:I32" si="14">"6-DaHall 1-PDU-"&amp;M27&amp;"-"&amp;L27&amp;"-"&amp;N27</f>
        <v>6-DaHall 1-PDU-07-30-8</v>
      </c>
      <c r="J27" s="2129" t="str">
        <f t="shared" ref="J27:J32" si="15">"6-DaHall 1-PDU-"&amp;Q27&amp;"-"&amp;P27&amp;"-"&amp;R27</f>
        <v>6-DaHall 1-PDU-08-30-8</v>
      </c>
      <c r="K27" s="1477">
        <v>220</v>
      </c>
      <c r="L27" s="1478">
        <v>30</v>
      </c>
      <c r="M27" s="2435" t="s">
        <v>6492</v>
      </c>
      <c r="N27" s="1465">
        <v>8</v>
      </c>
      <c r="O27" s="1469">
        <v>220</v>
      </c>
      <c r="P27" s="1470">
        <v>30</v>
      </c>
      <c r="Q27" s="2441" t="s">
        <v>6504</v>
      </c>
      <c r="R27" s="1468">
        <v>8</v>
      </c>
      <c r="S27" s="3356" t="s">
        <v>2189</v>
      </c>
      <c r="T27" s="3336" t="s">
        <v>2190</v>
      </c>
      <c r="U27" s="3356" t="s">
        <v>2191</v>
      </c>
      <c r="V27" s="3336" t="s">
        <v>2192</v>
      </c>
      <c r="W27" s="3356" t="s">
        <v>1880</v>
      </c>
      <c r="X27" s="3336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59">
        <f>SUM(Y27:Z27)</f>
        <v>0</v>
      </c>
      <c r="AB27" s="2715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46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29">
        <f t="shared" si="0"/>
        <v>0</v>
      </c>
      <c r="AE27" s="2822"/>
      <c r="AG27" s="2367">
        <f t="shared" si="12"/>
        <v>0</v>
      </c>
      <c r="AH27" s="2367">
        <f t="shared" si="13"/>
        <v>0</v>
      </c>
      <c r="AI27" s="123" t="str">
        <f t="shared" si="1"/>
        <v>무부하 랙</v>
      </c>
      <c r="AJ27" t="str">
        <f t="shared" si="5"/>
        <v/>
      </c>
      <c r="AK27" t="str">
        <f t="shared" si="6"/>
        <v/>
      </c>
      <c r="AP27" s="123"/>
      <c r="AQ27" s="123"/>
      <c r="AR27" s="123"/>
      <c r="AS27" s="3084"/>
      <c r="AT27" s="123"/>
      <c r="AU27" s="123"/>
      <c r="AV27" s="3085"/>
      <c r="AW27" s="3086"/>
      <c r="AX27" s="3087"/>
      <c r="AY27" s="3088"/>
      <c r="AZ27" s="3089"/>
      <c r="BA27" s="3090"/>
      <c r="BB27" s="3091"/>
    </row>
    <row r="28" spans="1:54" ht="28.8">
      <c r="A28" s="2652" t="s">
        <v>2311</v>
      </c>
      <c r="B28" s="250" t="s">
        <v>2312</v>
      </c>
      <c r="C28" s="2664"/>
      <c r="D28" s="2664"/>
      <c r="E28" s="250" t="s">
        <v>2313</v>
      </c>
      <c r="F28" s="250" t="s">
        <v>2314</v>
      </c>
      <c r="G28" s="2641" t="s">
        <v>2315</v>
      </c>
      <c r="H28" s="2636" t="s">
        <v>2316</v>
      </c>
      <c r="I28" s="2128" t="str">
        <f t="shared" si="14"/>
        <v>6-DaHall 1-PDU-07-30-10</v>
      </c>
      <c r="J28" s="2129" t="str">
        <f t="shared" si="15"/>
        <v>6-DaHall 1-PDU-08-30-10</v>
      </c>
      <c r="K28" s="1477">
        <v>220</v>
      </c>
      <c r="L28" s="1478">
        <v>30</v>
      </c>
      <c r="M28" s="2435" t="s">
        <v>6492</v>
      </c>
      <c r="N28" s="1465">
        <v>10</v>
      </c>
      <c r="O28" s="1469">
        <v>220</v>
      </c>
      <c r="P28" s="1470">
        <v>30</v>
      </c>
      <c r="Q28" s="2441" t="s">
        <v>6504</v>
      </c>
      <c r="R28" s="1468">
        <v>10</v>
      </c>
      <c r="S28" s="3356"/>
      <c r="T28" s="3336"/>
      <c r="U28" s="3356"/>
      <c r="V28" s="3336"/>
      <c r="W28" s="3356"/>
      <c r="X28" s="3336"/>
      <c r="Y28" s="268">
        <f>SUM('6층_부하량(월간_AVG)'!L390:N390)</f>
        <v>0</v>
      </c>
      <c r="Z28" s="268">
        <f>SUM('6층_부하량(월간_AVG)'!L422:N422)</f>
        <v>0</v>
      </c>
      <c r="AA28" s="2459">
        <f>SUM(Y28:Z28)</f>
        <v>0</v>
      </c>
      <c r="AB28" s="2715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46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29">
        <f t="shared" si="0"/>
        <v>0</v>
      </c>
      <c r="AE28" s="2821"/>
      <c r="AG28" s="2367">
        <f t="shared" si="12"/>
        <v>0</v>
      </c>
      <c r="AH28" s="2367">
        <f t="shared" si="13"/>
        <v>0</v>
      </c>
      <c r="AI28" s="123" t="str">
        <f t="shared" si="1"/>
        <v>무부하 랙</v>
      </c>
      <c r="AJ28" t="str">
        <f t="shared" si="5"/>
        <v/>
      </c>
      <c r="AK28" t="str">
        <f t="shared" si="6"/>
        <v/>
      </c>
      <c r="AP28" s="123"/>
      <c r="AQ28" s="123"/>
      <c r="AR28" s="123"/>
      <c r="AS28" s="3084"/>
      <c r="AT28" s="123"/>
      <c r="AU28" s="123"/>
      <c r="AV28" s="3085"/>
      <c r="AW28" s="3086"/>
      <c r="AX28" s="3087"/>
      <c r="AY28" s="3088"/>
      <c r="AZ28" s="3089"/>
      <c r="BA28" s="3090"/>
      <c r="BB28" s="3091"/>
    </row>
    <row r="29" spans="1:54" ht="28.8">
      <c r="A29" s="2652" t="s">
        <v>611</v>
      </c>
      <c r="B29" s="250" t="s">
        <v>2317</v>
      </c>
      <c r="C29" s="2664"/>
      <c r="D29" s="2664"/>
      <c r="E29" s="250" t="s">
        <v>2318</v>
      </c>
      <c r="F29" s="250" t="s">
        <v>2319</v>
      </c>
      <c r="G29" s="2641" t="s">
        <v>2320</v>
      </c>
      <c r="H29" s="2636" t="s">
        <v>2321</v>
      </c>
      <c r="I29" s="2128" t="str">
        <f t="shared" si="14"/>
        <v>6-DaHall 1-PDU-07-30-12</v>
      </c>
      <c r="J29" s="2129" t="str">
        <f t="shared" si="15"/>
        <v>6-DaHall 1-PDU-08-30-12</v>
      </c>
      <c r="K29" s="1477">
        <v>220</v>
      </c>
      <c r="L29" s="1478">
        <v>30</v>
      </c>
      <c r="M29" s="2435" t="s">
        <v>6492</v>
      </c>
      <c r="N29" s="1465">
        <v>12</v>
      </c>
      <c r="O29" s="1469">
        <v>220</v>
      </c>
      <c r="P29" s="1470">
        <v>30</v>
      </c>
      <c r="Q29" s="2441" t="s">
        <v>6504</v>
      </c>
      <c r="R29" s="1468">
        <v>12</v>
      </c>
      <c r="S29" s="3356"/>
      <c r="T29" s="3336"/>
      <c r="U29" s="3356"/>
      <c r="V29" s="3336"/>
      <c r="W29" s="3356"/>
      <c r="X29" s="3336"/>
      <c r="Y29" s="268">
        <f>SUM('6층_부하량(월간_AVG)'!L391:N391)</f>
        <v>0</v>
      </c>
      <c r="Z29" s="268">
        <f>SUM('6층_부하량(월간_AVG)'!L423:N423)</f>
        <v>0</v>
      </c>
      <c r="AA29" s="2459">
        <f>SUM(Y29:Z29)</f>
        <v>0</v>
      </c>
      <c r="AB29" s="2715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46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29">
        <f t="shared" si="0"/>
        <v>0</v>
      </c>
      <c r="AE29" s="2821"/>
      <c r="AG29" s="2367">
        <f t="shared" si="12"/>
        <v>0</v>
      </c>
      <c r="AH29" s="2367">
        <f t="shared" si="13"/>
        <v>0</v>
      </c>
      <c r="AI29" s="123" t="str">
        <f t="shared" si="1"/>
        <v>무부하 랙</v>
      </c>
      <c r="AJ29" t="str">
        <f t="shared" si="5"/>
        <v/>
      </c>
      <c r="AK29" t="str">
        <f t="shared" si="6"/>
        <v/>
      </c>
      <c r="AP29" s="123"/>
      <c r="AQ29" s="123"/>
      <c r="AR29" s="123"/>
      <c r="AS29" s="3084"/>
      <c r="AT29" s="123"/>
      <c r="AU29" s="123"/>
      <c r="AV29" s="3085"/>
      <c r="AW29" s="3086"/>
      <c r="AX29" s="3087"/>
      <c r="AY29" s="3088"/>
      <c r="AZ29" s="3089"/>
      <c r="BA29" s="3090"/>
      <c r="BB29" s="3091"/>
    </row>
    <row r="30" spans="1:54" ht="27" customHeight="1">
      <c r="A30" s="2652" t="s">
        <v>606</v>
      </c>
      <c r="B30" s="250" t="s">
        <v>2322</v>
      </c>
      <c r="C30" s="2664"/>
      <c r="D30" s="2664"/>
      <c r="E30" s="250" t="s">
        <v>2323</v>
      </c>
      <c r="F30" s="250" t="s">
        <v>2324</v>
      </c>
      <c r="G30" s="2641" t="s">
        <v>2325</v>
      </c>
      <c r="H30" s="2636" t="s">
        <v>2326</v>
      </c>
      <c r="I30" s="2128" t="str">
        <f t="shared" si="14"/>
        <v>6-DaHall 1-PDU-07-30-14</v>
      </c>
      <c r="J30" s="2129" t="str">
        <f t="shared" si="15"/>
        <v>6-DaHall 1-PDU-08-30-14</v>
      </c>
      <c r="K30" s="1477">
        <v>220</v>
      </c>
      <c r="L30" s="1478">
        <v>30</v>
      </c>
      <c r="M30" s="2435" t="s">
        <v>6492</v>
      </c>
      <c r="N30" s="1465">
        <v>14</v>
      </c>
      <c r="O30" s="1469">
        <v>220</v>
      </c>
      <c r="P30" s="1470">
        <v>30</v>
      </c>
      <c r="Q30" s="2441" t="s">
        <v>6504</v>
      </c>
      <c r="R30" s="1468">
        <v>14</v>
      </c>
      <c r="S30" s="3356"/>
      <c r="T30" s="3336"/>
      <c r="U30" s="3356"/>
      <c r="V30" s="3336"/>
      <c r="W30" s="3356"/>
      <c r="X30" s="3336"/>
      <c r="Y30" s="268">
        <f>SUM('6층_부하량(월간_AVG)'!L392:N392)</f>
        <v>0</v>
      </c>
      <c r="Z30" s="268">
        <f>SUM('6층_부하량(월간_AVG)'!L424:N424)</f>
        <v>0</v>
      </c>
      <c r="AA30" s="2459">
        <f>SUM(Y30:Z30)</f>
        <v>0</v>
      </c>
      <c r="AB30" s="2715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46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29">
        <f t="shared" si="0"/>
        <v>0</v>
      </c>
      <c r="AE30" s="2821"/>
      <c r="AG30" s="2367">
        <f t="shared" si="12"/>
        <v>0</v>
      </c>
      <c r="AH30" s="2367">
        <f t="shared" si="13"/>
        <v>0</v>
      </c>
      <c r="AI30" s="123" t="str">
        <f t="shared" si="1"/>
        <v>무부하 랙</v>
      </c>
      <c r="AJ30" t="str">
        <f t="shared" si="5"/>
        <v/>
      </c>
      <c r="AK30" t="str">
        <f t="shared" si="6"/>
        <v/>
      </c>
      <c r="AP30" s="123"/>
      <c r="AQ30" s="123"/>
      <c r="AR30" s="123"/>
      <c r="AS30" s="3084"/>
      <c r="AT30" s="123"/>
      <c r="AU30" s="123"/>
      <c r="AV30" s="3085"/>
      <c r="AW30" s="3086"/>
      <c r="AX30" s="3087"/>
      <c r="AY30" s="3088"/>
      <c r="AZ30" s="3089"/>
      <c r="BA30" s="3090"/>
      <c r="BB30" s="3091"/>
    </row>
    <row r="31" spans="1:54" ht="57.6">
      <c r="A31" s="2652" t="s">
        <v>595</v>
      </c>
      <c r="B31" s="250" t="s">
        <v>2327</v>
      </c>
      <c r="C31" s="2664"/>
      <c r="D31" s="2664"/>
      <c r="E31" s="250" t="s">
        <v>2328</v>
      </c>
      <c r="F31" s="250" t="s">
        <v>2329</v>
      </c>
      <c r="G31" s="2641" t="s">
        <v>2330</v>
      </c>
      <c r="H31" s="2636" t="s">
        <v>2331</v>
      </c>
      <c r="I31" s="2128" t="str">
        <f t="shared" si="14"/>
        <v>6-DaHall 1-PDU-01-30-48</v>
      </c>
      <c r="J31" s="2129" t="str">
        <f t="shared" si="15"/>
        <v>6-DaHall 1-PDU-02-30-48</v>
      </c>
      <c r="K31" s="1477">
        <v>220</v>
      </c>
      <c r="L31" s="1478">
        <v>30</v>
      </c>
      <c r="M31" s="2435" t="s">
        <v>6497</v>
      </c>
      <c r="N31" s="1465">
        <v>48</v>
      </c>
      <c r="O31" s="1469">
        <v>220</v>
      </c>
      <c r="P31" s="1470">
        <v>30</v>
      </c>
      <c r="Q31" s="2441" t="s">
        <v>6493</v>
      </c>
      <c r="R31" s="1468">
        <v>48</v>
      </c>
      <c r="S31" s="2641" t="s">
        <v>1694</v>
      </c>
      <c r="T31" s="2636" t="s">
        <v>1695</v>
      </c>
      <c r="U31" s="2641" t="s">
        <v>1696</v>
      </c>
      <c r="V31" s="2636" t="s">
        <v>1697</v>
      </c>
      <c r="W31" s="3356"/>
      <c r="X31" s="3336"/>
      <c r="Y31" s="268">
        <f>SUM('6층_부하량(월간_AVG)'!L225:N225)</f>
        <v>0</v>
      </c>
      <c r="Z31" s="268">
        <f>SUM('6층_부하량(월간_AVG)'!L255:N255)</f>
        <v>0</v>
      </c>
      <c r="AA31" s="2459">
        <f>SUM(Y31:Z31)</f>
        <v>0</v>
      </c>
      <c r="AB31" s="2715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46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29">
        <f t="shared" si="0"/>
        <v>0</v>
      </c>
      <c r="AE31" s="2821"/>
      <c r="AG31" s="2367">
        <f t="shared" si="12"/>
        <v>0</v>
      </c>
      <c r="AH31" s="2367">
        <f t="shared" si="13"/>
        <v>0</v>
      </c>
      <c r="AI31" s="123" t="str">
        <f t="shared" si="1"/>
        <v>무부하 랙</v>
      </c>
      <c r="AJ31" t="str">
        <f t="shared" si="5"/>
        <v/>
      </c>
      <c r="AK31" t="str">
        <f t="shared" si="6"/>
        <v/>
      </c>
      <c r="AP31" s="123"/>
      <c r="AQ31" s="123"/>
      <c r="AR31" s="123"/>
      <c r="AS31" s="3084"/>
      <c r="AT31" s="123"/>
      <c r="AU31" s="123"/>
      <c r="AV31" s="3085"/>
      <c r="AW31" s="3086"/>
      <c r="AX31" s="3087"/>
      <c r="AY31" s="3088"/>
      <c r="AZ31" s="3089"/>
      <c r="BA31" s="3090"/>
      <c r="BB31" s="3091"/>
    </row>
    <row r="32" spans="1:54" ht="43.8" thickBot="1">
      <c r="A32" s="2660" t="s">
        <v>590</v>
      </c>
      <c r="B32" s="2661" t="s">
        <v>2332</v>
      </c>
      <c r="C32" s="2688"/>
      <c r="D32" s="2688"/>
      <c r="E32" s="2661" t="s">
        <v>2333</v>
      </c>
      <c r="F32" s="2661" t="s">
        <v>2334</v>
      </c>
      <c r="G32" s="2643" t="s">
        <v>2335</v>
      </c>
      <c r="H32" s="2637" t="s">
        <v>2336</v>
      </c>
      <c r="I32" s="2130" t="str">
        <f t="shared" si="14"/>
        <v>6-DaHall 1-PDU-05-30-50</v>
      </c>
      <c r="J32" s="2131" t="str">
        <f t="shared" si="15"/>
        <v>6-DaHall 1-PDU-06-30-50</v>
      </c>
      <c r="K32" s="1498">
        <v>220</v>
      </c>
      <c r="L32" s="1499">
        <v>30</v>
      </c>
      <c r="M32" s="2438" t="s">
        <v>6491</v>
      </c>
      <c r="N32" s="1473">
        <v>50</v>
      </c>
      <c r="O32" s="1500">
        <v>220</v>
      </c>
      <c r="P32" s="1501">
        <v>30</v>
      </c>
      <c r="Q32" s="2444" t="s">
        <v>6501</v>
      </c>
      <c r="R32" s="1476">
        <v>50</v>
      </c>
      <c r="S32" s="2643" t="s">
        <v>1876</v>
      </c>
      <c r="T32" s="2637" t="s">
        <v>1877</v>
      </c>
      <c r="U32" s="2643" t="s">
        <v>1878</v>
      </c>
      <c r="V32" s="2637" t="s">
        <v>1879</v>
      </c>
      <c r="W32" s="3357"/>
      <c r="X32" s="3358"/>
      <c r="Y32" s="330">
        <f>SUM('6층_부하량(월간_AVG)'!L346:N346)</f>
        <v>0</v>
      </c>
      <c r="Z32" s="330">
        <f>SUM('6층_부하량(월간_AVG)'!L378:N378)</f>
        <v>0</v>
      </c>
      <c r="AA32" s="2460">
        <f t="shared" ref="AA32" si="16">SUM(Y32:Z32)</f>
        <v>0</v>
      </c>
      <c r="AB32" s="2862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63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34">
        <f t="shared" si="0"/>
        <v>0</v>
      </c>
      <c r="AE32" s="2823"/>
      <c r="AG32" s="2367">
        <f t="shared" si="12"/>
        <v>0</v>
      </c>
      <c r="AH32" s="2367">
        <f t="shared" si="13"/>
        <v>0</v>
      </c>
      <c r="AI32" s="123" t="str">
        <f t="shared" si="1"/>
        <v>무부하 랙</v>
      </c>
      <c r="AJ32" t="str">
        <f t="shared" si="5"/>
        <v/>
      </c>
      <c r="AK32" t="str">
        <f t="shared" si="6"/>
        <v/>
      </c>
      <c r="AP32" s="123"/>
      <c r="AQ32" s="123"/>
      <c r="AR32" s="123"/>
      <c r="AS32" s="3084"/>
      <c r="AT32" s="123"/>
      <c r="AU32" s="123"/>
      <c r="AV32" s="3085"/>
      <c r="AW32" s="3086"/>
      <c r="AX32" s="3087"/>
      <c r="AY32" s="3088"/>
      <c r="AZ32" s="3089"/>
      <c r="BA32" s="3090"/>
      <c r="BB32" s="3091"/>
    </row>
    <row r="33" spans="1:54" ht="15" thickTop="1">
      <c r="A33" s="1084" t="s">
        <v>464</v>
      </c>
      <c r="B33" s="828" t="s">
        <v>2182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0"/>
      <c r="AB33" s="2856"/>
      <c r="AC33" s="2857"/>
      <c r="AD33" s="2852">
        <f t="shared" si="0"/>
        <v>0</v>
      </c>
      <c r="AE33" s="2828" t="s">
        <v>1265</v>
      </c>
      <c r="AG33" s="2367">
        <f t="shared" si="12"/>
        <v>0</v>
      </c>
      <c r="AH33" s="2367">
        <f t="shared" si="13"/>
        <v>0</v>
      </c>
      <c r="AI33" s="123" t="str">
        <f t="shared" si="1"/>
        <v>무부하 랙</v>
      </c>
      <c r="AJ33" t="str">
        <f t="shared" si="5"/>
        <v/>
      </c>
      <c r="AK33" t="str">
        <f t="shared" si="6"/>
        <v/>
      </c>
      <c r="AP33" s="123"/>
      <c r="AQ33" s="123"/>
      <c r="AR33" s="123"/>
      <c r="AS33" s="3084"/>
      <c r="AT33" s="123"/>
      <c r="AU33" s="123"/>
      <c r="AV33" s="3085"/>
      <c r="AW33" s="3086"/>
      <c r="AX33" s="3087"/>
      <c r="AY33" s="3088"/>
      <c r="AZ33" s="3089"/>
      <c r="BA33" s="3090"/>
      <c r="BB33" s="3091"/>
    </row>
    <row r="34" spans="1:54">
      <c r="A34" s="2652" t="s">
        <v>454</v>
      </c>
      <c r="B34" s="2712" t="s">
        <v>2183</v>
      </c>
      <c r="C34" s="886"/>
      <c r="D34" s="886"/>
      <c r="E34" s="2712"/>
      <c r="F34" s="2712"/>
      <c r="G34" s="2708"/>
      <c r="H34" s="2691"/>
      <c r="I34" s="2137"/>
      <c r="J34" s="2138"/>
      <c r="K34" s="1492"/>
      <c r="L34" s="1493"/>
      <c r="M34" s="2708"/>
      <c r="N34" s="1494"/>
      <c r="O34" s="1495"/>
      <c r="P34" s="1496"/>
      <c r="Q34" s="2691"/>
      <c r="R34" s="1497"/>
      <c r="S34" s="832"/>
      <c r="T34" s="833"/>
      <c r="U34" s="832"/>
      <c r="V34" s="833"/>
      <c r="W34" s="832"/>
      <c r="X34" s="833"/>
      <c r="Y34" s="252"/>
      <c r="Z34" s="252"/>
      <c r="AA34" s="2451"/>
      <c r="AB34" s="2840"/>
      <c r="AC34" s="2736"/>
      <c r="AD34" s="2829">
        <f t="shared" si="0"/>
        <v>0</v>
      </c>
      <c r="AE34" s="2848" t="s">
        <v>1265</v>
      </c>
      <c r="AG34" s="2367">
        <f t="shared" si="12"/>
        <v>0</v>
      </c>
      <c r="AH34" s="2367">
        <f t="shared" si="13"/>
        <v>0</v>
      </c>
      <c r="AI34" s="123" t="str">
        <f t="shared" si="1"/>
        <v>무부하 랙</v>
      </c>
      <c r="AJ34" t="str">
        <f t="shared" si="5"/>
        <v/>
      </c>
      <c r="AK34" t="str">
        <f t="shared" si="6"/>
        <v/>
      </c>
      <c r="AP34" s="123"/>
      <c r="AQ34" s="123"/>
      <c r="AR34" s="123"/>
      <c r="AS34" s="3084"/>
      <c r="AT34" s="123"/>
      <c r="AU34" s="123"/>
      <c r="AV34" s="3085"/>
      <c r="AW34" s="3086"/>
      <c r="AX34" s="3087"/>
      <c r="AY34" s="3088"/>
      <c r="AZ34" s="3089"/>
      <c r="BA34" s="3090"/>
      <c r="BB34" s="3091"/>
    </row>
    <row r="35" spans="1:54" ht="28.8">
      <c r="A35" s="2652" t="s">
        <v>444</v>
      </c>
      <c r="B35" s="250" t="s">
        <v>2184</v>
      </c>
      <c r="C35" s="2664"/>
      <c r="D35" s="2664"/>
      <c r="E35" s="250" t="s">
        <v>2185</v>
      </c>
      <c r="F35" s="250" t="s">
        <v>2186</v>
      </c>
      <c r="G35" s="2641" t="s">
        <v>2187</v>
      </c>
      <c r="H35" s="2636" t="s">
        <v>2188</v>
      </c>
      <c r="I35" s="2128" t="str">
        <f t="shared" ref="I35:I40" si="17">"6-DaHall 1-PDU-"&amp;M35&amp;"-"&amp;L35&amp;"-"&amp;N35</f>
        <v>6-DaHall 1-PDU-07-30-22</v>
      </c>
      <c r="J35" s="2129" t="str">
        <f t="shared" ref="J35:J40" si="18">"6-DaHall 1-PDU-"&amp;Q35&amp;"-"&amp;P35&amp;"-"&amp;R35</f>
        <v>6-DaHall 1-PDU-08-30-22</v>
      </c>
      <c r="K35" s="1477">
        <v>220</v>
      </c>
      <c r="L35" s="1478">
        <v>30</v>
      </c>
      <c r="M35" s="2435" t="s">
        <v>6492</v>
      </c>
      <c r="N35" s="1465">
        <v>22</v>
      </c>
      <c r="O35" s="1469">
        <v>220</v>
      </c>
      <c r="P35" s="1470">
        <v>30</v>
      </c>
      <c r="Q35" s="2441" t="s">
        <v>6504</v>
      </c>
      <c r="R35" s="1468">
        <v>22</v>
      </c>
      <c r="S35" s="3342" t="s">
        <v>2189</v>
      </c>
      <c r="T35" s="3339" t="s">
        <v>2190</v>
      </c>
      <c r="U35" s="3342" t="s">
        <v>2191</v>
      </c>
      <c r="V35" s="3339" t="s">
        <v>2192</v>
      </c>
      <c r="W35" s="3342" t="s">
        <v>1880</v>
      </c>
      <c r="X35" s="3339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59">
        <f>SUM(Y35:Z35)</f>
        <v>0</v>
      </c>
      <c r="AB35" s="2715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46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29">
        <f t="shared" si="0"/>
        <v>0</v>
      </c>
      <c r="AE35" s="2821"/>
      <c r="AG35" s="2367">
        <f t="shared" si="12"/>
        <v>0</v>
      </c>
      <c r="AH35" s="2367">
        <f t="shared" si="13"/>
        <v>0</v>
      </c>
      <c r="AI35" s="123" t="str">
        <f t="shared" si="1"/>
        <v>무부하 랙</v>
      </c>
      <c r="AJ35" t="str">
        <f t="shared" si="5"/>
        <v/>
      </c>
      <c r="AK35" t="str">
        <f t="shared" si="6"/>
        <v/>
      </c>
      <c r="AP35" s="123"/>
      <c r="AQ35" s="123"/>
      <c r="AR35" s="123"/>
      <c r="AS35" s="3084"/>
      <c r="AT35" s="123"/>
      <c r="AU35" s="123"/>
      <c r="AV35" s="3085"/>
      <c r="AW35" s="3086"/>
      <c r="AX35" s="3087"/>
      <c r="AY35" s="3088"/>
      <c r="AZ35" s="3089"/>
      <c r="BA35" s="3090"/>
      <c r="BB35" s="3091"/>
    </row>
    <row r="36" spans="1:54" ht="28.8">
      <c r="A36" s="2652" t="s">
        <v>439</v>
      </c>
      <c r="B36" s="250" t="s">
        <v>2193</v>
      </c>
      <c r="C36" s="2664"/>
      <c r="D36" s="2664"/>
      <c r="E36" s="250" t="s">
        <v>2194</v>
      </c>
      <c r="F36" s="250" t="s">
        <v>2195</v>
      </c>
      <c r="G36" s="2641" t="s">
        <v>2196</v>
      </c>
      <c r="H36" s="2636" t="s">
        <v>2197</v>
      </c>
      <c r="I36" s="2128" t="str">
        <f t="shared" si="17"/>
        <v>6-DaHall 1-PDU-07-30-24</v>
      </c>
      <c r="J36" s="2129" t="str">
        <f t="shared" si="18"/>
        <v>6-DaHall 1-PDU-08-30-24</v>
      </c>
      <c r="K36" s="1477">
        <v>220</v>
      </c>
      <c r="L36" s="1478">
        <v>30</v>
      </c>
      <c r="M36" s="2435" t="s">
        <v>6492</v>
      </c>
      <c r="N36" s="1465">
        <v>24</v>
      </c>
      <c r="O36" s="1469">
        <v>220</v>
      </c>
      <c r="P36" s="1470">
        <v>30</v>
      </c>
      <c r="Q36" s="2441" t="s">
        <v>6504</v>
      </c>
      <c r="R36" s="1468">
        <v>24</v>
      </c>
      <c r="S36" s="3343"/>
      <c r="T36" s="3340"/>
      <c r="U36" s="3343"/>
      <c r="V36" s="3340"/>
      <c r="W36" s="3343"/>
      <c r="X36" s="3340"/>
      <c r="Y36" s="268">
        <f>SUM('6층_부하량(월간_AVG)'!L397:N397)</f>
        <v>0</v>
      </c>
      <c r="Z36" s="268">
        <f>SUM('6층_부하량(월간_AVG)'!L429:N429)</f>
        <v>0</v>
      </c>
      <c r="AA36" s="2459">
        <f>SUM(Y36:Z36)</f>
        <v>0</v>
      </c>
      <c r="AB36" s="2715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46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29">
        <f t="shared" si="0"/>
        <v>0</v>
      </c>
      <c r="AE36" s="2821"/>
      <c r="AG36" s="2367">
        <f t="shared" si="12"/>
        <v>0</v>
      </c>
      <c r="AH36" s="2367">
        <f t="shared" si="13"/>
        <v>0</v>
      </c>
      <c r="AI36" s="123" t="str">
        <f t="shared" si="1"/>
        <v>무부하 랙</v>
      </c>
      <c r="AJ36" t="str">
        <f t="shared" si="5"/>
        <v/>
      </c>
      <c r="AK36" t="str">
        <f t="shared" si="6"/>
        <v/>
      </c>
      <c r="AP36" s="123"/>
      <c r="AQ36" s="123"/>
      <c r="AR36" s="123"/>
      <c r="AS36" s="3084"/>
      <c r="AT36" s="123"/>
      <c r="AU36" s="123"/>
      <c r="AV36" s="3085"/>
      <c r="AW36" s="3086"/>
      <c r="AX36" s="3087"/>
      <c r="AY36" s="3088"/>
      <c r="AZ36" s="3089"/>
      <c r="BA36" s="3090"/>
      <c r="BB36" s="3091"/>
    </row>
    <row r="37" spans="1:54" ht="28.8">
      <c r="A37" s="2652" t="s">
        <v>429</v>
      </c>
      <c r="B37" s="250" t="s">
        <v>2198</v>
      </c>
      <c r="C37" s="2664"/>
      <c r="D37" s="2664"/>
      <c r="E37" s="250" t="s">
        <v>2199</v>
      </c>
      <c r="F37" s="250" t="s">
        <v>2200</v>
      </c>
      <c r="G37" s="2641" t="s">
        <v>2201</v>
      </c>
      <c r="H37" s="2636" t="s">
        <v>2202</v>
      </c>
      <c r="I37" s="2128" t="str">
        <f t="shared" si="17"/>
        <v>6-DaHall 1-PDU-07-30-26</v>
      </c>
      <c r="J37" s="2129" t="str">
        <f t="shared" si="18"/>
        <v>6-DaHall 1-PDU-08-30-26</v>
      </c>
      <c r="K37" s="1477">
        <v>220</v>
      </c>
      <c r="L37" s="1478">
        <v>30</v>
      </c>
      <c r="M37" s="2435" t="s">
        <v>6492</v>
      </c>
      <c r="N37" s="1465">
        <v>26</v>
      </c>
      <c r="O37" s="1469">
        <v>220</v>
      </c>
      <c r="P37" s="1470">
        <v>30</v>
      </c>
      <c r="Q37" s="2441" t="s">
        <v>6504</v>
      </c>
      <c r="R37" s="1468">
        <v>26</v>
      </c>
      <c r="S37" s="3343"/>
      <c r="T37" s="3340"/>
      <c r="U37" s="3343"/>
      <c r="V37" s="3340"/>
      <c r="W37" s="3343"/>
      <c r="X37" s="3340"/>
      <c r="Y37" s="268">
        <f>SUM('6층_부하량(월간_AVG)'!L398:N398)</f>
        <v>0</v>
      </c>
      <c r="Z37" s="268">
        <f>SUM('6층_부하량(월간_AVG)'!L430:N430)</f>
        <v>0</v>
      </c>
      <c r="AA37" s="2459">
        <f>SUM(Y37:Z37)</f>
        <v>0</v>
      </c>
      <c r="AB37" s="2715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46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29">
        <f t="shared" si="0"/>
        <v>0</v>
      </c>
      <c r="AE37" s="2821"/>
      <c r="AG37" s="2367">
        <f t="shared" si="12"/>
        <v>0</v>
      </c>
      <c r="AH37" s="2367">
        <f t="shared" si="13"/>
        <v>0</v>
      </c>
      <c r="AI37" s="123" t="str">
        <f t="shared" si="1"/>
        <v>무부하 랙</v>
      </c>
      <c r="AJ37" t="str">
        <f t="shared" si="5"/>
        <v/>
      </c>
      <c r="AK37" t="str">
        <f t="shared" si="6"/>
        <v/>
      </c>
      <c r="AP37" s="123"/>
      <c r="AQ37" s="123"/>
      <c r="AR37" s="123"/>
      <c r="AS37" s="3084"/>
      <c r="AT37" s="123"/>
      <c r="AU37" s="123"/>
      <c r="AV37" s="3085"/>
      <c r="AW37" s="3086"/>
      <c r="AX37" s="3087"/>
      <c r="AY37" s="3088"/>
      <c r="AZ37" s="3089"/>
      <c r="BA37" s="3090"/>
      <c r="BB37" s="3091"/>
    </row>
    <row r="38" spans="1:54" ht="28.8">
      <c r="A38" s="2652" t="s">
        <v>424</v>
      </c>
      <c r="B38" s="250" t="s">
        <v>2203</v>
      </c>
      <c r="C38" s="2664"/>
      <c r="D38" s="2664"/>
      <c r="E38" s="250" t="s">
        <v>2204</v>
      </c>
      <c r="F38" s="250" t="s">
        <v>2205</v>
      </c>
      <c r="G38" s="2641" t="s">
        <v>2206</v>
      </c>
      <c r="H38" s="2636" t="s">
        <v>2207</v>
      </c>
      <c r="I38" s="2128" t="str">
        <f t="shared" si="17"/>
        <v>6-DaHall 1-PDU-07-30-28</v>
      </c>
      <c r="J38" s="2129" t="str">
        <f t="shared" si="18"/>
        <v>6-DaHall 1-PDU-08-30-28</v>
      </c>
      <c r="K38" s="1477">
        <v>220</v>
      </c>
      <c r="L38" s="1478">
        <v>30</v>
      </c>
      <c r="M38" s="2435" t="s">
        <v>6492</v>
      </c>
      <c r="N38" s="1465">
        <v>28</v>
      </c>
      <c r="O38" s="1469">
        <v>220</v>
      </c>
      <c r="P38" s="1470">
        <v>30</v>
      </c>
      <c r="Q38" s="2441" t="s">
        <v>6504</v>
      </c>
      <c r="R38" s="1468">
        <v>28</v>
      </c>
      <c r="S38" s="3359"/>
      <c r="T38" s="3346"/>
      <c r="U38" s="3359"/>
      <c r="V38" s="3346"/>
      <c r="W38" s="3343"/>
      <c r="X38" s="3340"/>
      <c r="Y38" s="268">
        <f>SUM('6층_부하량(월간_AVG)'!L399:N399)</f>
        <v>0</v>
      </c>
      <c r="Z38" s="268">
        <f>SUM('6층_부하량(월간_AVG)'!L431:N431)</f>
        <v>0</v>
      </c>
      <c r="AA38" s="2459">
        <f>SUM(Y38:Z38)</f>
        <v>0</v>
      </c>
      <c r="AB38" s="2715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46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29">
        <f t="shared" si="0"/>
        <v>0</v>
      </c>
      <c r="AE38" s="2821"/>
      <c r="AG38" s="2367">
        <f t="shared" si="12"/>
        <v>0</v>
      </c>
      <c r="AH38" s="2367">
        <f t="shared" si="13"/>
        <v>0</v>
      </c>
      <c r="AI38" s="123" t="str">
        <f t="shared" si="1"/>
        <v>무부하 랙</v>
      </c>
      <c r="AJ38" t="str">
        <f t="shared" si="5"/>
        <v/>
      </c>
      <c r="AK38" t="str">
        <f t="shared" si="6"/>
        <v/>
      </c>
      <c r="AP38" s="123"/>
      <c r="AQ38" s="123"/>
      <c r="AR38" s="123"/>
      <c r="AS38" s="3084"/>
      <c r="AT38" s="123"/>
      <c r="AU38" s="123"/>
      <c r="AV38" s="3085"/>
      <c r="AW38" s="3086"/>
      <c r="AX38" s="3087"/>
      <c r="AY38" s="3088"/>
      <c r="AZ38" s="3089"/>
      <c r="BA38" s="3090"/>
      <c r="BB38" s="3091"/>
    </row>
    <row r="39" spans="1:54" ht="28.8">
      <c r="A39" s="2652" t="s">
        <v>419</v>
      </c>
      <c r="B39" s="250" t="s">
        <v>2208</v>
      </c>
      <c r="C39" s="2664"/>
      <c r="D39" s="2664"/>
      <c r="E39" s="250" t="s">
        <v>2209</v>
      </c>
      <c r="F39" s="250" t="s">
        <v>2210</v>
      </c>
      <c r="G39" s="2641" t="s">
        <v>2211</v>
      </c>
      <c r="H39" s="2636" t="s">
        <v>2212</v>
      </c>
      <c r="I39" s="2128" t="str">
        <f t="shared" si="17"/>
        <v>6-DaHall 1-PDU-03-30-33</v>
      </c>
      <c r="J39" s="2129" t="str">
        <f t="shared" si="18"/>
        <v>6-DaHall 1-PDU-04-30-33</v>
      </c>
      <c r="K39" s="1477">
        <v>220</v>
      </c>
      <c r="L39" s="1478">
        <v>30</v>
      </c>
      <c r="M39" s="2435" t="s">
        <v>6499</v>
      </c>
      <c r="N39" s="1465">
        <v>33</v>
      </c>
      <c r="O39" s="1469">
        <v>220</v>
      </c>
      <c r="P39" s="1470">
        <v>30</v>
      </c>
      <c r="Q39" s="2441" t="s">
        <v>6495</v>
      </c>
      <c r="R39" s="1468">
        <v>33</v>
      </c>
      <c r="S39" s="3342" t="s">
        <v>2213</v>
      </c>
      <c r="T39" s="3339" t="s">
        <v>2042</v>
      </c>
      <c r="U39" s="3342" t="s">
        <v>2043</v>
      </c>
      <c r="V39" s="3339" t="s">
        <v>2044</v>
      </c>
      <c r="W39" s="3343"/>
      <c r="X39" s="3340"/>
      <c r="Y39" s="268">
        <f>SUM('6층_부하량(월간_AVG)'!D278:F278)</f>
        <v>0</v>
      </c>
      <c r="Z39" s="268">
        <f>SUM('6층_부하량(월간_AVG)'!D308:F308)</f>
        <v>0</v>
      </c>
      <c r="AA39" s="2459">
        <f>SUM(Y39:Z39)</f>
        <v>0</v>
      </c>
      <c r="AB39" s="2715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46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29">
        <f t="shared" si="0"/>
        <v>0</v>
      </c>
      <c r="AE39" s="2821"/>
      <c r="AG39" s="2367">
        <f t="shared" si="12"/>
        <v>0</v>
      </c>
      <c r="AH39" s="2367">
        <f t="shared" si="13"/>
        <v>0</v>
      </c>
      <c r="AI39" s="123" t="str">
        <f t="shared" si="1"/>
        <v>무부하 랙</v>
      </c>
      <c r="AJ39" t="str">
        <f t="shared" si="5"/>
        <v/>
      </c>
      <c r="AK39" t="str">
        <f t="shared" si="6"/>
        <v/>
      </c>
      <c r="AP39" s="123"/>
      <c r="AQ39" s="123"/>
      <c r="AR39" s="123"/>
      <c r="AS39" s="3084"/>
      <c r="AT39" s="123"/>
      <c r="AU39" s="123"/>
      <c r="AV39" s="3085"/>
      <c r="AW39" s="3086"/>
      <c r="AX39" s="3087"/>
      <c r="AY39" s="3088"/>
      <c r="AZ39" s="3089"/>
      <c r="BA39" s="3090"/>
      <c r="BB39" s="3091"/>
    </row>
    <row r="40" spans="1:54" ht="29.4" thickBot="1">
      <c r="A40" s="2660" t="s">
        <v>414</v>
      </c>
      <c r="B40" s="2661" t="s">
        <v>2214</v>
      </c>
      <c r="C40" s="2688"/>
      <c r="D40" s="2688"/>
      <c r="E40" s="2661" t="s">
        <v>2215</v>
      </c>
      <c r="F40" s="2661" t="s">
        <v>2216</v>
      </c>
      <c r="G40" s="2643" t="s">
        <v>2217</v>
      </c>
      <c r="H40" s="2637" t="s">
        <v>2218</v>
      </c>
      <c r="I40" s="2130" t="str">
        <f t="shared" si="17"/>
        <v>6-DaHall 1-PDU-03-30-35</v>
      </c>
      <c r="J40" s="2131" t="str">
        <f t="shared" si="18"/>
        <v>6-DaHall 1-PDU-04-30-35</v>
      </c>
      <c r="K40" s="1498">
        <v>220</v>
      </c>
      <c r="L40" s="1499">
        <v>30</v>
      </c>
      <c r="M40" s="2438" t="s">
        <v>6499</v>
      </c>
      <c r="N40" s="1473">
        <v>35</v>
      </c>
      <c r="O40" s="1500">
        <v>220</v>
      </c>
      <c r="P40" s="1501">
        <v>30</v>
      </c>
      <c r="Q40" s="2444" t="s">
        <v>6495</v>
      </c>
      <c r="R40" s="1476">
        <v>35</v>
      </c>
      <c r="S40" s="3344"/>
      <c r="T40" s="3341"/>
      <c r="U40" s="3344"/>
      <c r="V40" s="3341"/>
      <c r="W40" s="3344"/>
      <c r="X40" s="3341"/>
      <c r="Y40" s="330">
        <f>SUM('6층_부하량(월간_AVG)'!D279:F279)</f>
        <v>0</v>
      </c>
      <c r="Z40" s="330">
        <f>SUM('6층_부하량(월간_AVG)'!D309:F309)</f>
        <v>0</v>
      </c>
      <c r="AA40" s="2460">
        <f t="shared" ref="AA40" si="19">SUM(Y40:Z40)</f>
        <v>0</v>
      </c>
      <c r="AB40" s="2715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46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34">
        <f t="shared" si="0"/>
        <v>0</v>
      </c>
      <c r="AE40" s="2823"/>
      <c r="AG40" s="2367">
        <f t="shared" si="12"/>
        <v>0</v>
      </c>
      <c r="AH40" s="2367">
        <f t="shared" si="13"/>
        <v>0</v>
      </c>
      <c r="AI40" s="123" t="str">
        <f t="shared" si="1"/>
        <v>무부하 랙</v>
      </c>
      <c r="AJ40" t="str">
        <f t="shared" si="5"/>
        <v/>
      </c>
      <c r="AK40" t="str">
        <f t="shared" si="6"/>
        <v/>
      </c>
      <c r="AP40" s="123"/>
      <c r="AQ40" s="123"/>
      <c r="AR40" s="123"/>
      <c r="AS40" s="3084"/>
      <c r="AT40" s="123"/>
      <c r="AU40" s="123"/>
      <c r="AV40" s="3085"/>
      <c r="AW40" s="3086"/>
      <c r="AX40" s="3087"/>
      <c r="AY40" s="3088"/>
      <c r="AZ40" s="3089"/>
      <c r="BA40" s="3090"/>
      <c r="BB40" s="3091"/>
    </row>
    <row r="41" spans="1:54" ht="15" thickTop="1">
      <c r="A41" s="1084" t="s">
        <v>274</v>
      </c>
      <c r="B41" s="828" t="s">
        <v>1989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0">
        <f>SUM(Y41:Z41)</f>
        <v>0</v>
      </c>
      <c r="AB41" s="2856"/>
      <c r="AC41" s="2857"/>
      <c r="AD41" s="2852">
        <f t="shared" si="0"/>
        <v>0</v>
      </c>
      <c r="AE41" s="2828" t="s">
        <v>1265</v>
      </c>
      <c r="AG41" s="2367">
        <f t="shared" si="12"/>
        <v>0</v>
      </c>
      <c r="AH41" s="2367">
        <f t="shared" si="13"/>
        <v>0</v>
      </c>
      <c r="AI41" s="123" t="str">
        <f t="shared" si="1"/>
        <v>무부하 랙</v>
      </c>
      <c r="AJ41" t="str">
        <f t="shared" si="5"/>
        <v/>
      </c>
      <c r="AK41" t="str">
        <f t="shared" si="6"/>
        <v/>
      </c>
      <c r="AP41" s="123"/>
      <c r="AQ41" s="123"/>
      <c r="AR41" s="123"/>
      <c r="AS41" s="3084"/>
      <c r="AT41" s="123"/>
      <c r="AU41" s="123"/>
      <c r="AV41" s="3085"/>
      <c r="AW41" s="3086"/>
      <c r="AX41" s="3087"/>
      <c r="AY41" s="3088"/>
      <c r="AZ41" s="3089"/>
      <c r="BA41" s="3090"/>
      <c r="BB41" s="3091"/>
    </row>
    <row r="42" spans="1:54" ht="27" customHeight="1">
      <c r="A42" s="3325" t="s">
        <v>270</v>
      </c>
      <c r="B42" s="3327" t="s">
        <v>1990</v>
      </c>
      <c r="C42" s="3327"/>
      <c r="D42" s="250"/>
      <c r="E42" s="250" t="s">
        <v>1991</v>
      </c>
      <c r="F42" s="250" t="s">
        <v>1992</v>
      </c>
      <c r="G42" s="2641" t="s">
        <v>1993</v>
      </c>
      <c r="H42" s="2636" t="s">
        <v>1994</v>
      </c>
      <c r="I42" s="2128" t="str">
        <f t="shared" ref="I42:I50" si="20">"6-DaHall 1-PDU-"&amp;M42&amp;"-"&amp;L42&amp;"-"&amp;N42</f>
        <v>6-DaHall 1-PDU-03-30-24</v>
      </c>
      <c r="J42" s="2129" t="str">
        <f t="shared" ref="J42:J50" si="21">"6-DaHall 1-PDU-"&amp;Q42&amp;"-"&amp;P42&amp;"-"&amp;R42</f>
        <v>6-DaHall 1-PDU-04-30-24</v>
      </c>
      <c r="K42" s="1463">
        <v>220</v>
      </c>
      <c r="L42" s="1464">
        <v>30</v>
      </c>
      <c r="M42" s="2435" t="s">
        <v>6499</v>
      </c>
      <c r="N42" s="1465">
        <v>24</v>
      </c>
      <c r="O42" s="1466">
        <v>220</v>
      </c>
      <c r="P42" s="1467">
        <v>30</v>
      </c>
      <c r="Q42" s="2441" t="s">
        <v>6495</v>
      </c>
      <c r="R42" s="1468">
        <v>24</v>
      </c>
      <c r="S42" s="3342" t="s">
        <v>1924</v>
      </c>
      <c r="T42" s="3339" t="s">
        <v>1925</v>
      </c>
      <c r="U42" s="3342" t="s">
        <v>1926</v>
      </c>
      <c r="V42" s="3339" t="s">
        <v>1927</v>
      </c>
      <c r="W42" s="3342" t="s">
        <v>1276</v>
      </c>
      <c r="X42" s="3339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395">
        <f>SUM(Y42:Z43)</f>
        <v>0</v>
      </c>
      <c r="AB42" s="2715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46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405">
        <f>SUM(AB42:AC43)</f>
        <v>0</v>
      </c>
      <c r="AE42" s="2821"/>
      <c r="AG42" s="2367">
        <f t="shared" si="12"/>
        <v>0</v>
      </c>
      <c r="AH42" s="2367">
        <f t="shared" si="13"/>
        <v>0</v>
      </c>
      <c r="AI42" s="123" t="str">
        <f t="shared" si="1"/>
        <v>무부하 랙</v>
      </c>
      <c r="AJ42" t="str">
        <f t="shared" si="5"/>
        <v/>
      </c>
      <c r="AK42" t="str">
        <f t="shared" si="6"/>
        <v/>
      </c>
      <c r="AP42" s="123"/>
      <c r="AQ42" s="123"/>
      <c r="AR42" s="123"/>
      <c r="AS42" s="3084"/>
      <c r="AT42" s="123"/>
      <c r="AU42" s="123"/>
      <c r="AV42" s="3085"/>
      <c r="AW42" s="3086"/>
      <c r="AX42" s="3087"/>
      <c r="AY42" s="3088"/>
      <c r="AZ42" s="3089"/>
      <c r="BA42" s="3090"/>
      <c r="BB42" s="3091"/>
    </row>
    <row r="43" spans="1:54" ht="27" customHeight="1">
      <c r="A43" s="3325"/>
      <c r="B43" s="3327"/>
      <c r="C43" s="3327"/>
      <c r="D43" s="250"/>
      <c r="E43" s="250" t="s">
        <v>1995</v>
      </c>
      <c r="F43" s="250" t="s">
        <v>1996</v>
      </c>
      <c r="G43" s="2641" t="s">
        <v>1997</v>
      </c>
      <c r="H43" s="2636" t="s">
        <v>1998</v>
      </c>
      <c r="I43" s="2128" t="str">
        <f t="shared" si="20"/>
        <v>6-DaHall 1-PDU-03-30-22</v>
      </c>
      <c r="J43" s="2129" t="str">
        <f t="shared" si="21"/>
        <v>6-DaHall 1-PDU-04-30-22</v>
      </c>
      <c r="K43" s="1463">
        <v>220</v>
      </c>
      <c r="L43" s="1464">
        <v>30</v>
      </c>
      <c r="M43" s="2435" t="s">
        <v>6499</v>
      </c>
      <c r="N43" s="1465">
        <v>22</v>
      </c>
      <c r="O43" s="1466">
        <v>220</v>
      </c>
      <c r="P43" s="1467">
        <v>30</v>
      </c>
      <c r="Q43" s="2441" t="s">
        <v>6495</v>
      </c>
      <c r="R43" s="1468">
        <v>22</v>
      </c>
      <c r="S43" s="3343"/>
      <c r="T43" s="3340"/>
      <c r="U43" s="3343"/>
      <c r="V43" s="3340"/>
      <c r="W43" s="3343"/>
      <c r="X43" s="3340"/>
      <c r="Y43" s="268">
        <f>SUM('6층_부하량(월간_AVG)'!L272:N272)</f>
        <v>0</v>
      </c>
      <c r="Z43" s="268">
        <f>SUM('6층_부하량(월간_AVG)'!L302:N302)</f>
        <v>0</v>
      </c>
      <c r="AA43" s="3395"/>
      <c r="AB43" s="2715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46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407"/>
      <c r="AE43" s="2821"/>
      <c r="AG43" s="2367">
        <f t="shared" si="12"/>
        <v>0</v>
      </c>
      <c r="AH43" s="2367">
        <f t="shared" si="13"/>
        <v>0</v>
      </c>
      <c r="AI43" s="123" t="str">
        <f t="shared" si="1"/>
        <v>무부하 랙</v>
      </c>
      <c r="AJ43" t="str">
        <f t="shared" si="5"/>
        <v/>
      </c>
      <c r="AK43" t="str">
        <f t="shared" si="6"/>
        <v/>
      </c>
      <c r="AP43" s="123"/>
      <c r="AQ43" s="123"/>
      <c r="AR43" s="123"/>
      <c r="AS43" s="3084"/>
      <c r="AT43" s="123"/>
      <c r="AU43" s="123"/>
      <c r="AV43" s="3085"/>
      <c r="AW43" s="3086"/>
      <c r="AX43" s="3087"/>
      <c r="AY43" s="3088"/>
      <c r="AZ43" s="3089"/>
      <c r="BA43" s="3090"/>
      <c r="BB43" s="3091"/>
    </row>
    <row r="44" spans="1:54" ht="28.8">
      <c r="A44" s="3325" t="s">
        <v>266</v>
      </c>
      <c r="B44" s="3327" t="s">
        <v>1999</v>
      </c>
      <c r="C44" s="3327"/>
      <c r="D44" s="250"/>
      <c r="E44" s="250" t="s">
        <v>2000</v>
      </c>
      <c r="F44" s="250" t="s">
        <v>2001</v>
      </c>
      <c r="G44" s="2641" t="s">
        <v>2002</v>
      </c>
      <c r="H44" s="2636" t="s">
        <v>2003</v>
      </c>
      <c r="I44" s="2128" t="str">
        <f t="shared" si="20"/>
        <v>6-DaHall 1-PDU-03-30-26</v>
      </c>
      <c r="J44" s="2129" t="str">
        <f t="shared" si="21"/>
        <v>6-DaHall 1-PDU-04-30-26</v>
      </c>
      <c r="K44" s="1463">
        <v>220</v>
      </c>
      <c r="L44" s="1464">
        <v>30</v>
      </c>
      <c r="M44" s="2435" t="s">
        <v>6499</v>
      </c>
      <c r="N44" s="1465">
        <v>26</v>
      </c>
      <c r="O44" s="1466">
        <v>220</v>
      </c>
      <c r="P44" s="1467">
        <v>30</v>
      </c>
      <c r="Q44" s="2441" t="s">
        <v>6495</v>
      </c>
      <c r="R44" s="1468">
        <v>26</v>
      </c>
      <c r="S44" s="3343"/>
      <c r="T44" s="3340"/>
      <c r="U44" s="3343"/>
      <c r="V44" s="3340"/>
      <c r="W44" s="3343"/>
      <c r="X44" s="3340"/>
      <c r="Y44" s="268">
        <f>SUM('6층_부하량(월간_AVG)'!L274:N274)</f>
        <v>0</v>
      </c>
      <c r="Z44" s="268">
        <f>SUM('6층_부하량(월간_AVG)'!L304:N304)</f>
        <v>0</v>
      </c>
      <c r="AA44" s="3395">
        <f>SUM(Y44:Z45)</f>
        <v>0</v>
      </c>
      <c r="AB44" s="2715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46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405">
        <f>SUM(AB44:AC45)</f>
        <v>0</v>
      </c>
      <c r="AE44" s="2821"/>
      <c r="AG44" s="2367">
        <f t="shared" si="12"/>
        <v>0</v>
      </c>
      <c r="AH44" s="2367">
        <f t="shared" si="13"/>
        <v>0</v>
      </c>
      <c r="AI44" s="123" t="str">
        <f t="shared" si="1"/>
        <v>무부하 랙</v>
      </c>
      <c r="AJ44" t="str">
        <f t="shared" si="5"/>
        <v/>
      </c>
      <c r="AK44" t="str">
        <f t="shared" si="6"/>
        <v/>
      </c>
      <c r="AP44" s="123"/>
      <c r="AQ44" s="123"/>
      <c r="AR44" s="123"/>
      <c r="AS44" s="3084"/>
      <c r="AT44" s="123"/>
      <c r="AU44" s="123"/>
      <c r="AV44" s="3085"/>
      <c r="AW44" s="3086"/>
      <c r="AX44" s="3087"/>
      <c r="AY44" s="3088"/>
      <c r="AZ44" s="3089"/>
      <c r="BA44" s="3090"/>
      <c r="BB44" s="3091"/>
    </row>
    <row r="45" spans="1:54" ht="28.8">
      <c r="A45" s="3325"/>
      <c r="B45" s="3327"/>
      <c r="C45" s="3327"/>
      <c r="D45" s="250"/>
      <c r="E45" s="250" t="s">
        <v>2004</v>
      </c>
      <c r="F45" s="250" t="s">
        <v>2005</v>
      </c>
      <c r="G45" s="2641" t="s">
        <v>2006</v>
      </c>
      <c r="H45" s="2636" t="s">
        <v>2007</v>
      </c>
      <c r="I45" s="2128" t="str">
        <f t="shared" si="20"/>
        <v>6-DaHall 1-PDU-03-30-38</v>
      </c>
      <c r="J45" s="2129" t="str">
        <f t="shared" si="21"/>
        <v>6-DaHall 1-PDU-04-30-38</v>
      </c>
      <c r="K45" s="1463">
        <v>220</v>
      </c>
      <c r="L45" s="1464">
        <v>30</v>
      </c>
      <c r="M45" s="2435" t="s">
        <v>6499</v>
      </c>
      <c r="N45" s="1465">
        <v>38</v>
      </c>
      <c r="O45" s="1466">
        <v>220</v>
      </c>
      <c r="P45" s="1467">
        <v>30</v>
      </c>
      <c r="Q45" s="2441" t="s">
        <v>6495</v>
      </c>
      <c r="R45" s="1468">
        <v>38</v>
      </c>
      <c r="S45" s="3343"/>
      <c r="T45" s="3340"/>
      <c r="U45" s="3343"/>
      <c r="V45" s="3340"/>
      <c r="W45" s="3343"/>
      <c r="X45" s="3340"/>
      <c r="Y45" s="268">
        <f>SUM('6층_부하량(월간_AVG)'!L280:N280)</f>
        <v>0</v>
      </c>
      <c r="Z45" s="268">
        <f>SUM('6층_부하량(월간_AVG)'!L310:N310)</f>
        <v>0</v>
      </c>
      <c r="AA45" s="3395"/>
      <c r="AB45" s="2715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46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407"/>
      <c r="AE45" s="2821"/>
      <c r="AG45" s="2367">
        <f t="shared" si="12"/>
        <v>0</v>
      </c>
      <c r="AH45" s="2367">
        <f t="shared" si="13"/>
        <v>0</v>
      </c>
      <c r="AI45" s="123" t="str">
        <f t="shared" si="1"/>
        <v>무부하 랙</v>
      </c>
      <c r="AJ45" t="str">
        <f t="shared" si="5"/>
        <v/>
      </c>
      <c r="AK45" t="str">
        <f t="shared" si="6"/>
        <v/>
      </c>
      <c r="AP45" s="123"/>
      <c r="AQ45" s="123"/>
      <c r="AR45" s="123"/>
      <c r="AS45" s="3084"/>
      <c r="AT45" s="123"/>
      <c r="AU45" s="123"/>
      <c r="AV45" s="3085"/>
      <c r="AW45" s="3086"/>
      <c r="AX45" s="3087"/>
      <c r="AY45" s="3088"/>
      <c r="AZ45" s="3089"/>
      <c r="BA45" s="3090"/>
      <c r="BB45" s="3091"/>
    </row>
    <row r="46" spans="1:54" ht="28.8">
      <c r="A46" s="2652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41" t="s">
        <v>2011</v>
      </c>
      <c r="H46" s="2636" t="s">
        <v>2012</v>
      </c>
      <c r="I46" s="2128" t="str">
        <f t="shared" si="20"/>
        <v>6-DaHall 1-PDU-03-30-28</v>
      </c>
      <c r="J46" s="2129" t="str">
        <f t="shared" si="21"/>
        <v>6-DaHall 1-PDU-04-30-28</v>
      </c>
      <c r="K46" s="1463">
        <v>220</v>
      </c>
      <c r="L46" s="1464">
        <v>30</v>
      </c>
      <c r="M46" s="2435" t="s">
        <v>6499</v>
      </c>
      <c r="N46" s="1465">
        <v>28</v>
      </c>
      <c r="O46" s="1466">
        <v>220</v>
      </c>
      <c r="P46" s="1467">
        <v>30</v>
      </c>
      <c r="Q46" s="2441" t="s">
        <v>6495</v>
      </c>
      <c r="R46" s="1468">
        <v>28</v>
      </c>
      <c r="S46" s="3343"/>
      <c r="T46" s="3340"/>
      <c r="U46" s="3343"/>
      <c r="V46" s="3340"/>
      <c r="W46" s="3343"/>
      <c r="X46" s="3340"/>
      <c r="Y46" s="268">
        <f>SUM('6층_부하량(월간_AVG)'!L275:N275)</f>
        <v>0</v>
      </c>
      <c r="Z46" s="268">
        <f>SUM('6층_부하량(월간_AVG)'!L305:N305)</f>
        <v>0</v>
      </c>
      <c r="AA46" s="2452">
        <f>SUM(Y46:Z46)</f>
        <v>0</v>
      </c>
      <c r="AB46" s="2715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46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29">
        <f t="shared" ref="AD46:AD56" si="22">SUM(AB46:AC46)</f>
        <v>0</v>
      </c>
      <c r="AE46" s="2821"/>
      <c r="AG46" s="2367">
        <f t="shared" si="12"/>
        <v>0</v>
      </c>
      <c r="AH46" s="2367">
        <f t="shared" si="13"/>
        <v>0</v>
      </c>
      <c r="AI46" s="123" t="str">
        <f t="shared" si="1"/>
        <v>무부하 랙</v>
      </c>
      <c r="AJ46" t="str">
        <f t="shared" si="5"/>
        <v/>
      </c>
      <c r="AK46" t="str">
        <f t="shared" si="6"/>
        <v/>
      </c>
      <c r="AP46" s="123"/>
      <c r="AQ46" s="123"/>
      <c r="AR46" s="123"/>
      <c r="AS46" s="3084"/>
      <c r="AT46" s="123"/>
      <c r="AU46" s="123"/>
      <c r="AV46" s="3085"/>
      <c r="AW46" s="3086"/>
      <c r="AX46" s="3087"/>
      <c r="AY46" s="3088"/>
      <c r="AZ46" s="3089"/>
      <c r="BA46" s="3090"/>
      <c r="BB46" s="3091"/>
    </row>
    <row r="47" spans="1:54" ht="28.8">
      <c r="A47" s="2652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41" t="s">
        <v>2016</v>
      </c>
      <c r="H47" s="2636" t="s">
        <v>2017</v>
      </c>
      <c r="I47" s="2128" t="str">
        <f t="shared" si="20"/>
        <v>6-DaHall 1-PDU-03-30-30</v>
      </c>
      <c r="J47" s="2129" t="str">
        <f t="shared" si="21"/>
        <v>6-DaHall 1-PDU-04-30-30</v>
      </c>
      <c r="K47" s="1463">
        <v>220</v>
      </c>
      <c r="L47" s="1464">
        <v>30</v>
      </c>
      <c r="M47" s="2435" t="s">
        <v>6499</v>
      </c>
      <c r="N47" s="1465">
        <v>30</v>
      </c>
      <c r="O47" s="1466">
        <v>220</v>
      </c>
      <c r="P47" s="1467">
        <v>30</v>
      </c>
      <c r="Q47" s="2441" t="s">
        <v>6495</v>
      </c>
      <c r="R47" s="1468">
        <v>30</v>
      </c>
      <c r="S47" s="3343"/>
      <c r="T47" s="3340"/>
      <c r="U47" s="3343"/>
      <c r="V47" s="3340"/>
      <c r="W47" s="3343"/>
      <c r="X47" s="3340"/>
      <c r="Y47" s="268">
        <f>SUM('6층_부하량(월간_AVG)'!L276:N276)</f>
        <v>0</v>
      </c>
      <c r="Z47" s="268">
        <f>SUM('6층_부하량(월간_AVG)'!L306:N306)</f>
        <v>0</v>
      </c>
      <c r="AA47" s="2452">
        <f>SUM(Y47:Z47)</f>
        <v>0</v>
      </c>
      <c r="AB47" s="2715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46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29">
        <f t="shared" si="22"/>
        <v>0</v>
      </c>
      <c r="AE47" s="2821"/>
      <c r="AG47" s="2367">
        <f t="shared" si="12"/>
        <v>0</v>
      </c>
      <c r="AH47" s="2367">
        <f t="shared" si="13"/>
        <v>0</v>
      </c>
      <c r="AI47" s="123" t="str">
        <f t="shared" si="1"/>
        <v>무부하 랙</v>
      </c>
      <c r="AJ47" t="str">
        <f t="shared" si="5"/>
        <v/>
      </c>
      <c r="AK47" t="str">
        <f t="shared" si="6"/>
        <v/>
      </c>
      <c r="AP47" s="123"/>
      <c r="AQ47" s="123"/>
      <c r="AR47" s="123"/>
      <c r="AS47" s="3084"/>
      <c r="AT47" s="123"/>
      <c r="AU47" s="123"/>
      <c r="AV47" s="3085"/>
      <c r="AW47" s="3086"/>
      <c r="AX47" s="3087"/>
      <c r="AY47" s="3088"/>
      <c r="AZ47" s="3089"/>
      <c r="BA47" s="3090"/>
      <c r="BB47" s="3091"/>
    </row>
    <row r="48" spans="1:54" ht="28.8">
      <c r="A48" s="2652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41" t="s">
        <v>2021</v>
      </c>
      <c r="H48" s="2636" t="s">
        <v>2022</v>
      </c>
      <c r="I48" s="2128" t="str">
        <f t="shared" si="20"/>
        <v>6-DaHall 1-PDU-03-30-32</v>
      </c>
      <c r="J48" s="2129" t="str">
        <f t="shared" si="21"/>
        <v>6-DaHall 1-PDU-04-30-32</v>
      </c>
      <c r="K48" s="1463">
        <v>220</v>
      </c>
      <c r="L48" s="1464">
        <v>30</v>
      </c>
      <c r="M48" s="2435" t="s">
        <v>6499</v>
      </c>
      <c r="N48" s="1465">
        <v>32</v>
      </c>
      <c r="O48" s="1466">
        <v>220</v>
      </c>
      <c r="P48" s="1467">
        <v>30</v>
      </c>
      <c r="Q48" s="2441" t="s">
        <v>6495</v>
      </c>
      <c r="R48" s="1468">
        <v>32</v>
      </c>
      <c r="S48" s="3343"/>
      <c r="T48" s="3340"/>
      <c r="U48" s="3343"/>
      <c r="V48" s="3340"/>
      <c r="W48" s="3343"/>
      <c r="X48" s="3340"/>
      <c r="Y48" s="268">
        <f>SUM('6층_부하량(월간_AVG)'!L277:N277)</f>
        <v>0</v>
      </c>
      <c r="Z48" s="268">
        <f>SUM('6층_부하량(월간_AVG)'!L307:N307)</f>
        <v>0</v>
      </c>
      <c r="AA48" s="2452">
        <f>SUM(Y48:Z48)</f>
        <v>0</v>
      </c>
      <c r="AB48" s="2715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46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29">
        <f t="shared" si="22"/>
        <v>0</v>
      </c>
      <c r="AE48" s="2821"/>
      <c r="AG48" s="2367">
        <f t="shared" si="12"/>
        <v>0</v>
      </c>
      <c r="AH48" s="2367">
        <f t="shared" si="13"/>
        <v>0</v>
      </c>
      <c r="AI48" s="123" t="str">
        <f t="shared" si="1"/>
        <v>무부하 랙</v>
      </c>
      <c r="AJ48" t="str">
        <f t="shared" si="5"/>
        <v/>
      </c>
      <c r="AK48" t="str">
        <f t="shared" si="6"/>
        <v/>
      </c>
      <c r="AP48" s="123"/>
      <c r="AQ48" s="123"/>
      <c r="AR48" s="123"/>
      <c r="AS48" s="3084"/>
      <c r="AT48" s="123"/>
      <c r="AU48" s="123"/>
      <c r="AV48" s="3085"/>
      <c r="AW48" s="3086"/>
      <c r="AX48" s="3087"/>
      <c r="AY48" s="3088"/>
      <c r="AZ48" s="3089"/>
      <c r="BA48" s="3090"/>
      <c r="BB48" s="3091"/>
    </row>
    <row r="49" spans="1:54" ht="28.8">
      <c r="A49" s="2652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41" t="s">
        <v>2026</v>
      </c>
      <c r="H49" s="2636" t="s">
        <v>2027</v>
      </c>
      <c r="I49" s="2128" t="str">
        <f t="shared" si="20"/>
        <v>6-DaHall 1-PDU-03-30-34</v>
      </c>
      <c r="J49" s="2129" t="str">
        <f t="shared" si="21"/>
        <v>6-DaHall 1-PDU-04-30-34</v>
      </c>
      <c r="K49" s="1463">
        <v>220</v>
      </c>
      <c r="L49" s="1464">
        <v>30</v>
      </c>
      <c r="M49" s="2435" t="s">
        <v>6499</v>
      </c>
      <c r="N49" s="1465">
        <v>34</v>
      </c>
      <c r="O49" s="1466">
        <v>220</v>
      </c>
      <c r="P49" s="1467">
        <v>30</v>
      </c>
      <c r="Q49" s="2441" t="s">
        <v>6495</v>
      </c>
      <c r="R49" s="1468">
        <v>34</v>
      </c>
      <c r="S49" s="3343"/>
      <c r="T49" s="3340"/>
      <c r="U49" s="3343"/>
      <c r="V49" s="3340"/>
      <c r="W49" s="3343"/>
      <c r="X49" s="3340"/>
      <c r="Y49" s="268">
        <f>SUM('6층_부하량(월간_AVG)'!L278:N278)</f>
        <v>0</v>
      </c>
      <c r="Z49" s="268">
        <f>SUM('6층_부하량(월간_AVG)'!L308:N308)</f>
        <v>0</v>
      </c>
      <c r="AA49" s="2452">
        <f>SUM(Y49:Z49)</f>
        <v>0</v>
      </c>
      <c r="AB49" s="2715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46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29">
        <f t="shared" si="22"/>
        <v>0</v>
      </c>
      <c r="AE49" s="2821"/>
      <c r="AG49" s="2367">
        <f t="shared" si="12"/>
        <v>0</v>
      </c>
      <c r="AH49" s="2367">
        <f t="shared" si="13"/>
        <v>0</v>
      </c>
      <c r="AI49" s="123" t="str">
        <f t="shared" si="1"/>
        <v>무부하 랙</v>
      </c>
      <c r="AJ49" t="str">
        <f t="shared" si="5"/>
        <v/>
      </c>
      <c r="AK49" t="str">
        <f t="shared" si="6"/>
        <v/>
      </c>
      <c r="AP49" s="123"/>
      <c r="AQ49" s="123"/>
      <c r="AR49" s="123"/>
      <c r="AS49" s="3084"/>
      <c r="AT49" s="123"/>
      <c r="AU49" s="123"/>
      <c r="AV49" s="3085"/>
      <c r="AW49" s="3086"/>
      <c r="AX49" s="3087"/>
      <c r="AY49" s="3088"/>
      <c r="AZ49" s="3089"/>
      <c r="BA49" s="3090"/>
      <c r="BB49" s="3091"/>
    </row>
    <row r="50" spans="1:54" ht="27.75" customHeight="1" thickBot="1">
      <c r="A50" s="2660" t="s">
        <v>230</v>
      </c>
      <c r="B50" s="2661" t="s">
        <v>2028</v>
      </c>
      <c r="C50" s="2661"/>
      <c r="D50" s="2661"/>
      <c r="E50" s="2661" t="s">
        <v>2029</v>
      </c>
      <c r="F50" s="2661" t="s">
        <v>2030</v>
      </c>
      <c r="G50" s="2643" t="s">
        <v>2031</v>
      </c>
      <c r="H50" s="2637" t="s">
        <v>2032</v>
      </c>
      <c r="I50" s="2130" t="str">
        <f t="shared" si="20"/>
        <v>6-DaHall 1-PDU-03-30-36</v>
      </c>
      <c r="J50" s="2131" t="str">
        <f t="shared" si="21"/>
        <v>6-DaHall 1-PDU-04-30-36</v>
      </c>
      <c r="K50" s="1471">
        <v>220</v>
      </c>
      <c r="L50" s="1472">
        <v>30</v>
      </c>
      <c r="M50" s="2438" t="s">
        <v>6499</v>
      </c>
      <c r="N50" s="1473">
        <v>36</v>
      </c>
      <c r="O50" s="1474">
        <v>220</v>
      </c>
      <c r="P50" s="1475">
        <v>30</v>
      </c>
      <c r="Q50" s="2444" t="s">
        <v>6495</v>
      </c>
      <c r="R50" s="1476">
        <v>36</v>
      </c>
      <c r="S50" s="3344"/>
      <c r="T50" s="3341"/>
      <c r="U50" s="3344"/>
      <c r="V50" s="3341"/>
      <c r="W50" s="3344"/>
      <c r="X50" s="3341"/>
      <c r="Y50" s="330">
        <f>SUM('6층_부하량(월간_AVG)'!L279:N279)</f>
        <v>0</v>
      </c>
      <c r="Z50" s="330">
        <f>SUM('6층_부하량(월간_AVG)'!L309:N309)</f>
        <v>0</v>
      </c>
      <c r="AA50" s="2453">
        <f t="shared" ref="AA50" si="23">SUM(Y50:Z50)</f>
        <v>0</v>
      </c>
      <c r="AB50" s="2715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46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34">
        <f t="shared" si="22"/>
        <v>0</v>
      </c>
      <c r="AE50" s="2823"/>
      <c r="AG50" s="2367">
        <f t="shared" si="12"/>
        <v>0</v>
      </c>
      <c r="AH50" s="2367">
        <f t="shared" si="13"/>
        <v>0</v>
      </c>
      <c r="AI50" s="123" t="str">
        <f t="shared" si="1"/>
        <v>무부하 랙</v>
      </c>
      <c r="AJ50" t="str">
        <f t="shared" si="5"/>
        <v/>
      </c>
      <c r="AK50" t="str">
        <f t="shared" si="6"/>
        <v/>
      </c>
      <c r="AP50" s="123"/>
      <c r="AQ50" s="123"/>
      <c r="AR50" s="123"/>
      <c r="AS50" s="3084"/>
      <c r="AT50" s="123"/>
      <c r="AU50" s="123"/>
      <c r="AV50" s="3085"/>
      <c r="AW50" s="3086"/>
      <c r="AX50" s="3087"/>
      <c r="AY50" s="3088"/>
      <c r="AZ50" s="3089"/>
      <c r="BA50" s="3090"/>
      <c r="BB50" s="3091"/>
    </row>
    <row r="51" spans="1:54" ht="15" thickTop="1">
      <c r="A51" s="1085"/>
      <c r="B51" s="828" t="s">
        <v>2033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55">
        <f t="shared" ref="AA51:AA56" si="24">SUM(Y51:Z51)</f>
        <v>0</v>
      </c>
      <c r="AB51" s="2826"/>
      <c r="AC51" s="2827"/>
      <c r="AD51" s="2835">
        <f t="shared" si="22"/>
        <v>0</v>
      </c>
      <c r="AE51" s="2828" t="s">
        <v>1265</v>
      </c>
      <c r="AG51" s="2367">
        <f t="shared" si="12"/>
        <v>0</v>
      </c>
      <c r="AH51" s="2367">
        <f t="shared" si="13"/>
        <v>0</v>
      </c>
      <c r="AI51" s="123" t="str">
        <f t="shared" si="1"/>
        <v>무부하 랙</v>
      </c>
      <c r="AJ51" t="str">
        <f t="shared" si="5"/>
        <v/>
      </c>
      <c r="AK51" t="str">
        <f t="shared" si="6"/>
        <v/>
      </c>
      <c r="AP51" s="123"/>
      <c r="AQ51" s="123"/>
      <c r="AR51" s="123"/>
      <c r="AS51" s="3084"/>
      <c r="AT51" s="123"/>
      <c r="AU51" s="123"/>
      <c r="AV51" s="3085"/>
      <c r="AW51" s="3086"/>
      <c r="AX51" s="3087"/>
      <c r="AY51" s="3088"/>
      <c r="AZ51" s="3089"/>
      <c r="BA51" s="3090"/>
      <c r="BB51" s="3091"/>
    </row>
    <row r="52" spans="1:54">
      <c r="A52" s="2652" t="s">
        <v>2034</v>
      </c>
      <c r="B52" s="2712" t="s">
        <v>2035</v>
      </c>
      <c r="C52" s="2712"/>
      <c r="D52" s="2712"/>
      <c r="E52" s="2712"/>
      <c r="F52" s="2712"/>
      <c r="G52" s="2708"/>
      <c r="H52" s="2691"/>
      <c r="I52" s="2137"/>
      <c r="J52" s="2138"/>
      <c r="K52" s="1492"/>
      <c r="L52" s="1493"/>
      <c r="M52" s="2708"/>
      <c r="N52" s="1494"/>
      <c r="O52" s="1495"/>
      <c r="P52" s="1496"/>
      <c r="Q52" s="2691"/>
      <c r="R52" s="1497"/>
      <c r="S52" s="832"/>
      <c r="T52" s="833"/>
      <c r="U52" s="832"/>
      <c r="V52" s="833"/>
      <c r="W52" s="832"/>
      <c r="X52" s="833"/>
      <c r="Y52" s="834"/>
      <c r="Z52" s="834"/>
      <c r="AA52" s="2457">
        <f t="shared" si="24"/>
        <v>0</v>
      </c>
      <c r="AB52" s="2717"/>
      <c r="AC52" s="2849"/>
      <c r="AD52" s="2847">
        <f t="shared" si="22"/>
        <v>0</v>
      </c>
      <c r="AE52" s="2848" t="s">
        <v>1265</v>
      </c>
      <c r="AG52" s="2367">
        <f t="shared" si="12"/>
        <v>0</v>
      </c>
      <c r="AH52" s="2367">
        <f t="shared" si="13"/>
        <v>0</v>
      </c>
      <c r="AI52" s="123" t="str">
        <f t="shared" si="1"/>
        <v>무부하 랙</v>
      </c>
      <c r="AJ52" t="str">
        <f t="shared" si="5"/>
        <v/>
      </c>
      <c r="AK52" t="str">
        <f t="shared" si="6"/>
        <v/>
      </c>
      <c r="AP52" s="123"/>
      <c r="AQ52" s="123"/>
      <c r="AR52" s="123"/>
      <c r="AS52" s="3084"/>
      <c r="AT52" s="123"/>
      <c r="AU52" s="123"/>
      <c r="AV52" s="3085"/>
      <c r="AW52" s="3086"/>
      <c r="AX52" s="3087"/>
      <c r="AY52" s="3088"/>
      <c r="AZ52" s="3089"/>
      <c r="BA52" s="3090"/>
      <c r="BB52" s="3091"/>
    </row>
    <row r="53" spans="1:54" ht="28.8">
      <c r="A53" s="2652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41" t="s">
        <v>2040</v>
      </c>
      <c r="H53" s="2636" t="s">
        <v>2041</v>
      </c>
      <c r="I53" s="2128" t="str">
        <f t="shared" ref="I53:I62" si="25">"6-DaHall 1-PDU-"&amp;M53&amp;"-"&amp;L53&amp;"-"&amp;N53</f>
        <v>6-DaHall 1-PDU-03-30-40</v>
      </c>
      <c r="J53" s="2129" t="str">
        <f t="shared" ref="J53:J62" si="26">"6-DaHall 1-PDU-"&amp;Q53&amp;"-"&amp;P53&amp;"-"&amp;R53</f>
        <v>6-DaHall 1-PDU-04-30-40</v>
      </c>
      <c r="K53" s="1463">
        <v>220</v>
      </c>
      <c r="L53" s="1464">
        <v>30</v>
      </c>
      <c r="M53" s="2435" t="s">
        <v>6499</v>
      </c>
      <c r="N53" s="1465">
        <v>40</v>
      </c>
      <c r="O53" s="1466">
        <v>220</v>
      </c>
      <c r="P53" s="1467">
        <v>30</v>
      </c>
      <c r="Q53" s="2441" t="s">
        <v>6495</v>
      </c>
      <c r="R53" s="1468">
        <v>40</v>
      </c>
      <c r="S53" s="3342" t="s">
        <v>1924</v>
      </c>
      <c r="T53" s="3339" t="s">
        <v>2042</v>
      </c>
      <c r="U53" s="3342" t="s">
        <v>2043</v>
      </c>
      <c r="V53" s="3339" t="s">
        <v>2044</v>
      </c>
      <c r="W53" s="3342" t="s">
        <v>1276</v>
      </c>
      <c r="X53" s="3339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52">
        <f t="shared" si="24"/>
        <v>0</v>
      </c>
      <c r="AB53" s="2715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46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29">
        <f t="shared" si="22"/>
        <v>0</v>
      </c>
      <c r="AE53" s="2821"/>
      <c r="AG53" s="2367">
        <f t="shared" si="12"/>
        <v>0</v>
      </c>
      <c r="AH53" s="2367">
        <f t="shared" si="13"/>
        <v>0</v>
      </c>
      <c r="AI53" s="123" t="str">
        <f t="shared" si="1"/>
        <v>무부하 랙</v>
      </c>
      <c r="AJ53" t="str">
        <f t="shared" si="5"/>
        <v/>
      </c>
      <c r="AK53" t="str">
        <f t="shared" si="6"/>
        <v/>
      </c>
      <c r="AP53" s="123"/>
      <c r="AQ53" s="123"/>
      <c r="AR53" s="123"/>
      <c r="AS53" s="3084"/>
      <c r="AT53" s="123"/>
      <c r="AU53" s="123"/>
      <c r="AV53" s="3085"/>
      <c r="AW53" s="3086"/>
      <c r="AX53" s="3087"/>
      <c r="AY53" s="3088"/>
      <c r="AZ53" s="3089"/>
      <c r="BA53" s="3090"/>
      <c r="BB53" s="3091"/>
    </row>
    <row r="54" spans="1:54" ht="28.8">
      <c r="A54" s="2652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41" t="s">
        <v>2049</v>
      </c>
      <c r="H54" s="2636" t="s">
        <v>2050</v>
      </c>
      <c r="I54" s="2128" t="str">
        <f t="shared" si="25"/>
        <v>6-DaHall 1-PDU-03-30-42</v>
      </c>
      <c r="J54" s="2129" t="str">
        <f t="shared" si="26"/>
        <v>6-DaHall 1-PDU-04-30-42</v>
      </c>
      <c r="K54" s="1463">
        <v>220</v>
      </c>
      <c r="L54" s="1464">
        <v>30</v>
      </c>
      <c r="M54" s="2435" t="s">
        <v>6499</v>
      </c>
      <c r="N54" s="1465">
        <v>42</v>
      </c>
      <c r="O54" s="1466">
        <v>220</v>
      </c>
      <c r="P54" s="1467">
        <v>30</v>
      </c>
      <c r="Q54" s="2441" t="s">
        <v>6495</v>
      </c>
      <c r="R54" s="1468">
        <v>42</v>
      </c>
      <c r="S54" s="3343"/>
      <c r="T54" s="3340"/>
      <c r="U54" s="3343"/>
      <c r="V54" s="3340"/>
      <c r="W54" s="3343"/>
      <c r="X54" s="3340"/>
      <c r="Y54" s="253">
        <f>SUM('6층_부하량(월간_AVG)'!L282:N282)</f>
        <v>0</v>
      </c>
      <c r="Z54" s="253">
        <f>SUM('6층_부하량(월간_AVG)'!L312:N312)</f>
        <v>0</v>
      </c>
      <c r="AA54" s="2452">
        <f t="shared" si="24"/>
        <v>0</v>
      </c>
      <c r="AB54" s="2715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46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29">
        <f t="shared" si="22"/>
        <v>0</v>
      </c>
      <c r="AE54" s="2821"/>
      <c r="AG54" s="2367">
        <f t="shared" si="12"/>
        <v>0</v>
      </c>
      <c r="AH54" s="2367">
        <f t="shared" si="13"/>
        <v>0</v>
      </c>
      <c r="AI54" s="123" t="str">
        <f t="shared" si="1"/>
        <v>무부하 랙</v>
      </c>
      <c r="AJ54" t="str">
        <f t="shared" si="5"/>
        <v/>
      </c>
      <c r="AK54" t="str">
        <f t="shared" si="6"/>
        <v/>
      </c>
      <c r="AP54" s="123"/>
      <c r="AQ54" s="123"/>
      <c r="AR54" s="123"/>
      <c r="AS54" s="3084"/>
      <c r="AT54" s="123"/>
      <c r="AU54" s="123"/>
      <c r="AV54" s="3085"/>
      <c r="AW54" s="3086"/>
      <c r="AX54" s="3087"/>
      <c r="AY54" s="3088"/>
      <c r="AZ54" s="3089"/>
      <c r="BA54" s="3090"/>
      <c r="BB54" s="3091"/>
    </row>
    <row r="55" spans="1:54" ht="28.8">
      <c r="A55" s="2652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41" t="s">
        <v>2055</v>
      </c>
      <c r="H55" s="2636" t="s">
        <v>2056</v>
      </c>
      <c r="I55" s="2128" t="str">
        <f t="shared" si="25"/>
        <v>6-DaHall 1-PDU-03-30-44</v>
      </c>
      <c r="J55" s="2129" t="str">
        <f t="shared" si="26"/>
        <v>6-DaHall 1-PDU-04-30-44</v>
      </c>
      <c r="K55" s="1463">
        <v>220</v>
      </c>
      <c r="L55" s="1464">
        <v>30</v>
      </c>
      <c r="M55" s="2435" t="s">
        <v>6499</v>
      </c>
      <c r="N55" s="1465">
        <v>44</v>
      </c>
      <c r="O55" s="1466">
        <v>220</v>
      </c>
      <c r="P55" s="1467">
        <v>30</v>
      </c>
      <c r="Q55" s="2441" t="s">
        <v>6495</v>
      </c>
      <c r="R55" s="1468">
        <v>44</v>
      </c>
      <c r="S55" s="3343"/>
      <c r="T55" s="3340"/>
      <c r="U55" s="3343"/>
      <c r="V55" s="3340"/>
      <c r="W55" s="3343"/>
      <c r="X55" s="3340"/>
      <c r="Y55" s="253">
        <f>SUM('6층_부하량(월간_AVG)'!L283:N283)</f>
        <v>0</v>
      </c>
      <c r="Z55" s="253">
        <f>SUM('6층_부하량(월간_AVG)'!L313:N313)</f>
        <v>0</v>
      </c>
      <c r="AA55" s="2452">
        <f t="shared" si="24"/>
        <v>0</v>
      </c>
      <c r="AB55" s="2715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46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29">
        <f t="shared" si="22"/>
        <v>0</v>
      </c>
      <c r="AE55" s="2821"/>
      <c r="AG55" s="2367">
        <f t="shared" si="12"/>
        <v>0</v>
      </c>
      <c r="AH55" s="2367">
        <f t="shared" si="13"/>
        <v>0</v>
      </c>
      <c r="AI55" s="123" t="str">
        <f t="shared" si="1"/>
        <v>무부하 랙</v>
      </c>
      <c r="AJ55" t="str">
        <f t="shared" si="5"/>
        <v/>
      </c>
      <c r="AK55" t="str">
        <f t="shared" si="6"/>
        <v/>
      </c>
      <c r="AP55" s="123"/>
      <c r="AQ55" s="123"/>
      <c r="AR55" s="123"/>
      <c r="AS55" s="3084"/>
      <c r="AT55" s="123"/>
      <c r="AU55" s="123"/>
      <c r="AV55" s="3085"/>
      <c r="AW55" s="3086"/>
      <c r="AX55" s="3087"/>
      <c r="AY55" s="3088"/>
      <c r="AZ55" s="3089"/>
      <c r="BA55" s="3090"/>
      <c r="BB55" s="3091"/>
    </row>
    <row r="56" spans="1:54" ht="28.8">
      <c r="A56" s="2652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41" t="s">
        <v>2061</v>
      </c>
      <c r="H56" s="2636" t="s">
        <v>2062</v>
      </c>
      <c r="I56" s="2128" t="str">
        <f t="shared" si="25"/>
        <v>6-DaHall 1-PDU-03-30-46</v>
      </c>
      <c r="J56" s="2129" t="str">
        <f t="shared" si="26"/>
        <v>6-DaHall 1-PDU-04-30-46</v>
      </c>
      <c r="K56" s="1463">
        <v>220</v>
      </c>
      <c r="L56" s="1464">
        <v>30</v>
      </c>
      <c r="M56" s="2435" t="s">
        <v>6499</v>
      </c>
      <c r="N56" s="1465">
        <v>46</v>
      </c>
      <c r="O56" s="1466">
        <v>220</v>
      </c>
      <c r="P56" s="1467">
        <v>30</v>
      </c>
      <c r="Q56" s="2441" t="s">
        <v>6495</v>
      </c>
      <c r="R56" s="1468">
        <v>46</v>
      </c>
      <c r="S56" s="3343"/>
      <c r="T56" s="3340"/>
      <c r="U56" s="3343"/>
      <c r="V56" s="3340"/>
      <c r="W56" s="3343"/>
      <c r="X56" s="3340"/>
      <c r="Y56" s="253">
        <f>SUM('6층_부하량(월간_AVG)'!L284:N284)</f>
        <v>0</v>
      </c>
      <c r="Z56" s="253">
        <f>SUM('6층_부하량(월간_AVG)'!L314:N314)</f>
        <v>0</v>
      </c>
      <c r="AA56" s="2452">
        <f t="shared" si="24"/>
        <v>0</v>
      </c>
      <c r="AB56" s="2715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46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29">
        <f t="shared" si="22"/>
        <v>0</v>
      </c>
      <c r="AE56" s="2821"/>
      <c r="AG56" s="2367">
        <f t="shared" si="12"/>
        <v>0</v>
      </c>
      <c r="AH56" s="2367">
        <f t="shared" si="13"/>
        <v>0</v>
      </c>
      <c r="AI56" s="123" t="str">
        <f t="shared" si="1"/>
        <v>무부하 랙</v>
      </c>
      <c r="AJ56" t="str">
        <f t="shared" si="5"/>
        <v/>
      </c>
      <c r="AK56" t="str">
        <f t="shared" si="6"/>
        <v/>
      </c>
      <c r="AP56" s="123"/>
      <c r="AQ56" s="123"/>
      <c r="AR56" s="123"/>
      <c r="AS56" s="3084"/>
      <c r="AT56" s="123"/>
      <c r="AU56" s="123"/>
      <c r="AV56" s="3085"/>
      <c r="AW56" s="3086"/>
      <c r="AX56" s="3087"/>
      <c r="AY56" s="3088"/>
      <c r="AZ56" s="3089"/>
      <c r="BA56" s="3090"/>
      <c r="BB56" s="3091"/>
    </row>
    <row r="57" spans="1:54" ht="27" customHeight="1">
      <c r="A57" s="3325" t="s">
        <v>2063</v>
      </c>
      <c r="B57" s="3327" t="s">
        <v>2064</v>
      </c>
      <c r="C57" s="3327"/>
      <c r="D57" s="250"/>
      <c r="E57" s="250" t="s">
        <v>2065</v>
      </c>
      <c r="F57" s="250" t="s">
        <v>2066</v>
      </c>
      <c r="G57" s="2641" t="s">
        <v>2067</v>
      </c>
      <c r="H57" s="2636" t="s">
        <v>2068</v>
      </c>
      <c r="I57" s="2128" t="str">
        <f t="shared" si="25"/>
        <v>6-DaHall 1-PDU-03-30-48</v>
      </c>
      <c r="J57" s="2129" t="str">
        <f t="shared" si="26"/>
        <v>6-DaHall 1-PDU-04-30-48</v>
      </c>
      <c r="K57" s="1463">
        <v>220</v>
      </c>
      <c r="L57" s="1464">
        <v>30</v>
      </c>
      <c r="M57" s="2435" t="s">
        <v>6499</v>
      </c>
      <c r="N57" s="1465">
        <v>48</v>
      </c>
      <c r="O57" s="1466">
        <v>220</v>
      </c>
      <c r="P57" s="1467">
        <v>30</v>
      </c>
      <c r="Q57" s="2441" t="s">
        <v>6495</v>
      </c>
      <c r="R57" s="1468">
        <v>48</v>
      </c>
      <c r="S57" s="3359"/>
      <c r="T57" s="3346"/>
      <c r="U57" s="3359"/>
      <c r="V57" s="3346"/>
      <c r="W57" s="3343"/>
      <c r="X57" s="3340"/>
      <c r="Y57" s="253">
        <f>SUM('6층_부하량(월간_AVG)'!L285:N285)</f>
        <v>0</v>
      </c>
      <c r="Z57" s="253">
        <f>SUM('6층_부하량(월간_AVG)'!L315:N315)</f>
        <v>0</v>
      </c>
      <c r="AA57" s="3395">
        <f>SUM(Y57:Z58)</f>
        <v>0</v>
      </c>
      <c r="AB57" s="2715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46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405">
        <f>SUM(AB57:AC58)</f>
        <v>0</v>
      </c>
      <c r="AE57" s="2821"/>
      <c r="AG57" s="2367">
        <f t="shared" si="12"/>
        <v>0</v>
      </c>
      <c r="AH57" s="2367">
        <f t="shared" si="13"/>
        <v>0</v>
      </c>
      <c r="AI57" s="123" t="str">
        <f t="shared" si="1"/>
        <v>무부하 랙</v>
      </c>
      <c r="AJ57" t="str">
        <f t="shared" si="5"/>
        <v/>
      </c>
      <c r="AK57" t="str">
        <f t="shared" si="6"/>
        <v/>
      </c>
      <c r="AP57" s="123"/>
      <c r="AQ57" s="123"/>
      <c r="AR57" s="123"/>
      <c r="AS57" s="3084"/>
      <c r="AT57" s="123"/>
      <c r="AU57" s="123"/>
      <c r="AV57" s="3085"/>
      <c r="AW57" s="3086"/>
      <c r="AX57" s="3087"/>
      <c r="AY57" s="3088"/>
      <c r="AZ57" s="3089"/>
      <c r="BA57" s="3090"/>
      <c r="BB57" s="3091"/>
    </row>
    <row r="58" spans="1:54" ht="40.5" customHeight="1">
      <c r="A58" s="3325"/>
      <c r="B58" s="3327"/>
      <c r="C58" s="3327"/>
      <c r="D58" s="250"/>
      <c r="E58" s="250" t="s">
        <v>2069</v>
      </c>
      <c r="F58" s="250" t="s">
        <v>2070</v>
      </c>
      <c r="G58" s="2641" t="s">
        <v>2071</v>
      </c>
      <c r="H58" s="2636" t="s">
        <v>2072</v>
      </c>
      <c r="I58" s="2128" t="str">
        <f t="shared" si="25"/>
        <v>6-DaHall 1-PDU-07-30-45</v>
      </c>
      <c r="J58" s="2129" t="str">
        <f t="shared" si="26"/>
        <v>6-DaHall 1-PDU-08-30-47</v>
      </c>
      <c r="K58" s="1463">
        <v>220</v>
      </c>
      <c r="L58" s="1464">
        <v>30</v>
      </c>
      <c r="M58" s="2435" t="s">
        <v>6492</v>
      </c>
      <c r="N58" s="1465">
        <v>45</v>
      </c>
      <c r="O58" s="1466">
        <v>220</v>
      </c>
      <c r="P58" s="1467">
        <v>30</v>
      </c>
      <c r="Q58" s="2441" t="s">
        <v>6504</v>
      </c>
      <c r="R58" s="1468">
        <v>47</v>
      </c>
      <c r="S58" s="2641" t="s">
        <v>2073</v>
      </c>
      <c r="T58" s="2636" t="s">
        <v>2074</v>
      </c>
      <c r="U58" s="2641" t="s">
        <v>2075</v>
      </c>
      <c r="V58" s="2636" t="s">
        <v>2076</v>
      </c>
      <c r="W58" s="3343"/>
      <c r="X58" s="3340"/>
      <c r="Y58" s="253">
        <f>SUM('6층_부하량(월간_AVG)'!D408:F408)</f>
        <v>0</v>
      </c>
      <c r="Z58" s="253">
        <f>SUM('6층_부하량(월간_AVG)'!D441:F441)</f>
        <v>0</v>
      </c>
      <c r="AA58" s="3395"/>
      <c r="AB58" s="2715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46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407"/>
      <c r="AE58" s="2821"/>
      <c r="AG58" s="2367">
        <f t="shared" si="12"/>
        <v>0</v>
      </c>
      <c r="AH58" s="2367">
        <f t="shared" si="13"/>
        <v>0</v>
      </c>
      <c r="AI58" s="123" t="str">
        <f t="shared" si="1"/>
        <v>무부하 랙</v>
      </c>
      <c r="AJ58" t="str">
        <f t="shared" si="5"/>
        <v/>
      </c>
      <c r="AK58" t="str">
        <f t="shared" si="6"/>
        <v/>
      </c>
      <c r="AP58" s="123"/>
      <c r="AQ58" s="123"/>
      <c r="AR58" s="123"/>
      <c r="AS58" s="3084"/>
      <c r="AT58" s="123"/>
      <c r="AU58" s="123"/>
      <c r="AV58" s="3085"/>
      <c r="AW58" s="3086"/>
      <c r="AX58" s="3087"/>
      <c r="AY58" s="3088"/>
      <c r="AZ58" s="3089"/>
      <c r="BA58" s="3090"/>
      <c r="BB58" s="3091"/>
    </row>
    <row r="59" spans="1:54" ht="43.2">
      <c r="A59" s="3325" t="s">
        <v>2077</v>
      </c>
      <c r="B59" s="3327" t="s">
        <v>2078</v>
      </c>
      <c r="C59" s="3327"/>
      <c r="D59" s="250"/>
      <c r="E59" s="2647" t="s">
        <v>2079</v>
      </c>
      <c r="F59" s="2647" t="s">
        <v>2080</v>
      </c>
      <c r="G59" s="2641" t="s">
        <v>2081</v>
      </c>
      <c r="H59" s="2636" t="s">
        <v>2082</v>
      </c>
      <c r="I59" s="2128" t="str">
        <f t="shared" si="25"/>
        <v>6-DaHall 1-PDU-05-30-1</v>
      </c>
      <c r="J59" s="2129" t="str">
        <f t="shared" si="26"/>
        <v>6-DaHall 1-PDU-06-30-1</v>
      </c>
      <c r="K59" s="1463">
        <v>220</v>
      </c>
      <c r="L59" s="1464">
        <v>30</v>
      </c>
      <c r="M59" s="2435" t="s">
        <v>6491</v>
      </c>
      <c r="N59" s="1465">
        <v>1</v>
      </c>
      <c r="O59" s="1466">
        <v>220</v>
      </c>
      <c r="P59" s="1467">
        <v>30</v>
      </c>
      <c r="Q59" s="2441" t="s">
        <v>6501</v>
      </c>
      <c r="R59" s="1468">
        <v>1</v>
      </c>
      <c r="S59" s="2641" t="s">
        <v>1876</v>
      </c>
      <c r="T59" s="2636" t="s">
        <v>1877</v>
      </c>
      <c r="U59" s="2641" t="s">
        <v>1878</v>
      </c>
      <c r="V59" s="2636" t="s">
        <v>1879</v>
      </c>
      <c r="W59" s="3343"/>
      <c r="X59" s="3340"/>
      <c r="Y59" s="253">
        <f>SUM('6층_부하량(월간_AVG)'!D322:F322)</f>
        <v>0</v>
      </c>
      <c r="Z59" s="253">
        <f>SUM('6층_부하량(월간_AVG)'!D354:F354)</f>
        <v>0</v>
      </c>
      <c r="AA59" s="3395">
        <f>SUM(Y59:Z60)</f>
        <v>0</v>
      </c>
      <c r="AB59" s="2715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46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405">
        <f t="shared" ref="AD59" si="27">SUM(AB59:AC60)</f>
        <v>0</v>
      </c>
      <c r="AE59" s="2822"/>
      <c r="AG59" s="2367">
        <f t="shared" si="12"/>
        <v>0</v>
      </c>
      <c r="AH59" s="2367">
        <f t="shared" si="13"/>
        <v>0</v>
      </c>
      <c r="AI59" s="123" t="str">
        <f t="shared" si="1"/>
        <v>무부하 랙</v>
      </c>
      <c r="AJ59" t="str">
        <f t="shared" si="5"/>
        <v/>
      </c>
      <c r="AK59" t="str">
        <f t="shared" si="6"/>
        <v/>
      </c>
      <c r="AP59" s="123"/>
      <c r="AQ59" s="123"/>
      <c r="AR59" s="123"/>
      <c r="AS59" s="3084"/>
      <c r="AT59" s="123"/>
      <c r="AU59" s="123"/>
      <c r="AV59" s="3085"/>
      <c r="AW59" s="3086"/>
      <c r="AX59" s="3087"/>
      <c r="AY59" s="3088"/>
      <c r="AZ59" s="3089"/>
      <c r="BA59" s="3090"/>
      <c r="BB59" s="3091"/>
    </row>
    <row r="60" spans="1:54" ht="43.2">
      <c r="A60" s="3325"/>
      <c r="B60" s="3327"/>
      <c r="C60" s="3327"/>
      <c r="D60" s="250"/>
      <c r="E60" s="250" t="s">
        <v>2083</v>
      </c>
      <c r="F60" s="250" t="s">
        <v>2084</v>
      </c>
      <c r="G60" s="2641" t="s">
        <v>2085</v>
      </c>
      <c r="H60" s="2636" t="s">
        <v>2086</v>
      </c>
      <c r="I60" s="2128" t="str">
        <f t="shared" si="25"/>
        <v>6-DaHall 1-PDU-07-30-43</v>
      </c>
      <c r="J60" s="2129" t="str">
        <f t="shared" si="26"/>
        <v>6-DaHall 1-PDU-08-30-45</v>
      </c>
      <c r="K60" s="1463">
        <v>220</v>
      </c>
      <c r="L60" s="1464">
        <v>30</v>
      </c>
      <c r="M60" s="2435" t="s">
        <v>6492</v>
      </c>
      <c r="N60" s="1465">
        <v>43</v>
      </c>
      <c r="O60" s="1466">
        <v>220</v>
      </c>
      <c r="P60" s="1467">
        <v>30</v>
      </c>
      <c r="Q60" s="2441" t="s">
        <v>6504</v>
      </c>
      <c r="R60" s="1468">
        <v>45</v>
      </c>
      <c r="S60" s="2641" t="s">
        <v>2073</v>
      </c>
      <c r="T60" s="2636" t="s">
        <v>2074</v>
      </c>
      <c r="U60" s="2641" t="s">
        <v>2075</v>
      </c>
      <c r="V60" s="2636" t="s">
        <v>2076</v>
      </c>
      <c r="W60" s="3343"/>
      <c r="X60" s="3340"/>
      <c r="Y60" s="253">
        <f>SUM('6층_부하량(월간_AVG)'!D407:F407)</f>
        <v>0</v>
      </c>
      <c r="Z60" s="253">
        <f>SUM('6층_부하량(월간_AVG)'!D440:F440)</f>
        <v>0</v>
      </c>
      <c r="AA60" s="3395"/>
      <c r="AB60" s="2715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46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407"/>
      <c r="AE60" s="2822"/>
      <c r="AG60" s="2367">
        <f t="shared" si="12"/>
        <v>0</v>
      </c>
      <c r="AH60" s="2367">
        <f t="shared" si="13"/>
        <v>0</v>
      </c>
      <c r="AI60" s="123" t="str">
        <f t="shared" si="1"/>
        <v>무부하 랙</v>
      </c>
      <c r="AJ60" t="str">
        <f t="shared" si="5"/>
        <v/>
      </c>
      <c r="AK60" t="str">
        <f t="shared" si="6"/>
        <v/>
      </c>
      <c r="AP60" s="123"/>
      <c r="AQ60" s="123"/>
      <c r="AR60" s="123"/>
      <c r="AS60" s="3084"/>
      <c r="AT60" s="123"/>
      <c r="AU60" s="123"/>
      <c r="AV60" s="3085"/>
      <c r="AW60" s="3086"/>
      <c r="AX60" s="3087"/>
      <c r="AY60" s="3088"/>
      <c r="AZ60" s="3089"/>
      <c r="BA60" s="3090"/>
      <c r="BB60" s="3091"/>
    </row>
    <row r="61" spans="1:54" ht="43.2">
      <c r="A61" s="3325" t="s">
        <v>2087</v>
      </c>
      <c r="B61" s="3327" t="s">
        <v>2088</v>
      </c>
      <c r="C61" s="3327"/>
      <c r="D61" s="250"/>
      <c r="E61" s="2647" t="s">
        <v>2089</v>
      </c>
      <c r="F61" s="2647" t="s">
        <v>2090</v>
      </c>
      <c r="G61" s="2641" t="s">
        <v>2091</v>
      </c>
      <c r="H61" s="2636" t="s">
        <v>2092</v>
      </c>
      <c r="I61" s="2128" t="str">
        <f t="shared" si="25"/>
        <v>6-DaHall 1-PDU-05-30-3</v>
      </c>
      <c r="J61" s="2129" t="str">
        <f t="shared" si="26"/>
        <v>6-DaHall 1-PDU-06-30-3</v>
      </c>
      <c r="K61" s="1463">
        <v>220</v>
      </c>
      <c r="L61" s="1464">
        <v>30</v>
      </c>
      <c r="M61" s="2435" t="s">
        <v>6491</v>
      </c>
      <c r="N61" s="1465">
        <v>3</v>
      </c>
      <c r="O61" s="1466">
        <v>220</v>
      </c>
      <c r="P61" s="1467">
        <v>30</v>
      </c>
      <c r="Q61" s="2441" t="s">
        <v>6501</v>
      </c>
      <c r="R61" s="1468">
        <v>3</v>
      </c>
      <c r="S61" s="2641" t="s">
        <v>1876</v>
      </c>
      <c r="T61" s="2636" t="s">
        <v>1877</v>
      </c>
      <c r="U61" s="2641" t="s">
        <v>1878</v>
      </c>
      <c r="V61" s="2636" t="s">
        <v>1879</v>
      </c>
      <c r="W61" s="3343"/>
      <c r="X61" s="3340"/>
      <c r="Y61" s="253">
        <f>SUM('6층_부하량(월간_AVG)'!D323:F323)</f>
        <v>0</v>
      </c>
      <c r="Z61" s="253">
        <f>SUM('6층_부하량(월간_AVG)'!D355:F355)</f>
        <v>0</v>
      </c>
      <c r="AA61" s="3395">
        <f>SUM(Y61:Z62)</f>
        <v>0</v>
      </c>
      <c r="AB61" s="2715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46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405">
        <f t="shared" ref="AD61" si="28">SUM(AB61:AC62)</f>
        <v>0</v>
      </c>
      <c r="AE61" s="2822"/>
      <c r="AG61" s="2367">
        <f t="shared" si="12"/>
        <v>0</v>
      </c>
      <c r="AH61" s="2367">
        <f t="shared" si="13"/>
        <v>0</v>
      </c>
      <c r="AI61" s="123" t="str">
        <f t="shared" si="1"/>
        <v>무부하 랙</v>
      </c>
      <c r="AJ61" t="str">
        <f t="shared" si="5"/>
        <v/>
      </c>
      <c r="AK61" t="str">
        <f t="shared" si="6"/>
        <v/>
      </c>
      <c r="AP61" s="123"/>
      <c r="AQ61" s="123"/>
      <c r="AR61" s="123"/>
      <c r="AS61" s="3084"/>
      <c r="AT61" s="123"/>
      <c r="AU61" s="123"/>
      <c r="AV61" s="3085"/>
      <c r="AW61" s="3086"/>
      <c r="AX61" s="3087"/>
      <c r="AY61" s="3088"/>
      <c r="AZ61" s="3089"/>
      <c r="BA61" s="3090"/>
      <c r="BB61" s="3091"/>
    </row>
    <row r="62" spans="1:54" ht="43.8" thickBot="1">
      <c r="A62" s="3326"/>
      <c r="B62" s="3328"/>
      <c r="C62" s="3328"/>
      <c r="D62" s="2661"/>
      <c r="E62" s="2661" t="s">
        <v>2093</v>
      </c>
      <c r="F62" s="2661" t="s">
        <v>2094</v>
      </c>
      <c r="G62" s="2643" t="s">
        <v>2095</v>
      </c>
      <c r="H62" s="2637" t="s">
        <v>2096</v>
      </c>
      <c r="I62" s="2130" t="str">
        <f t="shared" si="25"/>
        <v>6-DaHall 1-PDU-07-30-41</v>
      </c>
      <c r="J62" s="2131" t="str">
        <f t="shared" si="26"/>
        <v>6-DaHall 1-PDU-08-30-43</v>
      </c>
      <c r="K62" s="1471">
        <v>220</v>
      </c>
      <c r="L62" s="1472">
        <v>30</v>
      </c>
      <c r="M62" s="2438" t="s">
        <v>6492</v>
      </c>
      <c r="N62" s="1473">
        <v>41</v>
      </c>
      <c r="O62" s="1474">
        <v>220</v>
      </c>
      <c r="P62" s="1475">
        <v>30</v>
      </c>
      <c r="Q62" s="2444" t="s">
        <v>6504</v>
      </c>
      <c r="R62" s="1476">
        <v>43</v>
      </c>
      <c r="S62" s="2643" t="s">
        <v>2073</v>
      </c>
      <c r="T62" s="2637" t="s">
        <v>2074</v>
      </c>
      <c r="U62" s="2643" t="s">
        <v>2075</v>
      </c>
      <c r="V62" s="2637" t="s">
        <v>2076</v>
      </c>
      <c r="W62" s="3344"/>
      <c r="X62" s="3341"/>
      <c r="Y62" s="329">
        <f>SUM('6층_부하량(월간_AVG)'!D406:F406)</f>
        <v>0</v>
      </c>
      <c r="Z62" s="329">
        <f>SUM('6층_부하량(월간_AVG)'!D439:F439)</f>
        <v>0</v>
      </c>
      <c r="AA62" s="3404"/>
      <c r="AB62" s="2715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46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407"/>
      <c r="AE62" s="2824"/>
      <c r="AG62" s="2367">
        <f t="shared" si="12"/>
        <v>0</v>
      </c>
      <c r="AH62" s="2367">
        <f t="shared" si="13"/>
        <v>0</v>
      </c>
      <c r="AI62" s="123" t="str">
        <f t="shared" si="1"/>
        <v>무부하 랙</v>
      </c>
      <c r="AJ62" t="str">
        <f t="shared" si="5"/>
        <v/>
      </c>
      <c r="AK62" t="str">
        <f t="shared" si="6"/>
        <v/>
      </c>
      <c r="AP62" s="123"/>
      <c r="AQ62" s="123"/>
      <c r="AR62" s="123"/>
      <c r="AS62" s="3084"/>
      <c r="AT62" s="123"/>
      <c r="AU62" s="123"/>
      <c r="AV62" s="3085"/>
      <c r="AW62" s="3086"/>
      <c r="AX62" s="3087"/>
      <c r="AY62" s="3088"/>
      <c r="AZ62" s="3089"/>
      <c r="BA62" s="3090"/>
      <c r="BB62" s="3091"/>
    </row>
    <row r="63" spans="1:54" ht="15" thickTop="1">
      <c r="A63" s="1085"/>
      <c r="B63" s="828" t="s">
        <v>2097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55">
        <f t="shared" ref="AA63:AA76" si="29">SUM(Y63:Z63)</f>
        <v>0</v>
      </c>
      <c r="AB63" s="2826"/>
      <c r="AC63" s="2827"/>
      <c r="AD63" s="2835">
        <f t="shared" ref="AD63:AD74" si="30">SUM(AB63:AC63)</f>
        <v>0</v>
      </c>
      <c r="AE63" s="2828" t="s">
        <v>1265</v>
      </c>
      <c r="AG63" s="2367">
        <f t="shared" si="12"/>
        <v>0</v>
      </c>
      <c r="AH63" s="2367">
        <f t="shared" si="13"/>
        <v>0</v>
      </c>
      <c r="AI63" s="123" t="str">
        <f t="shared" si="1"/>
        <v>무부하 랙</v>
      </c>
      <c r="AJ63" t="str">
        <f t="shared" si="5"/>
        <v/>
      </c>
      <c r="AK63" t="str">
        <f t="shared" si="6"/>
        <v/>
      </c>
      <c r="AP63" s="123"/>
      <c r="AQ63" s="123"/>
      <c r="AR63" s="123"/>
      <c r="AS63" s="3084"/>
      <c r="AT63" s="123"/>
      <c r="AU63" s="123"/>
      <c r="AV63" s="3085"/>
      <c r="AW63" s="3086"/>
      <c r="AX63" s="3087"/>
      <c r="AY63" s="3088"/>
      <c r="AZ63" s="3089"/>
      <c r="BA63" s="3090"/>
      <c r="BB63" s="3091"/>
    </row>
    <row r="64" spans="1:54">
      <c r="A64" s="1086"/>
      <c r="B64" s="2712" t="s">
        <v>2098</v>
      </c>
      <c r="C64" s="2712"/>
      <c r="D64" s="2712"/>
      <c r="E64" s="2712"/>
      <c r="F64" s="2712"/>
      <c r="G64" s="2708"/>
      <c r="H64" s="2691"/>
      <c r="I64" s="2137"/>
      <c r="J64" s="2138"/>
      <c r="K64" s="1492"/>
      <c r="L64" s="1493"/>
      <c r="M64" s="2708"/>
      <c r="N64" s="1494"/>
      <c r="O64" s="1495"/>
      <c r="P64" s="1496"/>
      <c r="Q64" s="2691"/>
      <c r="R64" s="1497"/>
      <c r="S64" s="832"/>
      <c r="T64" s="833"/>
      <c r="U64" s="832"/>
      <c r="V64" s="833"/>
      <c r="W64" s="832"/>
      <c r="X64" s="833"/>
      <c r="Y64" s="834"/>
      <c r="Z64" s="834"/>
      <c r="AA64" s="2457">
        <f t="shared" si="29"/>
        <v>0</v>
      </c>
      <c r="AB64" s="2717"/>
      <c r="AC64" s="2849"/>
      <c r="AD64" s="2847">
        <f t="shared" si="30"/>
        <v>0</v>
      </c>
      <c r="AE64" s="2848" t="s">
        <v>1265</v>
      </c>
      <c r="AG64" s="2367">
        <f t="shared" si="12"/>
        <v>0</v>
      </c>
      <c r="AH64" s="2367">
        <f t="shared" si="13"/>
        <v>0</v>
      </c>
      <c r="AI64" s="123" t="str">
        <f t="shared" si="1"/>
        <v>무부하 랙</v>
      </c>
      <c r="AJ64" t="str">
        <f t="shared" si="5"/>
        <v/>
      </c>
      <c r="AK64" t="str">
        <f t="shared" si="6"/>
        <v/>
      </c>
      <c r="AP64" s="123"/>
      <c r="AQ64" s="123"/>
      <c r="AR64" s="123"/>
      <c r="AS64" s="3084"/>
      <c r="AT64" s="123"/>
      <c r="AU64" s="123"/>
      <c r="AV64" s="3085"/>
      <c r="AW64" s="3086"/>
      <c r="AX64" s="3087"/>
      <c r="AY64" s="3088"/>
      <c r="AZ64" s="3089"/>
      <c r="BA64" s="3090"/>
      <c r="BB64" s="3091"/>
    </row>
    <row r="65" spans="1:54" ht="40.5" customHeight="1">
      <c r="A65" s="1086"/>
      <c r="B65" s="2712" t="s">
        <v>2099</v>
      </c>
      <c r="C65" s="2712"/>
      <c r="D65" s="2712"/>
      <c r="E65" s="2712" t="s">
        <v>2100</v>
      </c>
      <c r="F65" s="2712" t="s">
        <v>2101</v>
      </c>
      <c r="G65" s="2708" t="s">
        <v>2102</v>
      </c>
      <c r="H65" s="2691" t="s">
        <v>2103</v>
      </c>
      <c r="I65" s="2128" t="str">
        <f t="shared" ref="I65:I71" si="31">"6-DaHall 1-PDU-"&amp;M65&amp;"-"&amp;L65&amp;"-"&amp;N65</f>
        <v>6-DaHall 1-PDU-05-30-7</v>
      </c>
      <c r="J65" s="2129" t="str">
        <f t="shared" ref="J65:J71" si="32">"6-DaHall 1-PDU-"&amp;Q65&amp;"-"&amp;P65&amp;"-"&amp;R65</f>
        <v>6-DaHall 1-PDU-06-30-7</v>
      </c>
      <c r="K65" s="1463">
        <v>220</v>
      </c>
      <c r="L65" s="1464">
        <v>30</v>
      </c>
      <c r="M65" s="2435" t="s">
        <v>6491</v>
      </c>
      <c r="N65" s="1465">
        <v>7</v>
      </c>
      <c r="O65" s="1466">
        <v>220</v>
      </c>
      <c r="P65" s="1467">
        <v>30</v>
      </c>
      <c r="Q65" s="2441" t="s">
        <v>6501</v>
      </c>
      <c r="R65" s="1468">
        <v>7</v>
      </c>
      <c r="S65" s="3342" t="s">
        <v>1876</v>
      </c>
      <c r="T65" s="3339" t="s">
        <v>1877</v>
      </c>
      <c r="U65" s="3342" t="s">
        <v>1878</v>
      </c>
      <c r="V65" s="3339" t="s">
        <v>1879</v>
      </c>
      <c r="W65" s="3342" t="s">
        <v>1276</v>
      </c>
      <c r="X65" s="3339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57">
        <f t="shared" si="29"/>
        <v>0</v>
      </c>
      <c r="AB65" s="2715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46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47">
        <f t="shared" si="30"/>
        <v>0</v>
      </c>
      <c r="AE65" s="2848" t="s">
        <v>1265</v>
      </c>
      <c r="AG65" s="2367">
        <f t="shared" si="12"/>
        <v>0</v>
      </c>
      <c r="AH65" s="2367">
        <f t="shared" si="13"/>
        <v>0</v>
      </c>
      <c r="AI65" s="123" t="str">
        <f t="shared" si="1"/>
        <v>무부하 랙</v>
      </c>
      <c r="AJ65" t="str">
        <f t="shared" si="5"/>
        <v/>
      </c>
      <c r="AK65" t="str">
        <f t="shared" si="6"/>
        <v/>
      </c>
      <c r="AP65" s="123"/>
      <c r="AQ65" s="123"/>
      <c r="AR65" s="123"/>
      <c r="AS65" s="3084"/>
      <c r="AT65" s="123"/>
      <c r="AU65" s="123"/>
      <c r="AV65" s="3085"/>
      <c r="AW65" s="3086"/>
      <c r="AX65" s="3087"/>
      <c r="AY65" s="3088"/>
      <c r="AZ65" s="3089"/>
      <c r="BA65" s="3090"/>
      <c r="BB65" s="3091"/>
    </row>
    <row r="66" spans="1:54" ht="28.8">
      <c r="A66" s="1086"/>
      <c r="B66" s="2712" t="s">
        <v>2104</v>
      </c>
      <c r="C66" s="2712"/>
      <c r="D66" s="2712"/>
      <c r="E66" s="2712" t="s">
        <v>2105</v>
      </c>
      <c r="F66" s="2712" t="s">
        <v>2106</v>
      </c>
      <c r="G66" s="2708" t="s">
        <v>2107</v>
      </c>
      <c r="H66" s="2691" t="s">
        <v>2108</v>
      </c>
      <c r="I66" s="2128" t="str">
        <f t="shared" si="31"/>
        <v>6-DaHall 1-PDU-05-30-9</v>
      </c>
      <c r="J66" s="2129" t="str">
        <f t="shared" si="32"/>
        <v>6-DaHall 1-PDU-06-30-9</v>
      </c>
      <c r="K66" s="1463">
        <v>220</v>
      </c>
      <c r="L66" s="1464">
        <v>30</v>
      </c>
      <c r="M66" s="2435" t="s">
        <v>6491</v>
      </c>
      <c r="N66" s="1465">
        <v>9</v>
      </c>
      <c r="O66" s="1466">
        <v>220</v>
      </c>
      <c r="P66" s="1467">
        <v>30</v>
      </c>
      <c r="Q66" s="2441" t="s">
        <v>6501</v>
      </c>
      <c r="R66" s="1468">
        <v>9</v>
      </c>
      <c r="S66" s="3343"/>
      <c r="T66" s="3340"/>
      <c r="U66" s="3343"/>
      <c r="V66" s="3340"/>
      <c r="W66" s="3343"/>
      <c r="X66" s="3340"/>
      <c r="Y66" s="834">
        <f>SUM('6층_부하량(월간_AVG)'!D326:F326)</f>
        <v>0</v>
      </c>
      <c r="Z66" s="834">
        <f>SUM('6층_부하량(월간_AVG)'!D358:F358)</f>
        <v>0</v>
      </c>
      <c r="AA66" s="2457">
        <f t="shared" si="29"/>
        <v>0</v>
      </c>
      <c r="AB66" s="2715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46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47">
        <f t="shared" si="30"/>
        <v>0</v>
      </c>
      <c r="AE66" s="2848" t="s">
        <v>1265</v>
      </c>
      <c r="AG66" s="2367">
        <f t="shared" si="12"/>
        <v>0</v>
      </c>
      <c r="AH66" s="2367">
        <f t="shared" si="13"/>
        <v>0</v>
      </c>
      <c r="AI66" s="123" t="str">
        <f t="shared" si="1"/>
        <v>무부하 랙</v>
      </c>
      <c r="AJ66" t="str">
        <f t="shared" si="5"/>
        <v/>
      </c>
      <c r="AK66" t="str">
        <f t="shared" si="6"/>
        <v/>
      </c>
      <c r="AP66" s="123"/>
      <c r="AQ66" s="123"/>
      <c r="AR66" s="123"/>
      <c r="AS66" s="3084"/>
      <c r="AT66" s="123"/>
      <c r="AU66" s="123"/>
      <c r="AV66" s="3085"/>
      <c r="AW66" s="3086"/>
      <c r="AX66" s="3087"/>
      <c r="AY66" s="3088"/>
      <c r="AZ66" s="3089"/>
      <c r="BA66" s="3090"/>
      <c r="BB66" s="3091"/>
    </row>
    <row r="67" spans="1:54" ht="43.2">
      <c r="A67" s="2652" t="s">
        <v>2109</v>
      </c>
      <c r="B67" s="2653" t="s">
        <v>2110</v>
      </c>
      <c r="C67" s="2664" t="s">
        <v>2111</v>
      </c>
      <c r="D67" s="3053">
        <v>1.1000000000000001</v>
      </c>
      <c r="E67" s="250" t="s">
        <v>2112</v>
      </c>
      <c r="F67" s="250" t="s">
        <v>2113</v>
      </c>
      <c r="G67" s="2641" t="s">
        <v>2114</v>
      </c>
      <c r="H67" s="2636" t="s">
        <v>2115</v>
      </c>
      <c r="I67" s="2128" t="str">
        <f t="shared" si="31"/>
        <v>6-DaHall 1-PDU-05-30-11</v>
      </c>
      <c r="J67" s="2129" t="str">
        <f t="shared" si="32"/>
        <v>6-DaHall 1-PDU-06-30-11</v>
      </c>
      <c r="K67" s="1463">
        <v>220</v>
      </c>
      <c r="L67" s="1464">
        <v>30</v>
      </c>
      <c r="M67" s="2435" t="s">
        <v>6491</v>
      </c>
      <c r="N67" s="1465">
        <v>11</v>
      </c>
      <c r="O67" s="1466">
        <v>220</v>
      </c>
      <c r="P67" s="1467">
        <v>30</v>
      </c>
      <c r="Q67" s="2441" t="s">
        <v>6501</v>
      </c>
      <c r="R67" s="1468">
        <v>11</v>
      </c>
      <c r="S67" s="3343"/>
      <c r="T67" s="3340"/>
      <c r="U67" s="3343"/>
      <c r="V67" s="3340"/>
      <c r="W67" s="3343"/>
      <c r="X67" s="3340"/>
      <c r="Y67" s="253">
        <f>SUM('6층_부하량(월간_AVG)'!D327:F327)</f>
        <v>1.7388186341179437</v>
      </c>
      <c r="Z67" s="253">
        <f>SUM('6층_부하량(월간_AVG)'!D359:F359)</f>
        <v>1.9097157359195187</v>
      </c>
      <c r="AA67" s="2452">
        <f t="shared" si="29"/>
        <v>3.6485343700374626</v>
      </c>
      <c r="AB67" s="2715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164</v>
      </c>
      <c r="AC67" s="2846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194.6</v>
      </c>
      <c r="AD67" s="2829">
        <f t="shared" si="30"/>
        <v>358.6</v>
      </c>
      <c r="AE67" s="2821"/>
      <c r="AG67" s="2367">
        <f t="shared" si="12"/>
        <v>0.48198924731182796</v>
      </c>
      <c r="AH67" s="2367">
        <f t="shared" si="13"/>
        <v>0.61801075268817218</v>
      </c>
      <c r="AI67" s="123" t="str">
        <f t="shared" si="1"/>
        <v>적정함</v>
      </c>
      <c r="AJ67" t="str">
        <f t="shared" si="5"/>
        <v/>
      </c>
      <c r="AK67" t="str">
        <f t="shared" si="6"/>
        <v/>
      </c>
      <c r="AP67" s="123"/>
      <c r="AQ67" s="123"/>
      <c r="AR67" s="123"/>
      <c r="AS67" s="3084"/>
      <c r="AT67" s="123"/>
      <c r="AU67" s="123"/>
      <c r="AV67" s="3085"/>
      <c r="AW67" s="3086"/>
      <c r="AX67" s="3087"/>
      <c r="AY67" s="3088"/>
      <c r="AZ67" s="3089"/>
      <c r="BA67" s="3090"/>
      <c r="BB67" s="3091"/>
    </row>
    <row r="68" spans="1:54" ht="43.2">
      <c r="A68" s="2652" t="s">
        <v>2116</v>
      </c>
      <c r="B68" s="2653" t="s">
        <v>2117</v>
      </c>
      <c r="C68" s="2664" t="s">
        <v>2111</v>
      </c>
      <c r="D68" s="3053">
        <v>2.2000000000000002</v>
      </c>
      <c r="E68" s="250" t="s">
        <v>2118</v>
      </c>
      <c r="F68" s="250" t="s">
        <v>2119</v>
      </c>
      <c r="G68" s="2641" t="s">
        <v>2120</v>
      </c>
      <c r="H68" s="2636" t="s">
        <v>2121</v>
      </c>
      <c r="I68" s="2128" t="str">
        <f t="shared" si="31"/>
        <v>6-DaHall 1-PDU-05-30-13</v>
      </c>
      <c r="J68" s="2129" t="str">
        <f t="shared" si="32"/>
        <v>6-DaHall 1-PDU-06-30-13</v>
      </c>
      <c r="K68" s="1463">
        <v>220</v>
      </c>
      <c r="L68" s="1464">
        <v>30</v>
      </c>
      <c r="M68" s="2435" t="s">
        <v>6491</v>
      </c>
      <c r="N68" s="1465">
        <v>13</v>
      </c>
      <c r="O68" s="1466">
        <v>220</v>
      </c>
      <c r="P68" s="1467">
        <v>30</v>
      </c>
      <c r="Q68" s="2441" t="s">
        <v>6501</v>
      </c>
      <c r="R68" s="1468">
        <v>13</v>
      </c>
      <c r="S68" s="3343"/>
      <c r="T68" s="3340"/>
      <c r="U68" s="3343"/>
      <c r="V68" s="3340"/>
      <c r="W68" s="3343"/>
      <c r="X68" s="3340"/>
      <c r="Y68" s="253">
        <f>SUM('6층_부하량(월간_AVG)'!D328:F328)</f>
        <v>2.0229384878133119</v>
      </c>
      <c r="Z68" s="253">
        <f>SUM('6층_부하량(월간_AVG)'!D360:F360)</f>
        <v>3.5317106621801853</v>
      </c>
      <c r="AA68" s="2452">
        <f t="shared" si="29"/>
        <v>5.5546491499934971</v>
      </c>
      <c r="AB68" s="2715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213.7</v>
      </c>
      <c r="AC68" s="2846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437</v>
      </c>
      <c r="AD68" s="2829">
        <f t="shared" si="30"/>
        <v>650.70000000000005</v>
      </c>
      <c r="AE68" s="2821"/>
      <c r="AG68" s="2367">
        <f t="shared" si="12"/>
        <v>0.87459677419354842</v>
      </c>
      <c r="AH68" s="2367">
        <f t="shared" si="13"/>
        <v>1.3254032258064519</v>
      </c>
      <c r="AI68" s="123" t="str">
        <f t="shared" si="1"/>
        <v>적정함</v>
      </c>
      <c r="AJ68" t="str">
        <f t="shared" si="5"/>
        <v/>
      </c>
      <c r="AK68" t="str">
        <f t="shared" si="6"/>
        <v/>
      </c>
      <c r="AP68" s="123"/>
      <c r="AQ68" s="123"/>
      <c r="AR68" s="123"/>
      <c r="AS68" s="3084"/>
      <c r="AT68" s="123"/>
      <c r="AU68" s="123"/>
      <c r="AV68" s="3085"/>
      <c r="AW68" s="3086"/>
      <c r="AX68" s="3087"/>
      <c r="AY68" s="3088"/>
      <c r="AZ68" s="3089"/>
      <c r="BA68" s="3090"/>
      <c r="BB68" s="3091"/>
    </row>
    <row r="69" spans="1:54" ht="43.2">
      <c r="A69" s="2652" t="s">
        <v>2122</v>
      </c>
      <c r="B69" s="2653" t="s">
        <v>2123</v>
      </c>
      <c r="C69" s="2664" t="s">
        <v>2111</v>
      </c>
      <c r="D69" s="3053">
        <v>2.2000000000000002</v>
      </c>
      <c r="E69" s="250" t="s">
        <v>2124</v>
      </c>
      <c r="F69" s="250" t="s">
        <v>2125</v>
      </c>
      <c r="G69" s="2641" t="s">
        <v>2126</v>
      </c>
      <c r="H69" s="2636" t="s">
        <v>2127</v>
      </c>
      <c r="I69" s="2128" t="str">
        <f t="shared" si="31"/>
        <v>6-DaHall 1-PDU-05-30-15</v>
      </c>
      <c r="J69" s="2129" t="str">
        <f t="shared" si="32"/>
        <v>6-DaHall 1-PDU-06-30-15</v>
      </c>
      <c r="K69" s="1463">
        <v>220</v>
      </c>
      <c r="L69" s="1464">
        <v>30</v>
      </c>
      <c r="M69" s="2435" t="s">
        <v>6491</v>
      </c>
      <c r="N69" s="1465">
        <v>15</v>
      </c>
      <c r="O69" s="1466">
        <v>220</v>
      </c>
      <c r="P69" s="1467">
        <v>30</v>
      </c>
      <c r="Q69" s="2441" t="s">
        <v>6501</v>
      </c>
      <c r="R69" s="1468">
        <v>15</v>
      </c>
      <c r="S69" s="3343"/>
      <c r="T69" s="3340"/>
      <c r="U69" s="3343"/>
      <c r="V69" s="3340"/>
      <c r="W69" s="3343"/>
      <c r="X69" s="3340"/>
      <c r="Y69" s="253">
        <f>SUM('6층_부하량(월간_AVG)'!D329:F329)</f>
        <v>3.6935591522599558</v>
      </c>
      <c r="Z69" s="253">
        <f>SUM('6층_부하량(월간_AVG)'!D361:F361)</f>
        <v>3.1856900766249097</v>
      </c>
      <c r="AA69" s="2452">
        <f t="shared" si="29"/>
        <v>6.8792492288848655</v>
      </c>
      <c r="AB69" s="2715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500.6</v>
      </c>
      <c r="AC69" s="2846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447.9</v>
      </c>
      <c r="AD69" s="2829">
        <f t="shared" si="30"/>
        <v>948.5</v>
      </c>
      <c r="AE69" s="2821"/>
      <c r="AG69" s="2367">
        <f t="shared" si="12"/>
        <v>1.2748655913978495</v>
      </c>
      <c r="AH69" s="2367">
        <f t="shared" si="13"/>
        <v>0.92513440860215068</v>
      </c>
      <c r="AI69" s="123" t="str">
        <f t="shared" ref="AI69:AI132" si="33">IF(SIGN(AH69)&gt;=0,IF(AD69=0,"무부하 랙","적정함"),"사용초과")</f>
        <v>적정함</v>
      </c>
      <c r="AJ69" t="str">
        <f t="shared" si="5"/>
        <v/>
      </c>
      <c r="AK69" t="str">
        <f t="shared" si="6"/>
        <v/>
      </c>
      <c r="AP69" s="123"/>
      <c r="AQ69" s="123"/>
      <c r="AR69" s="123"/>
      <c r="AS69" s="3084"/>
      <c r="AT69" s="123"/>
      <c r="AU69" s="123"/>
      <c r="AV69" s="3085"/>
      <c r="AW69" s="3086"/>
      <c r="AX69" s="3087"/>
      <c r="AY69" s="3088"/>
      <c r="AZ69" s="3089"/>
      <c r="BA69" s="3090"/>
      <c r="BB69" s="3091"/>
    </row>
    <row r="70" spans="1:54" ht="43.2">
      <c r="A70" s="2652" t="s">
        <v>2128</v>
      </c>
      <c r="B70" s="2653" t="s">
        <v>2129</v>
      </c>
      <c r="C70" s="2664" t="s">
        <v>2111</v>
      </c>
      <c r="D70" s="3053">
        <v>1.1000000000000001</v>
      </c>
      <c r="E70" s="250" t="s">
        <v>2130</v>
      </c>
      <c r="F70" s="250" t="s">
        <v>2131</v>
      </c>
      <c r="G70" s="2641" t="s">
        <v>2132</v>
      </c>
      <c r="H70" s="2636" t="s">
        <v>2133</v>
      </c>
      <c r="I70" s="2128" t="str">
        <f t="shared" si="31"/>
        <v>6-DaHall 1-PDU-05-30-17</v>
      </c>
      <c r="J70" s="2129" t="str">
        <f t="shared" si="32"/>
        <v>6-DaHall 1-PDU-06-30-17</v>
      </c>
      <c r="K70" s="1463">
        <v>220</v>
      </c>
      <c r="L70" s="1464">
        <v>30</v>
      </c>
      <c r="M70" s="2435" t="s">
        <v>6491</v>
      </c>
      <c r="N70" s="1465">
        <v>17</v>
      </c>
      <c r="O70" s="1466">
        <v>220</v>
      </c>
      <c r="P70" s="1467">
        <v>30</v>
      </c>
      <c r="Q70" s="2441" t="s">
        <v>6501</v>
      </c>
      <c r="R70" s="1468">
        <v>17</v>
      </c>
      <c r="S70" s="3343"/>
      <c r="T70" s="3340"/>
      <c r="U70" s="3343"/>
      <c r="V70" s="3340"/>
      <c r="W70" s="3343"/>
      <c r="X70" s="3340"/>
      <c r="Y70" s="253">
        <f>SUM('6층_부하량(월간_AVG)'!D330:F330)</f>
        <v>0.95769201985736296</v>
      </c>
      <c r="Z70" s="253">
        <f>SUM('6층_부하량(월간_AVG)'!D362:F362)</f>
        <v>0.91135109241700862</v>
      </c>
      <c r="AA70" s="2452">
        <f t="shared" si="29"/>
        <v>1.8690431122743716</v>
      </c>
      <c r="AB70" s="2715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127.3</v>
      </c>
      <c r="AC70" s="2846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120.5</v>
      </c>
      <c r="AD70" s="2829">
        <f t="shared" si="30"/>
        <v>247.8</v>
      </c>
      <c r="AE70" s="2821"/>
      <c r="AG70" s="2367">
        <f t="shared" si="12"/>
        <v>0.33306451612903226</v>
      </c>
      <c r="AH70" s="2367">
        <f t="shared" si="13"/>
        <v>0.76693548387096788</v>
      </c>
      <c r="AI70" s="123" t="str">
        <f t="shared" si="33"/>
        <v>적정함</v>
      </c>
      <c r="AJ70" t="str">
        <f t="shared" ref="AJ70:AJ133" si="34">IF(AI70="사용초과",C70,"")</f>
        <v/>
      </c>
      <c r="AK70" t="str">
        <f t="shared" ref="AK70:AK133" si="35">IF(AJ70="","",A70)</f>
        <v/>
      </c>
      <c r="AP70" s="123"/>
      <c r="AQ70" s="123"/>
      <c r="AR70" s="123"/>
      <c r="AS70" s="3084"/>
      <c r="AT70" s="123"/>
      <c r="AU70" s="123"/>
      <c r="AV70" s="3085"/>
      <c r="AW70" s="3086"/>
      <c r="AX70" s="3087"/>
      <c r="AY70" s="3088"/>
      <c r="AZ70" s="3089"/>
      <c r="BA70" s="3090"/>
      <c r="BB70" s="3091"/>
    </row>
    <row r="71" spans="1:54" ht="33" thickBot="1">
      <c r="A71" s="2660" t="s">
        <v>2134</v>
      </c>
      <c r="B71" s="2661"/>
      <c r="C71" s="3153" t="s">
        <v>9300</v>
      </c>
      <c r="D71" s="2688"/>
      <c r="E71" s="2661" t="s">
        <v>2135</v>
      </c>
      <c r="F71" s="2661" t="s">
        <v>2136</v>
      </c>
      <c r="G71" s="2643" t="s">
        <v>2137</v>
      </c>
      <c r="H71" s="2637" t="s">
        <v>2138</v>
      </c>
      <c r="I71" s="2130" t="str">
        <f t="shared" si="31"/>
        <v>6-DaHall 1-PDU-05-30-19</v>
      </c>
      <c r="J71" s="2131" t="str">
        <f t="shared" si="32"/>
        <v>6-DaHall 1-PDU-06-30-19</v>
      </c>
      <c r="K71" s="1471">
        <v>220</v>
      </c>
      <c r="L71" s="1472">
        <v>30</v>
      </c>
      <c r="M71" s="2438" t="s">
        <v>6491</v>
      </c>
      <c r="N71" s="1473">
        <v>19</v>
      </c>
      <c r="O71" s="1474">
        <v>220</v>
      </c>
      <c r="P71" s="1475">
        <v>30</v>
      </c>
      <c r="Q71" s="2444" t="s">
        <v>6501</v>
      </c>
      <c r="R71" s="1476">
        <v>19</v>
      </c>
      <c r="S71" s="3344"/>
      <c r="T71" s="3341"/>
      <c r="U71" s="3344"/>
      <c r="V71" s="3341"/>
      <c r="W71" s="3344"/>
      <c r="X71" s="3341"/>
      <c r="Y71" s="329">
        <f>SUM('6층_부하량(월간_AVG)'!D331:F331)</f>
        <v>0</v>
      </c>
      <c r="Z71" s="329">
        <f>SUM('6층_부하량(월간_AVG)'!D363:F363)</f>
        <v>0</v>
      </c>
      <c r="AA71" s="2453">
        <f t="shared" si="29"/>
        <v>0</v>
      </c>
      <c r="AB71" s="2715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46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34">
        <f t="shared" si="30"/>
        <v>0</v>
      </c>
      <c r="AE71" s="2823"/>
      <c r="AG71" s="2367">
        <f t="shared" si="12"/>
        <v>0</v>
      </c>
      <c r="AH71" s="2367">
        <f t="shared" si="13"/>
        <v>0</v>
      </c>
      <c r="AI71" s="123" t="str">
        <f t="shared" si="33"/>
        <v>무부하 랙</v>
      </c>
      <c r="AJ71" t="str">
        <f t="shared" si="34"/>
        <v/>
      </c>
      <c r="AK71" t="str">
        <f t="shared" si="35"/>
        <v/>
      </c>
      <c r="AP71" s="123"/>
      <c r="AQ71" s="123"/>
      <c r="AR71" s="123"/>
      <c r="AS71" s="3084"/>
      <c r="AT71" s="123"/>
      <c r="AU71" s="123"/>
      <c r="AV71" s="3085"/>
      <c r="AW71" s="3086"/>
      <c r="AX71" s="3087"/>
      <c r="AY71" s="3088"/>
      <c r="AZ71" s="3089"/>
      <c r="BA71" s="3090"/>
      <c r="BB71" s="3091"/>
    </row>
    <row r="72" spans="1:54" ht="15" thickTop="1">
      <c r="A72" s="1085"/>
      <c r="B72" s="828" t="s">
        <v>2139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55">
        <f t="shared" si="29"/>
        <v>0</v>
      </c>
      <c r="AB72" s="2826"/>
      <c r="AC72" s="2827"/>
      <c r="AD72" s="2835">
        <f t="shared" si="30"/>
        <v>0</v>
      </c>
      <c r="AE72" s="2828" t="s">
        <v>1265</v>
      </c>
      <c r="AG72" s="2367">
        <f t="shared" si="12"/>
        <v>0</v>
      </c>
      <c r="AH72" s="2367">
        <f t="shared" si="13"/>
        <v>0</v>
      </c>
      <c r="AI72" s="123" t="str">
        <f t="shared" si="33"/>
        <v>무부하 랙</v>
      </c>
      <c r="AJ72" t="str">
        <f t="shared" si="34"/>
        <v/>
      </c>
      <c r="AK72" t="str">
        <f t="shared" si="35"/>
        <v/>
      </c>
      <c r="AP72" s="123"/>
      <c r="AQ72" s="123"/>
      <c r="AR72" s="123"/>
      <c r="AS72" s="3084"/>
      <c r="AT72" s="123"/>
      <c r="AU72" s="123"/>
      <c r="AV72" s="3085"/>
      <c r="AW72" s="3086"/>
      <c r="AX72" s="3087"/>
      <c r="AY72" s="3088"/>
      <c r="AZ72" s="3089"/>
      <c r="BA72" s="3090"/>
      <c r="BB72" s="3091"/>
    </row>
    <row r="73" spans="1:54">
      <c r="A73" s="1086"/>
      <c r="B73" s="2712" t="s">
        <v>2140</v>
      </c>
      <c r="C73" s="886"/>
      <c r="D73" s="886"/>
      <c r="E73" s="2712"/>
      <c r="F73" s="2712"/>
      <c r="G73" s="2708"/>
      <c r="H73" s="2691"/>
      <c r="I73" s="2137"/>
      <c r="J73" s="2138"/>
      <c r="K73" s="1492"/>
      <c r="L73" s="1493"/>
      <c r="M73" s="2708"/>
      <c r="N73" s="1494"/>
      <c r="O73" s="1495"/>
      <c r="P73" s="1496"/>
      <c r="Q73" s="2691"/>
      <c r="R73" s="1497"/>
      <c r="S73" s="832"/>
      <c r="T73" s="833"/>
      <c r="U73" s="832"/>
      <c r="V73" s="833"/>
      <c r="W73" s="832"/>
      <c r="X73" s="833"/>
      <c r="Y73" s="834"/>
      <c r="Z73" s="834"/>
      <c r="AA73" s="2457">
        <f t="shared" si="29"/>
        <v>0</v>
      </c>
      <c r="AB73" s="2717"/>
      <c r="AC73" s="2849"/>
      <c r="AD73" s="2847">
        <f t="shared" si="30"/>
        <v>0</v>
      </c>
      <c r="AE73" s="2848" t="s">
        <v>1265</v>
      </c>
      <c r="AG73" s="2367">
        <f t="shared" si="12"/>
        <v>0</v>
      </c>
      <c r="AH73" s="2367">
        <f t="shared" si="13"/>
        <v>0</v>
      </c>
      <c r="AI73" s="123" t="str">
        <f t="shared" si="33"/>
        <v>무부하 랙</v>
      </c>
      <c r="AJ73" t="str">
        <f t="shared" si="34"/>
        <v/>
      </c>
      <c r="AK73" t="str">
        <f t="shared" si="35"/>
        <v/>
      </c>
      <c r="AP73" s="123"/>
      <c r="AQ73" s="123"/>
      <c r="AR73" s="123"/>
      <c r="AS73" s="3084"/>
      <c r="AT73" s="123"/>
      <c r="AU73" s="123"/>
      <c r="AV73" s="3085"/>
      <c r="AW73" s="3086"/>
      <c r="AX73" s="3087"/>
      <c r="AY73" s="3088"/>
      <c r="AZ73" s="3089"/>
      <c r="BA73" s="3090"/>
      <c r="BB73" s="3091"/>
    </row>
    <row r="74" spans="1:54" ht="28.8">
      <c r="A74" s="1086"/>
      <c r="B74" s="2712" t="s">
        <v>2141</v>
      </c>
      <c r="C74" s="886"/>
      <c r="D74" s="886"/>
      <c r="E74" s="2712" t="s">
        <v>2142</v>
      </c>
      <c r="F74" s="2712" t="s">
        <v>2143</v>
      </c>
      <c r="G74" s="2708" t="s">
        <v>2144</v>
      </c>
      <c r="H74" s="2691" t="s">
        <v>2145</v>
      </c>
      <c r="I74" s="2128"/>
      <c r="J74" s="2129"/>
      <c r="K74" s="1463"/>
      <c r="L74" s="1464"/>
      <c r="M74" s="2435"/>
      <c r="N74" s="1465"/>
      <c r="O74" s="1466"/>
      <c r="P74" s="1467"/>
      <c r="Q74" s="2441"/>
      <c r="R74" s="1468"/>
      <c r="S74" s="3342" t="s">
        <v>1876</v>
      </c>
      <c r="T74" s="3339" t="s">
        <v>1877</v>
      </c>
      <c r="U74" s="3342" t="s">
        <v>1878</v>
      </c>
      <c r="V74" s="3339" t="s">
        <v>1879</v>
      </c>
      <c r="W74" s="3342" t="s">
        <v>1276</v>
      </c>
      <c r="X74" s="3339" t="s">
        <v>1277</v>
      </c>
      <c r="Y74" s="834"/>
      <c r="Z74" s="834"/>
      <c r="AA74" s="2457">
        <f t="shared" si="29"/>
        <v>0</v>
      </c>
      <c r="AB74" s="2715"/>
      <c r="AC74" s="2846"/>
      <c r="AD74" s="2847">
        <f t="shared" si="30"/>
        <v>0</v>
      </c>
      <c r="AE74" s="2848" t="s">
        <v>1265</v>
      </c>
      <c r="AG74" s="2367">
        <f t="shared" si="12"/>
        <v>0</v>
      </c>
      <c r="AH74" s="2367">
        <f t="shared" si="13"/>
        <v>0</v>
      </c>
      <c r="AI74" s="123" t="str">
        <f t="shared" si="33"/>
        <v>무부하 랙</v>
      </c>
      <c r="AJ74" t="str">
        <f t="shared" si="34"/>
        <v/>
      </c>
      <c r="AK74" t="str">
        <f t="shared" si="35"/>
        <v/>
      </c>
      <c r="AP74" s="123"/>
      <c r="AQ74" s="123"/>
      <c r="AR74" s="123"/>
      <c r="AS74" s="3084"/>
      <c r="AT74" s="123"/>
      <c r="AU74" s="123"/>
      <c r="AV74" s="3085"/>
      <c r="AW74" s="3086"/>
      <c r="AX74" s="3087"/>
      <c r="AY74" s="3088"/>
      <c r="AZ74" s="3089"/>
      <c r="BA74" s="3090"/>
      <c r="BB74" s="3091"/>
    </row>
    <row r="75" spans="1:54" ht="27" customHeight="1">
      <c r="A75" s="3330" t="s">
        <v>2146</v>
      </c>
      <c r="B75" s="2653" t="s">
        <v>2147</v>
      </c>
      <c r="C75" s="3347" t="s">
        <v>2148</v>
      </c>
      <c r="D75" s="3324">
        <v>12</v>
      </c>
      <c r="E75" s="250" t="s">
        <v>2149</v>
      </c>
      <c r="F75" s="250" t="s">
        <v>2150</v>
      </c>
      <c r="G75" s="2641" t="s">
        <v>2151</v>
      </c>
      <c r="H75" s="2037" t="s">
        <v>2152</v>
      </c>
      <c r="I75" s="2128" t="str">
        <f t="shared" ref="I75:I81" si="36">"6-DaHall 1-PDU-"&amp;M75&amp;"-"&amp;L75&amp;"-"&amp;N75</f>
        <v>6-DaHall 1-PDU-05-30-25</v>
      </c>
      <c r="J75" s="2129" t="str">
        <f t="shared" ref="J75:J81" si="37">"6-DaHall 1-PDU-"&amp;Q75&amp;"-"&amp;P75&amp;"-"&amp;R75</f>
        <v>6-DaHall 1-PDU-06-30-25</v>
      </c>
      <c r="K75" s="1463">
        <v>220</v>
      </c>
      <c r="L75" s="1464">
        <v>30</v>
      </c>
      <c r="M75" s="2435" t="s">
        <v>6491</v>
      </c>
      <c r="N75" s="1465">
        <v>25</v>
      </c>
      <c r="O75" s="1466">
        <v>220</v>
      </c>
      <c r="P75" s="1467">
        <v>30</v>
      </c>
      <c r="Q75" s="2441" t="s">
        <v>6501</v>
      </c>
      <c r="R75" s="1468">
        <v>25</v>
      </c>
      <c r="S75" s="3343"/>
      <c r="T75" s="3340"/>
      <c r="U75" s="3343"/>
      <c r="V75" s="3340"/>
      <c r="W75" s="3343"/>
      <c r="X75" s="3340"/>
      <c r="Y75" s="253">
        <f>SUM('6층_부하량(월간_AVG)'!D334:F334)</f>
        <v>3.7953206579113719</v>
      </c>
      <c r="Z75" s="253">
        <f>SUM('6층_부하량(월간_AVG)'!D366:F366)</f>
        <v>4.4946955289472559</v>
      </c>
      <c r="AA75" s="2452">
        <f t="shared" si="29"/>
        <v>8.2900161868586277</v>
      </c>
      <c r="AB75" s="2715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593.1</v>
      </c>
      <c r="AC75" s="2846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705.2</v>
      </c>
      <c r="AD75" s="3405">
        <f>SUM(AB75:AC76)</f>
        <v>2218.8000000000002</v>
      </c>
      <c r="AE75" s="2475"/>
      <c r="AG75" s="2367">
        <f t="shared" si="12"/>
        <v>2.9822580645161292</v>
      </c>
      <c r="AH75" s="2367">
        <f t="shared" si="13"/>
        <v>9.0177419354838708</v>
      </c>
      <c r="AI75" s="123" t="str">
        <f t="shared" si="33"/>
        <v>적정함</v>
      </c>
      <c r="AJ75" t="str">
        <f t="shared" si="34"/>
        <v/>
      </c>
      <c r="AK75" t="str">
        <f t="shared" si="35"/>
        <v/>
      </c>
      <c r="AP75" s="123"/>
      <c r="AQ75" s="123"/>
      <c r="AR75" s="123"/>
      <c r="AS75" s="3084"/>
      <c r="AT75" s="123"/>
      <c r="AU75" s="123"/>
      <c r="AV75" s="3085"/>
      <c r="AW75" s="3086"/>
      <c r="AX75" s="3087"/>
      <c r="AY75" s="3088"/>
      <c r="AZ75" s="3089"/>
      <c r="BA75" s="3090"/>
      <c r="BB75" s="3091"/>
    </row>
    <row r="76" spans="1:54" ht="27" customHeight="1">
      <c r="A76" s="3332"/>
      <c r="B76" s="2653" t="s">
        <v>2153</v>
      </c>
      <c r="C76" s="3347"/>
      <c r="D76" s="3324"/>
      <c r="E76" s="250" t="s">
        <v>2154</v>
      </c>
      <c r="F76" s="250" t="s">
        <v>2155</v>
      </c>
      <c r="G76" s="2641" t="s">
        <v>2156</v>
      </c>
      <c r="H76" s="2037" t="s">
        <v>2157</v>
      </c>
      <c r="I76" s="2128" t="str">
        <f t="shared" si="36"/>
        <v>6-DaHall 1-PDU-05-30-27</v>
      </c>
      <c r="J76" s="2129" t="str">
        <f t="shared" si="37"/>
        <v>6-DaHall 1-PDU-06-30-27</v>
      </c>
      <c r="K76" s="1463">
        <v>220</v>
      </c>
      <c r="L76" s="1464">
        <v>30</v>
      </c>
      <c r="M76" s="2435" t="s">
        <v>6491</v>
      </c>
      <c r="N76" s="1465">
        <v>27</v>
      </c>
      <c r="O76" s="1466">
        <v>220</v>
      </c>
      <c r="P76" s="1467">
        <v>30</v>
      </c>
      <c r="Q76" s="2441" t="s">
        <v>6501</v>
      </c>
      <c r="R76" s="1468">
        <v>27</v>
      </c>
      <c r="S76" s="3343"/>
      <c r="T76" s="3340"/>
      <c r="U76" s="3343"/>
      <c r="V76" s="3340"/>
      <c r="W76" s="3343"/>
      <c r="X76" s="3340"/>
      <c r="Y76" s="253">
        <f>SUM('6층_부하량(월간_AVG)'!D335:F335)</f>
        <v>3.4970415168697202</v>
      </c>
      <c r="Z76" s="253">
        <f>SUM('6층_부하량(월간_AVG)'!D367:F367)</f>
        <v>2.3292844130947259</v>
      </c>
      <c r="AA76" s="2452">
        <f t="shared" si="29"/>
        <v>5.8263259299644456</v>
      </c>
      <c r="AB76" s="2715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553.70000000000005</v>
      </c>
      <c r="AC76" s="2846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366.8</v>
      </c>
      <c r="AD76" s="3407"/>
      <c r="AE76" s="2821"/>
      <c r="AG76" s="2367">
        <f t="shared" si="12"/>
        <v>0</v>
      </c>
      <c r="AH76" s="2367">
        <f t="shared" si="13"/>
        <v>0</v>
      </c>
      <c r="AI76" s="123" t="str">
        <f t="shared" si="33"/>
        <v>무부하 랙</v>
      </c>
      <c r="AJ76" t="str">
        <f t="shared" si="34"/>
        <v/>
      </c>
      <c r="AK76" t="str">
        <f t="shared" si="35"/>
        <v/>
      </c>
      <c r="AP76" s="123"/>
      <c r="AQ76" s="123"/>
      <c r="AR76" s="123"/>
      <c r="AS76" s="3084"/>
      <c r="AT76" s="123"/>
      <c r="AU76" s="123"/>
      <c r="AV76" s="3085"/>
      <c r="AW76" s="3086"/>
      <c r="AX76" s="3087"/>
      <c r="AY76" s="3088"/>
      <c r="AZ76" s="3089"/>
      <c r="BA76" s="3090"/>
      <c r="BB76" s="3091"/>
    </row>
    <row r="77" spans="1:54" ht="28.8">
      <c r="A77" s="3330" t="s">
        <v>2158</v>
      </c>
      <c r="B77" s="3348" t="s">
        <v>2159</v>
      </c>
      <c r="C77" s="3347" t="s">
        <v>2148</v>
      </c>
      <c r="D77" s="3329">
        <v>12</v>
      </c>
      <c r="E77" s="250" t="s">
        <v>2160</v>
      </c>
      <c r="F77" s="250" t="s">
        <v>2161</v>
      </c>
      <c r="G77" s="2641" t="s">
        <v>2162</v>
      </c>
      <c r="H77" s="2636" t="s">
        <v>2163</v>
      </c>
      <c r="I77" s="2128" t="str">
        <f t="shared" si="36"/>
        <v>6-DaHall 1-PDU-05-30-29</v>
      </c>
      <c r="J77" s="2129" t="str">
        <f t="shared" si="37"/>
        <v>6-DaHall 1-PDU-06-30-29</v>
      </c>
      <c r="K77" s="1463">
        <v>220</v>
      </c>
      <c r="L77" s="1464">
        <v>30</v>
      </c>
      <c r="M77" s="2435" t="s">
        <v>6491</v>
      </c>
      <c r="N77" s="1465">
        <v>29</v>
      </c>
      <c r="O77" s="1466">
        <v>220</v>
      </c>
      <c r="P77" s="1467">
        <v>30</v>
      </c>
      <c r="Q77" s="2441" t="s">
        <v>6501</v>
      </c>
      <c r="R77" s="1468">
        <v>29</v>
      </c>
      <c r="S77" s="3343"/>
      <c r="T77" s="3340"/>
      <c r="U77" s="3343"/>
      <c r="V77" s="3340"/>
      <c r="W77" s="3343"/>
      <c r="X77" s="3340"/>
      <c r="Y77" s="253">
        <f>SUM('6층_부하량(월간_AVG)'!D336:F336)</f>
        <v>0</v>
      </c>
      <c r="Z77" s="253">
        <f>SUM('6층_부하량(월간_AVG)'!D368:F368)</f>
        <v>0</v>
      </c>
      <c r="AA77" s="3396">
        <f>SUM(Y77:Z78)</f>
        <v>0</v>
      </c>
      <c r="AB77" s="2715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46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405">
        <f>SUM(AB77:AC78)</f>
        <v>0</v>
      </c>
      <c r="AE77" s="2821"/>
      <c r="AG77" s="2367">
        <f t="shared" si="12"/>
        <v>0</v>
      </c>
      <c r="AH77" s="2367">
        <f t="shared" si="13"/>
        <v>12</v>
      </c>
      <c r="AI77" s="123" t="str">
        <f t="shared" si="33"/>
        <v>무부하 랙</v>
      </c>
      <c r="AJ77" t="str">
        <f t="shared" si="34"/>
        <v/>
      </c>
      <c r="AK77" t="str">
        <f t="shared" si="35"/>
        <v/>
      </c>
      <c r="AP77" s="123"/>
      <c r="AQ77" s="123"/>
      <c r="AR77" s="123"/>
      <c r="AS77" s="3084"/>
      <c r="AT77" s="123"/>
      <c r="AU77" s="123"/>
      <c r="AV77" s="3085"/>
      <c r="AW77" s="3086"/>
      <c r="AX77" s="3087"/>
      <c r="AY77" s="3088"/>
      <c r="AZ77" s="3089"/>
      <c r="BA77" s="3090"/>
      <c r="BB77" s="3091"/>
    </row>
    <row r="78" spans="1:54" ht="28.8">
      <c r="A78" s="3332"/>
      <c r="B78" s="3349"/>
      <c r="C78" s="3347"/>
      <c r="D78" s="3329"/>
      <c r="E78" s="250" t="s">
        <v>2142</v>
      </c>
      <c r="F78" s="250" t="s">
        <v>2143</v>
      </c>
      <c r="G78" s="2641" t="s">
        <v>2144</v>
      </c>
      <c r="H78" s="2037" t="s">
        <v>2145</v>
      </c>
      <c r="I78" s="2128" t="str">
        <f t="shared" si="36"/>
        <v>6-DaHall 1-PDU-05-30-23</v>
      </c>
      <c r="J78" s="2129" t="str">
        <f t="shared" si="37"/>
        <v>6-DaHall 1-PDU-06-30-23</v>
      </c>
      <c r="K78" s="1463">
        <v>220</v>
      </c>
      <c r="L78" s="1464">
        <v>30</v>
      </c>
      <c r="M78" s="2435" t="s">
        <v>6491</v>
      </c>
      <c r="N78" s="1465">
        <v>23</v>
      </c>
      <c r="O78" s="1466">
        <v>220</v>
      </c>
      <c r="P78" s="1467">
        <v>30</v>
      </c>
      <c r="Q78" s="2441" t="s">
        <v>6501</v>
      </c>
      <c r="R78" s="1468">
        <v>23</v>
      </c>
      <c r="S78" s="3343"/>
      <c r="T78" s="3340"/>
      <c r="U78" s="3343"/>
      <c r="V78" s="3340"/>
      <c r="W78" s="3343"/>
      <c r="X78" s="3340"/>
      <c r="Y78" s="253">
        <f>SUM('6층_부하량(월간_AVG)'!D333:F333)</f>
        <v>0</v>
      </c>
      <c r="Z78" s="253">
        <f>SUM('6층_부하량(월간_AVG)'!D365:F365)</f>
        <v>0</v>
      </c>
      <c r="AA78" s="3397"/>
      <c r="AB78" s="2715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46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407"/>
      <c r="AE78" s="2821"/>
      <c r="AG78" s="2367">
        <f t="shared" si="12"/>
        <v>0</v>
      </c>
      <c r="AH78" s="2367">
        <f t="shared" si="13"/>
        <v>0</v>
      </c>
      <c r="AI78" s="123" t="str">
        <f t="shared" si="33"/>
        <v>무부하 랙</v>
      </c>
      <c r="AJ78" t="str">
        <f t="shared" si="34"/>
        <v/>
      </c>
      <c r="AK78" t="str">
        <f t="shared" si="35"/>
        <v/>
      </c>
      <c r="AP78" s="123"/>
      <c r="AQ78" s="123"/>
      <c r="AR78" s="123"/>
      <c r="AS78" s="3084"/>
      <c r="AT78" s="123"/>
      <c r="AU78" s="123"/>
      <c r="AV78" s="3085"/>
      <c r="AW78" s="3086"/>
      <c r="AX78" s="3087"/>
      <c r="AY78" s="3088"/>
      <c r="AZ78" s="3089"/>
      <c r="BA78" s="3090"/>
      <c r="BB78" s="3091"/>
    </row>
    <row r="79" spans="1:54" ht="28.8">
      <c r="A79" s="2652" t="s">
        <v>2164</v>
      </c>
      <c r="B79" s="2653" t="s">
        <v>2165</v>
      </c>
      <c r="C79" s="2664" t="s">
        <v>9234</v>
      </c>
      <c r="D79" s="3053">
        <v>1.6</v>
      </c>
      <c r="E79" s="250" t="s">
        <v>2166</v>
      </c>
      <c r="F79" s="250" t="s">
        <v>2167</v>
      </c>
      <c r="G79" s="2641" t="s">
        <v>2168</v>
      </c>
      <c r="H79" s="2636" t="s">
        <v>2169</v>
      </c>
      <c r="I79" s="2128" t="str">
        <f t="shared" si="36"/>
        <v>6-DaHall 1-PDU-05-30-31</v>
      </c>
      <c r="J79" s="2129" t="str">
        <f t="shared" si="37"/>
        <v>6-DaHall 1-PDU-06-30-31</v>
      </c>
      <c r="K79" s="1463">
        <v>220</v>
      </c>
      <c r="L79" s="1464">
        <v>30</v>
      </c>
      <c r="M79" s="2435" t="s">
        <v>6491</v>
      </c>
      <c r="N79" s="1465">
        <v>31</v>
      </c>
      <c r="O79" s="1466">
        <v>220</v>
      </c>
      <c r="P79" s="1467">
        <v>30</v>
      </c>
      <c r="Q79" s="2441" t="s">
        <v>6501</v>
      </c>
      <c r="R79" s="1468">
        <v>31</v>
      </c>
      <c r="S79" s="3343"/>
      <c r="T79" s="3340"/>
      <c r="U79" s="3343"/>
      <c r="V79" s="3340"/>
      <c r="W79" s="3343"/>
      <c r="X79" s="3340"/>
      <c r="Y79" s="253">
        <f>SUM('6층_부하량(월간_AVG)'!D337:F337)</f>
        <v>1.5430171457024271</v>
      </c>
      <c r="Z79" s="253">
        <f>SUM('6층_부하량(월간_AVG)'!D369:F369)</f>
        <v>0.38044641183866201</v>
      </c>
      <c r="AA79" s="2452">
        <f t="shared" ref="AA79:AA81" si="38">SUM(Y79:Z79)</f>
        <v>1.9234635575410892</v>
      </c>
      <c r="AB79" s="2715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250.5</v>
      </c>
      <c r="AC79" s="2846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29">
        <f t="shared" ref="AD79:AD84" si="39">SUM(AB79:AC79)</f>
        <v>295.89999999999998</v>
      </c>
      <c r="AE79" s="2821"/>
      <c r="AG79" s="2367">
        <f t="shared" si="12"/>
        <v>0.39771505376344085</v>
      </c>
      <c r="AH79" s="2367">
        <f t="shared" si="13"/>
        <v>1.2022849462365592</v>
      </c>
      <c r="AI79" s="123" t="str">
        <f t="shared" si="33"/>
        <v>적정함</v>
      </c>
      <c r="AJ79" t="str">
        <f t="shared" si="34"/>
        <v/>
      </c>
      <c r="AK79" t="str">
        <f t="shared" si="35"/>
        <v/>
      </c>
      <c r="AP79" s="123"/>
      <c r="AQ79" s="123"/>
      <c r="AR79" s="123"/>
      <c r="AS79" s="3084"/>
      <c r="AT79" s="123"/>
      <c r="AU79" s="123"/>
      <c r="AV79" s="3085"/>
      <c r="AW79" s="3086"/>
      <c r="AX79" s="3087"/>
      <c r="AY79" s="3088"/>
      <c r="AZ79" s="3089"/>
      <c r="BA79" s="3090"/>
      <c r="BB79" s="3091"/>
    </row>
    <row r="80" spans="1:54" ht="43.2">
      <c r="A80" s="2652" t="s">
        <v>2170</v>
      </c>
      <c r="B80" s="2653" t="s">
        <v>2171</v>
      </c>
      <c r="C80" s="2664" t="s">
        <v>9235</v>
      </c>
      <c r="D80" s="3053">
        <v>1.6</v>
      </c>
      <c r="E80" s="250" t="s">
        <v>2172</v>
      </c>
      <c r="F80" s="250" t="s">
        <v>2173</v>
      </c>
      <c r="G80" s="2641" t="s">
        <v>2174</v>
      </c>
      <c r="H80" s="2636" t="s">
        <v>2175</v>
      </c>
      <c r="I80" s="2128" t="str">
        <f t="shared" si="36"/>
        <v>6-DaHall 1-PDU-05-30-33</v>
      </c>
      <c r="J80" s="2129" t="str">
        <f t="shared" si="37"/>
        <v>6-DaHall 1-PDU-06-30-33</v>
      </c>
      <c r="K80" s="1463">
        <v>220</v>
      </c>
      <c r="L80" s="1464">
        <v>30</v>
      </c>
      <c r="M80" s="2435" t="s">
        <v>6491</v>
      </c>
      <c r="N80" s="1465">
        <v>33</v>
      </c>
      <c r="O80" s="1466">
        <v>220</v>
      </c>
      <c r="P80" s="1467">
        <v>30</v>
      </c>
      <c r="Q80" s="2441" t="s">
        <v>6501</v>
      </c>
      <c r="R80" s="1468">
        <v>33</v>
      </c>
      <c r="S80" s="3343"/>
      <c r="T80" s="3340"/>
      <c r="U80" s="3343"/>
      <c r="V80" s="3340"/>
      <c r="W80" s="3343"/>
      <c r="X80" s="3340"/>
      <c r="Y80" s="253">
        <f>SUM('6층_부하량(월간_AVG)'!D338:F338)</f>
        <v>1.1200460312576623</v>
      </c>
      <c r="Z80" s="253">
        <f>SUM('6층_부하량(월간_AVG)'!D370:F370)</f>
        <v>1.1800054687826371</v>
      </c>
      <c r="AA80" s="2452">
        <f t="shared" si="38"/>
        <v>2.3000515000402997</v>
      </c>
      <c r="AB80" s="2715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</v>
      </c>
      <c r="AC80" s="2846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145.4</v>
      </c>
      <c r="AD80" s="2829">
        <f t="shared" si="39"/>
        <v>292</v>
      </c>
      <c r="AE80" s="2821"/>
      <c r="AG80" s="2367">
        <f t="shared" si="12"/>
        <v>0.39247311827956988</v>
      </c>
      <c r="AH80" s="2367">
        <f t="shared" si="13"/>
        <v>1.2075268817204301</v>
      </c>
      <c r="AI80" s="123" t="str">
        <f t="shared" si="33"/>
        <v>적정함</v>
      </c>
      <c r="AJ80" t="str">
        <f t="shared" si="34"/>
        <v/>
      </c>
      <c r="AK80" t="str">
        <f t="shared" si="35"/>
        <v/>
      </c>
      <c r="AP80" s="123"/>
      <c r="AQ80" s="123"/>
      <c r="AR80" s="123"/>
      <c r="AS80" s="3084"/>
      <c r="AT80" s="123"/>
      <c r="AU80" s="123"/>
      <c r="AV80" s="3085"/>
      <c r="AW80" s="3086"/>
      <c r="AX80" s="3087"/>
      <c r="AY80" s="3088"/>
      <c r="AZ80" s="3089"/>
      <c r="BA80" s="3090"/>
      <c r="BB80" s="3091"/>
    </row>
    <row r="81" spans="1:54" ht="27.75" customHeight="1" thickBot="1">
      <c r="A81" s="2660" t="s">
        <v>2176</v>
      </c>
      <c r="B81" s="2672" t="s">
        <v>2177</v>
      </c>
      <c r="C81" s="2664" t="s">
        <v>9174</v>
      </c>
      <c r="D81" s="3053">
        <v>1.6</v>
      </c>
      <c r="E81" s="2661" t="s">
        <v>2178</v>
      </c>
      <c r="F81" s="2661" t="s">
        <v>2179</v>
      </c>
      <c r="G81" s="2643" t="s">
        <v>2180</v>
      </c>
      <c r="H81" s="2637" t="s">
        <v>2181</v>
      </c>
      <c r="I81" s="2130" t="str">
        <f t="shared" si="36"/>
        <v>6-DaHall 1-PDU-05-30-35</v>
      </c>
      <c r="J81" s="2131" t="str">
        <f t="shared" si="37"/>
        <v>6-DaHall 1-PDU-06-30-35</v>
      </c>
      <c r="K81" s="1471">
        <v>220</v>
      </c>
      <c r="L81" s="1472">
        <v>30</v>
      </c>
      <c r="M81" s="2438" t="s">
        <v>6491</v>
      </c>
      <c r="N81" s="1473">
        <v>35</v>
      </c>
      <c r="O81" s="1474">
        <v>220</v>
      </c>
      <c r="P81" s="1475">
        <v>30</v>
      </c>
      <c r="Q81" s="2444" t="s">
        <v>6501</v>
      </c>
      <c r="R81" s="1476">
        <v>35</v>
      </c>
      <c r="S81" s="3344"/>
      <c r="T81" s="3341"/>
      <c r="U81" s="3344"/>
      <c r="V81" s="3341"/>
      <c r="W81" s="3344"/>
      <c r="X81" s="3341"/>
      <c r="Y81" s="329">
        <f>SUM('6층_부하량(월간_AVG)'!D339:F339)</f>
        <v>0.67999025717570161</v>
      </c>
      <c r="Z81" s="329">
        <f>SUM('6층_부하량(월간_AVG)'!D371:F371)</f>
        <v>0.39000000000000018</v>
      </c>
      <c r="AA81" s="2453">
        <f t="shared" si="38"/>
        <v>1.0699902571757018</v>
      </c>
      <c r="AB81" s="2715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46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34">
        <f t="shared" si="39"/>
        <v>132.9</v>
      </c>
      <c r="AE81" s="2823"/>
      <c r="AG81" s="2367">
        <f t="shared" si="12"/>
        <v>0.17862903225806454</v>
      </c>
      <c r="AH81" s="2367">
        <f t="shared" si="13"/>
        <v>1.4213709677419355</v>
      </c>
      <c r="AI81" s="123" t="str">
        <f t="shared" si="33"/>
        <v>적정함</v>
      </c>
      <c r="AJ81" t="str">
        <f t="shared" si="34"/>
        <v/>
      </c>
      <c r="AK81" t="str">
        <f t="shared" si="35"/>
        <v/>
      </c>
      <c r="AP81" s="123"/>
      <c r="AQ81" s="123"/>
      <c r="AR81" s="123"/>
      <c r="AS81" s="3084"/>
      <c r="AT81" s="123"/>
      <c r="AU81" s="123"/>
      <c r="AV81" s="3085"/>
      <c r="AW81" s="3086"/>
      <c r="AX81" s="3087"/>
      <c r="AY81" s="3088"/>
      <c r="AZ81" s="3089"/>
      <c r="BA81" s="3090"/>
      <c r="BB81" s="3091"/>
    </row>
    <row r="82" spans="1:54" ht="15" thickTop="1">
      <c r="A82" s="1084" t="s">
        <v>1749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55"/>
      <c r="AB82" s="2826"/>
      <c r="AC82" s="2827"/>
      <c r="AD82" s="2835">
        <f t="shared" si="39"/>
        <v>0</v>
      </c>
      <c r="AE82" s="2828" t="s">
        <v>1265</v>
      </c>
      <c r="AG82" s="2367">
        <f t="shared" si="12"/>
        <v>0</v>
      </c>
      <c r="AH82" s="2367">
        <f t="shared" si="13"/>
        <v>0</v>
      </c>
      <c r="AI82" s="123" t="str">
        <f t="shared" si="33"/>
        <v>무부하 랙</v>
      </c>
      <c r="AJ82" t="str">
        <f t="shared" si="34"/>
        <v/>
      </c>
      <c r="AK82" t="str">
        <f t="shared" si="35"/>
        <v/>
      </c>
      <c r="AP82" s="123"/>
      <c r="AQ82" s="123"/>
      <c r="AR82" s="123"/>
      <c r="AS82" s="3084"/>
      <c r="AT82" s="123"/>
      <c r="AU82" s="123"/>
      <c r="AV82" s="3085"/>
      <c r="AW82" s="3086"/>
      <c r="AX82" s="3087"/>
      <c r="AY82" s="3088"/>
      <c r="AZ82" s="3089"/>
      <c r="BA82" s="3090"/>
      <c r="BB82" s="3091"/>
    </row>
    <row r="83" spans="1:54" ht="28.8">
      <c r="A83" s="2652" t="s">
        <v>1750</v>
      </c>
      <c r="B83" s="2712" t="s">
        <v>1751</v>
      </c>
      <c r="C83" s="2712"/>
      <c r="D83" s="2712"/>
      <c r="E83" s="2712" t="s">
        <v>1752</v>
      </c>
      <c r="F83" s="2712" t="s">
        <v>1753</v>
      </c>
      <c r="G83" s="2708" t="s">
        <v>1754</v>
      </c>
      <c r="H83" s="2691" t="s">
        <v>1755</v>
      </c>
      <c r="I83" s="2128" t="str">
        <f t="shared" ref="I83:I90" si="40">"6-DaHall 1-PDU-"&amp;M83&amp;"-"&amp;L83&amp;"-"&amp;N83</f>
        <v>6-DaHall 1-PDU-11-30-23</v>
      </c>
      <c r="J83" s="2129" t="str">
        <f t="shared" ref="J83:J90" si="41">"6-DaHall 1-PDU-"&amp;Q83&amp;"-"&amp;P83&amp;"-"&amp;R83</f>
        <v>6-DaHall 1-PDU-12-30-23</v>
      </c>
      <c r="K83" s="1477">
        <v>220</v>
      </c>
      <c r="L83" s="1478">
        <v>30</v>
      </c>
      <c r="M83" s="2435" t="s">
        <v>6541</v>
      </c>
      <c r="N83" s="1465">
        <v>23</v>
      </c>
      <c r="O83" s="1469">
        <v>220</v>
      </c>
      <c r="P83" s="1470">
        <v>30</v>
      </c>
      <c r="Q83" s="2441" t="s">
        <v>6548</v>
      </c>
      <c r="R83" s="1468">
        <v>23</v>
      </c>
      <c r="S83" s="3356" t="s">
        <v>1462</v>
      </c>
      <c r="T83" s="3336" t="s">
        <v>1463</v>
      </c>
      <c r="U83" s="3356" t="s">
        <v>1464</v>
      </c>
      <c r="V83" s="3336" t="s">
        <v>1465</v>
      </c>
      <c r="W83" s="3342" t="s">
        <v>1276</v>
      </c>
      <c r="X83" s="3339" t="s">
        <v>1277</v>
      </c>
      <c r="Y83" s="994">
        <f>SUM('6층_부하량(월간_AVG)'!D155:F155)</f>
        <v>0</v>
      </c>
      <c r="Z83" s="994">
        <f>SUM('6층_부하량(월간_AVG)'!D184:F184)</f>
        <v>0</v>
      </c>
      <c r="AA83" s="2457">
        <f t="shared" ref="AA83:AA90" si="42">SUM(Y83:Z83)</f>
        <v>0</v>
      </c>
      <c r="AB83" s="2715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46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47">
        <f t="shared" si="39"/>
        <v>0</v>
      </c>
      <c r="AE83" s="2848" t="s">
        <v>1265</v>
      </c>
      <c r="AG83" s="2367">
        <f t="shared" si="12"/>
        <v>0</v>
      </c>
      <c r="AH83" s="2367">
        <f t="shared" si="13"/>
        <v>0</v>
      </c>
      <c r="AI83" s="123" t="str">
        <f t="shared" si="33"/>
        <v>무부하 랙</v>
      </c>
      <c r="AJ83" t="str">
        <f t="shared" si="34"/>
        <v/>
      </c>
      <c r="AK83" t="str">
        <f t="shared" si="35"/>
        <v/>
      </c>
      <c r="AP83" s="123"/>
      <c r="AQ83" s="123"/>
      <c r="AR83" s="123"/>
      <c r="AS83" s="3084"/>
      <c r="AT83" s="123"/>
      <c r="AU83" s="123"/>
      <c r="AV83" s="3085"/>
      <c r="AW83" s="3086"/>
      <c r="AX83" s="3087"/>
      <c r="AY83" s="3088"/>
      <c r="AZ83" s="3089"/>
      <c r="BA83" s="3090"/>
      <c r="BB83" s="3091"/>
    </row>
    <row r="84" spans="1:54" ht="28.8">
      <c r="A84" s="2652" t="s">
        <v>1756</v>
      </c>
      <c r="B84" s="2712" t="s">
        <v>1757</v>
      </c>
      <c r="C84" s="2712"/>
      <c r="D84" s="2712"/>
      <c r="E84" s="2712" t="s">
        <v>1758</v>
      </c>
      <c r="F84" s="2712" t="s">
        <v>1759</v>
      </c>
      <c r="G84" s="2708" t="s">
        <v>1760</v>
      </c>
      <c r="H84" s="2691" t="s">
        <v>1761</v>
      </c>
      <c r="I84" s="2128" t="str">
        <f t="shared" si="40"/>
        <v>6-DaHall 1-PDU-11-30-25</v>
      </c>
      <c r="J84" s="2129" t="str">
        <f t="shared" si="41"/>
        <v>6-DaHall 1-PDU-12-30-25</v>
      </c>
      <c r="K84" s="1477">
        <v>220</v>
      </c>
      <c r="L84" s="1478">
        <v>30</v>
      </c>
      <c r="M84" s="2435" t="s">
        <v>6541</v>
      </c>
      <c r="N84" s="1465">
        <v>25</v>
      </c>
      <c r="O84" s="1469">
        <v>220</v>
      </c>
      <c r="P84" s="1470">
        <v>30</v>
      </c>
      <c r="Q84" s="2441" t="s">
        <v>6548</v>
      </c>
      <c r="R84" s="1468">
        <v>25</v>
      </c>
      <c r="S84" s="3364"/>
      <c r="T84" s="3365"/>
      <c r="U84" s="3364"/>
      <c r="V84" s="3365"/>
      <c r="W84" s="3343"/>
      <c r="X84" s="3340"/>
      <c r="Y84" s="994">
        <f>SUM('6층_부하량(월간_AVG)'!D156:F156)</f>
        <v>0</v>
      </c>
      <c r="Z84" s="994">
        <f>SUM('6층_부하량(월간_AVG)'!D185:F185)</f>
        <v>0</v>
      </c>
      <c r="AA84" s="2457">
        <f t="shared" si="42"/>
        <v>0</v>
      </c>
      <c r="AB84" s="2715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46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47">
        <f t="shared" si="39"/>
        <v>0</v>
      </c>
      <c r="AE84" s="2848" t="s">
        <v>1265</v>
      </c>
      <c r="AG84" s="2367">
        <f t="shared" si="12"/>
        <v>0</v>
      </c>
      <c r="AH84" s="2367">
        <f t="shared" si="13"/>
        <v>0</v>
      </c>
      <c r="AI84" s="123" t="str">
        <f t="shared" si="33"/>
        <v>무부하 랙</v>
      </c>
      <c r="AJ84" t="str">
        <f t="shared" si="34"/>
        <v/>
      </c>
      <c r="AK84" t="str">
        <f t="shared" si="35"/>
        <v/>
      </c>
      <c r="AP84" s="123"/>
      <c r="AQ84" s="123"/>
      <c r="AR84" s="123"/>
      <c r="AS84" s="3084"/>
      <c r="AT84" s="123"/>
      <c r="AU84" s="123"/>
      <c r="AV84" s="3085"/>
      <c r="AW84" s="3086"/>
      <c r="AX84" s="3087"/>
      <c r="AY84" s="3088"/>
      <c r="AZ84" s="3089"/>
      <c r="BA84" s="3090"/>
      <c r="BB84" s="3091"/>
    </row>
    <row r="85" spans="1:54" ht="28.8">
      <c r="A85" s="3325" t="s">
        <v>1762</v>
      </c>
      <c r="B85" s="3327" t="s">
        <v>1763</v>
      </c>
      <c r="C85" s="250"/>
      <c r="D85" s="250"/>
      <c r="E85" s="250" t="s">
        <v>1764</v>
      </c>
      <c r="F85" s="250" t="s">
        <v>1765</v>
      </c>
      <c r="G85" s="2641" t="s">
        <v>1766</v>
      </c>
      <c r="H85" s="2636" t="s">
        <v>1767</v>
      </c>
      <c r="I85" s="2128" t="str">
        <f t="shared" si="40"/>
        <v>6-DaHall 1-PDU-11-30-27</v>
      </c>
      <c r="J85" s="2129" t="str">
        <f t="shared" si="41"/>
        <v>6-DaHall 1-PDU-12-30-27</v>
      </c>
      <c r="K85" s="1477">
        <v>220</v>
      </c>
      <c r="L85" s="1478">
        <v>30</v>
      </c>
      <c r="M85" s="2435" t="s">
        <v>6541</v>
      </c>
      <c r="N85" s="1465">
        <v>27</v>
      </c>
      <c r="O85" s="1469">
        <v>220</v>
      </c>
      <c r="P85" s="1470">
        <v>30</v>
      </c>
      <c r="Q85" s="2441" t="s">
        <v>6548</v>
      </c>
      <c r="R85" s="1468">
        <v>27</v>
      </c>
      <c r="S85" s="3364"/>
      <c r="T85" s="3365"/>
      <c r="U85" s="3364"/>
      <c r="V85" s="3365"/>
      <c r="W85" s="3343"/>
      <c r="X85" s="3340"/>
      <c r="Y85" s="268">
        <f>SUM('6층_부하량(월간_AVG)'!D157:F157)</f>
        <v>0</v>
      </c>
      <c r="Z85" s="268">
        <f>SUM('6층_부하량(월간_AVG)'!D186:F186)</f>
        <v>0</v>
      </c>
      <c r="AA85" s="2452">
        <f t="shared" si="42"/>
        <v>0</v>
      </c>
      <c r="AB85" s="2715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46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405">
        <f>SUM(AB85:AC86)</f>
        <v>0</v>
      </c>
      <c r="AE85" s="2821"/>
      <c r="AG85" s="2367">
        <f t="shared" si="12"/>
        <v>0</v>
      </c>
      <c r="AH85" s="2367">
        <f t="shared" si="13"/>
        <v>0</v>
      </c>
      <c r="AI85" s="123" t="str">
        <f t="shared" si="33"/>
        <v>무부하 랙</v>
      </c>
      <c r="AJ85" t="str">
        <f t="shared" si="34"/>
        <v/>
      </c>
      <c r="AK85" t="str">
        <f t="shared" si="35"/>
        <v/>
      </c>
      <c r="AP85" s="123"/>
      <c r="AQ85" s="123"/>
      <c r="AR85" s="123"/>
      <c r="AS85" s="3084"/>
      <c r="AT85" s="123"/>
      <c r="AU85" s="123"/>
      <c r="AV85" s="3085"/>
      <c r="AW85" s="3086"/>
      <c r="AX85" s="3087"/>
      <c r="AY85" s="3088"/>
      <c r="AZ85" s="3089"/>
      <c r="BA85" s="3090"/>
      <c r="BB85" s="3091"/>
    </row>
    <row r="86" spans="1:54" ht="28.8">
      <c r="A86" s="3325"/>
      <c r="B86" s="3327"/>
      <c r="C86" s="250"/>
      <c r="D86" s="250"/>
      <c r="E86" s="250" t="s">
        <v>1768</v>
      </c>
      <c r="F86" s="250" t="s">
        <v>1769</v>
      </c>
      <c r="G86" s="2641" t="s">
        <v>1770</v>
      </c>
      <c r="H86" s="2636" t="s">
        <v>1771</v>
      </c>
      <c r="I86" s="2128" t="str">
        <f t="shared" si="40"/>
        <v>6-DaHall 1-PDU-11-30-49</v>
      </c>
      <c r="J86" s="2129" t="str">
        <f t="shared" si="41"/>
        <v>6-DaHall 1-PDU-12-30-49</v>
      </c>
      <c r="K86" s="1477">
        <v>220</v>
      </c>
      <c r="L86" s="1478">
        <v>30</v>
      </c>
      <c r="M86" s="2435" t="s">
        <v>6541</v>
      </c>
      <c r="N86" s="1465">
        <v>49</v>
      </c>
      <c r="O86" s="1469">
        <v>220</v>
      </c>
      <c r="P86" s="1470">
        <v>30</v>
      </c>
      <c r="Q86" s="2441" t="s">
        <v>6548</v>
      </c>
      <c r="R86" s="1468">
        <v>49</v>
      </c>
      <c r="S86" s="3364"/>
      <c r="T86" s="3365"/>
      <c r="U86" s="3364"/>
      <c r="V86" s="3365"/>
      <c r="W86" s="3343"/>
      <c r="X86" s="3340"/>
      <c r="Y86" s="268">
        <f>SUM('6층_부하량(월간_AVG)'!D168:F168)</f>
        <v>0</v>
      </c>
      <c r="Z86" s="268">
        <f>SUM('6층_부하량(월간_AVG)'!D197:F197)</f>
        <v>0</v>
      </c>
      <c r="AA86" s="2452">
        <f t="shared" si="42"/>
        <v>0</v>
      </c>
      <c r="AB86" s="2715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46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407"/>
      <c r="AE86" s="2821"/>
      <c r="AG86" s="2367">
        <f t="shared" si="12"/>
        <v>0</v>
      </c>
      <c r="AH86" s="2367">
        <f t="shared" si="13"/>
        <v>0</v>
      </c>
      <c r="AI86" s="123" t="str">
        <f t="shared" si="33"/>
        <v>무부하 랙</v>
      </c>
      <c r="AJ86" t="str">
        <f t="shared" si="34"/>
        <v/>
      </c>
      <c r="AK86" t="str">
        <f t="shared" si="35"/>
        <v/>
      </c>
      <c r="AP86" s="123"/>
      <c r="AQ86" s="123"/>
      <c r="AR86" s="123"/>
      <c r="AS86" s="3084"/>
      <c r="AT86" s="123"/>
      <c r="AU86" s="123"/>
      <c r="AV86" s="3085"/>
      <c r="AW86" s="3086"/>
      <c r="AX86" s="3087"/>
      <c r="AY86" s="3088"/>
      <c r="AZ86" s="3089"/>
      <c r="BA86" s="3090"/>
      <c r="BB86" s="3091"/>
    </row>
    <row r="87" spans="1:54" ht="28.8">
      <c r="A87" s="2652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41" t="s">
        <v>1776</v>
      </c>
      <c r="H87" s="2636" t="s">
        <v>1777</v>
      </c>
      <c r="I87" s="2128" t="str">
        <f t="shared" si="40"/>
        <v>6-DaHall 1-PDU-11-30-29</v>
      </c>
      <c r="J87" s="2129" t="str">
        <f t="shared" si="41"/>
        <v>6-DaHall 1-PDU-12-30-29</v>
      </c>
      <c r="K87" s="1477">
        <v>220</v>
      </c>
      <c r="L87" s="1478">
        <v>30</v>
      </c>
      <c r="M87" s="2435" t="s">
        <v>6541</v>
      </c>
      <c r="N87" s="1465">
        <v>29</v>
      </c>
      <c r="O87" s="1469">
        <v>220</v>
      </c>
      <c r="P87" s="1470">
        <v>30</v>
      </c>
      <c r="Q87" s="2441" t="s">
        <v>6548</v>
      </c>
      <c r="R87" s="1468">
        <v>29</v>
      </c>
      <c r="S87" s="3364"/>
      <c r="T87" s="3365"/>
      <c r="U87" s="3364"/>
      <c r="V87" s="3365"/>
      <c r="W87" s="3343"/>
      <c r="X87" s="3340"/>
      <c r="Y87" s="268">
        <f>SUM('6층_부하량(월간_AVG)'!D158:F158)</f>
        <v>0</v>
      </c>
      <c r="Z87" s="268">
        <f>SUM('6층_부하량(월간_AVG)'!D187:F187)</f>
        <v>0</v>
      </c>
      <c r="AA87" s="2452">
        <f t="shared" si="42"/>
        <v>0</v>
      </c>
      <c r="AB87" s="2715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46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29">
        <f t="shared" ref="AD87" si="43">SUM(AB87:AC87)</f>
        <v>0</v>
      </c>
      <c r="AE87" s="2821"/>
      <c r="AG87" s="2367">
        <f t="shared" si="12"/>
        <v>0</v>
      </c>
      <c r="AH87" s="2367">
        <f t="shared" si="13"/>
        <v>0</v>
      </c>
      <c r="AI87" s="123" t="str">
        <f t="shared" si="33"/>
        <v>무부하 랙</v>
      </c>
      <c r="AJ87" t="str">
        <f t="shared" si="34"/>
        <v/>
      </c>
      <c r="AK87" t="str">
        <f t="shared" si="35"/>
        <v/>
      </c>
      <c r="AP87" s="123"/>
      <c r="AQ87" s="123"/>
      <c r="AR87" s="123"/>
      <c r="AS87" s="3084"/>
      <c r="AT87" s="123"/>
      <c r="AU87" s="123"/>
      <c r="AV87" s="3085"/>
      <c r="AW87" s="3086"/>
      <c r="AX87" s="3087"/>
      <c r="AY87" s="3088"/>
      <c r="AZ87" s="3089"/>
      <c r="BA87" s="3090"/>
      <c r="BB87" s="3091"/>
    </row>
    <row r="88" spans="1:54" ht="28.8">
      <c r="A88" s="3325" t="s">
        <v>1778</v>
      </c>
      <c r="B88" s="3327" t="s">
        <v>1779</v>
      </c>
      <c r="C88" s="250"/>
      <c r="D88" s="250"/>
      <c r="E88" s="250" t="s">
        <v>1780</v>
      </c>
      <c r="F88" s="250" t="s">
        <v>1781</v>
      </c>
      <c r="G88" s="2641" t="s">
        <v>1782</v>
      </c>
      <c r="H88" s="2636" t="s">
        <v>1783</v>
      </c>
      <c r="I88" s="2128" t="str">
        <f t="shared" si="40"/>
        <v>6-DaHall 1-PDU-11-30-31</v>
      </c>
      <c r="J88" s="2129" t="str">
        <f t="shared" si="41"/>
        <v>6-DaHall 1-PDU-12-30-31</v>
      </c>
      <c r="K88" s="1477">
        <v>220</v>
      </c>
      <c r="L88" s="1478">
        <v>30</v>
      </c>
      <c r="M88" s="2435" t="s">
        <v>6541</v>
      </c>
      <c r="N88" s="1465">
        <v>31</v>
      </c>
      <c r="O88" s="1469">
        <v>220</v>
      </c>
      <c r="P88" s="1470">
        <v>30</v>
      </c>
      <c r="Q88" s="2441" t="s">
        <v>6548</v>
      </c>
      <c r="R88" s="1468">
        <v>31</v>
      </c>
      <c r="S88" s="3364"/>
      <c r="T88" s="3365"/>
      <c r="U88" s="3364"/>
      <c r="V88" s="3365"/>
      <c r="W88" s="3343"/>
      <c r="X88" s="3340"/>
      <c r="Y88" s="268">
        <f>SUM('6층_부하량(월간_AVG)'!D159:F159)</f>
        <v>0</v>
      </c>
      <c r="Z88" s="268">
        <f>SUM('6층_부하량(월간_AVG)'!D188:F188)</f>
        <v>0</v>
      </c>
      <c r="AA88" s="2452">
        <f t="shared" si="42"/>
        <v>0</v>
      </c>
      <c r="AB88" s="2715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46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405">
        <f>SUM(AB88:AC89)</f>
        <v>0</v>
      </c>
      <c r="AE88" s="2821"/>
      <c r="AG88" s="2367">
        <f t="shared" si="12"/>
        <v>0</v>
      </c>
      <c r="AH88" s="2367">
        <f t="shared" si="13"/>
        <v>0</v>
      </c>
      <c r="AI88" s="123" t="str">
        <f t="shared" si="33"/>
        <v>무부하 랙</v>
      </c>
      <c r="AJ88" t="str">
        <f t="shared" si="34"/>
        <v/>
      </c>
      <c r="AK88" t="str">
        <f t="shared" si="35"/>
        <v/>
      </c>
      <c r="AP88" s="123"/>
      <c r="AQ88" s="123"/>
      <c r="AR88" s="123"/>
      <c r="AS88" s="3084"/>
      <c r="AT88" s="123"/>
      <c r="AU88" s="123"/>
      <c r="AV88" s="3085"/>
      <c r="AW88" s="3086"/>
      <c r="AX88" s="3087"/>
      <c r="AY88" s="3088"/>
      <c r="AZ88" s="3089"/>
      <c r="BA88" s="3090"/>
      <c r="BB88" s="3091"/>
    </row>
    <row r="89" spans="1:54" ht="28.8">
      <c r="A89" s="3325"/>
      <c r="B89" s="3327"/>
      <c r="C89" s="250"/>
      <c r="D89" s="250"/>
      <c r="E89" s="250" t="s">
        <v>1784</v>
      </c>
      <c r="F89" s="250" t="s">
        <v>1785</v>
      </c>
      <c r="G89" s="2641" t="s">
        <v>1786</v>
      </c>
      <c r="H89" s="2636" t="s">
        <v>1787</v>
      </c>
      <c r="I89" s="2128" t="str">
        <f t="shared" si="40"/>
        <v>6-DaHall 1-PDU-11-30-47</v>
      </c>
      <c r="J89" s="2129" t="str">
        <f t="shared" si="41"/>
        <v>6-DaHall 1-PDU-12-30-47</v>
      </c>
      <c r="K89" s="1477">
        <v>220</v>
      </c>
      <c r="L89" s="1478">
        <v>30</v>
      </c>
      <c r="M89" s="2435" t="s">
        <v>6541</v>
      </c>
      <c r="N89" s="1465">
        <v>47</v>
      </c>
      <c r="O89" s="1469">
        <v>220</v>
      </c>
      <c r="P89" s="1470">
        <v>30</v>
      </c>
      <c r="Q89" s="2441" t="s">
        <v>6548</v>
      </c>
      <c r="R89" s="1468">
        <v>47</v>
      </c>
      <c r="S89" s="3364"/>
      <c r="T89" s="3365"/>
      <c r="U89" s="3364"/>
      <c r="V89" s="3365"/>
      <c r="W89" s="3343"/>
      <c r="X89" s="3340"/>
      <c r="Y89" s="268">
        <f>SUM('6층_부하량(월간_AVG)'!D167:F167)</f>
        <v>0</v>
      </c>
      <c r="Z89" s="268">
        <f>SUM('6층_부하량(월간_AVG)'!D196:F196)</f>
        <v>0</v>
      </c>
      <c r="AA89" s="2452">
        <f t="shared" si="42"/>
        <v>0</v>
      </c>
      <c r="AB89" s="2715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46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407"/>
      <c r="AE89" s="2821"/>
      <c r="AG89" s="2367">
        <f t="shared" si="12"/>
        <v>0</v>
      </c>
      <c r="AH89" s="2367">
        <f t="shared" si="13"/>
        <v>0</v>
      </c>
      <c r="AI89" s="123" t="str">
        <f t="shared" si="33"/>
        <v>무부하 랙</v>
      </c>
      <c r="AJ89" t="str">
        <f t="shared" si="34"/>
        <v/>
      </c>
      <c r="AK89" t="str">
        <f t="shared" si="35"/>
        <v/>
      </c>
      <c r="AP89" s="123"/>
      <c r="AQ89" s="123"/>
      <c r="AR89" s="123"/>
      <c r="AS89" s="3084"/>
      <c r="AT89" s="123"/>
      <c r="AU89" s="123"/>
      <c r="AV89" s="3085"/>
      <c r="AW89" s="3086"/>
      <c r="AX89" s="3087"/>
      <c r="AY89" s="3088"/>
      <c r="AZ89" s="3089"/>
      <c r="BA89" s="3090"/>
      <c r="BB89" s="3091"/>
    </row>
    <row r="90" spans="1:54" ht="28.8">
      <c r="A90" s="2652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41" t="s">
        <v>1792</v>
      </c>
      <c r="H90" s="2636" t="s">
        <v>1793</v>
      </c>
      <c r="I90" s="2128" t="str">
        <f t="shared" si="40"/>
        <v>6-DaHall 1-PDU-11-30-33</v>
      </c>
      <c r="J90" s="2129" t="str">
        <f t="shared" si="41"/>
        <v>6-DaHall 1-PDU-12-30-33</v>
      </c>
      <c r="K90" s="1477">
        <v>220</v>
      </c>
      <c r="L90" s="1478">
        <v>30</v>
      </c>
      <c r="M90" s="2435" t="s">
        <v>6541</v>
      </c>
      <c r="N90" s="1465">
        <v>33</v>
      </c>
      <c r="O90" s="1469">
        <v>220</v>
      </c>
      <c r="P90" s="1470">
        <v>30</v>
      </c>
      <c r="Q90" s="2441" t="s">
        <v>6548</v>
      </c>
      <c r="R90" s="1468">
        <v>33</v>
      </c>
      <c r="S90" s="3364"/>
      <c r="T90" s="3365"/>
      <c r="U90" s="3364"/>
      <c r="V90" s="3365"/>
      <c r="W90" s="3359"/>
      <c r="X90" s="3346"/>
      <c r="Y90" s="268">
        <f>SUM('6층_부하량(월간_AVG)'!D160:F160)</f>
        <v>0</v>
      </c>
      <c r="Z90" s="268">
        <f>SUM('6층_부하량(월간_AVG)'!D189:F189)</f>
        <v>0</v>
      </c>
      <c r="AA90" s="2452">
        <f t="shared" si="42"/>
        <v>0</v>
      </c>
      <c r="AB90" s="2715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46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29">
        <f>SUM(AB90:AC90)</f>
        <v>0</v>
      </c>
      <c r="AE90" s="2821"/>
      <c r="AG90" s="2367">
        <f t="shared" ref="AG90:AG153" si="44">AD90/(24*31)</f>
        <v>0</v>
      </c>
      <c r="AH90" s="2367">
        <f t="shared" ref="AH90:AH153" si="45">D90-AG90</f>
        <v>0</v>
      </c>
      <c r="AI90" s="123" t="str">
        <f t="shared" si="33"/>
        <v>무부하 랙</v>
      </c>
      <c r="AJ90" t="str">
        <f t="shared" si="34"/>
        <v/>
      </c>
      <c r="AK90" t="str">
        <f t="shared" si="35"/>
        <v/>
      </c>
      <c r="AP90" s="123"/>
      <c r="AQ90" s="123"/>
      <c r="AR90" s="123"/>
      <c r="AS90" s="3084"/>
      <c r="AT90" s="123"/>
      <c r="AU90" s="123"/>
      <c r="AV90" s="3085"/>
      <c r="AW90" s="3086"/>
      <c r="AX90" s="3087"/>
      <c r="AY90" s="3088"/>
      <c r="AZ90" s="3089"/>
      <c r="BA90" s="3090"/>
      <c r="BB90" s="3091"/>
    </row>
    <row r="91" spans="1:54">
      <c r="A91" s="2652" t="s">
        <v>1794</v>
      </c>
      <c r="B91" s="2712" t="s">
        <v>1795</v>
      </c>
      <c r="C91" s="2712"/>
      <c r="D91" s="2712"/>
      <c r="E91" s="2712"/>
      <c r="F91" s="2712"/>
      <c r="G91" s="2708"/>
      <c r="H91" s="2691"/>
      <c r="I91" s="2128"/>
      <c r="J91" s="2129"/>
      <c r="K91" s="1463"/>
      <c r="L91" s="1464"/>
      <c r="M91" s="2641"/>
      <c r="N91" s="1465"/>
      <c r="O91" s="1466"/>
      <c r="P91" s="1467"/>
      <c r="Q91" s="2636"/>
      <c r="R91" s="1468"/>
      <c r="S91" s="832"/>
      <c r="T91" s="833"/>
      <c r="U91" s="832"/>
      <c r="V91" s="833"/>
      <c r="W91" s="1089"/>
      <c r="X91" s="1090"/>
      <c r="Y91" s="994"/>
      <c r="Z91" s="994"/>
      <c r="AA91" s="2457"/>
      <c r="AB91" s="2717"/>
      <c r="AC91" s="2849"/>
      <c r="AD91" s="2847">
        <f>SUM(AB91:AC91)</f>
        <v>0</v>
      </c>
      <c r="AE91" s="2848" t="s">
        <v>1265</v>
      </c>
      <c r="AG91" s="2367">
        <f t="shared" si="44"/>
        <v>0</v>
      </c>
      <c r="AH91" s="2367">
        <f t="shared" si="45"/>
        <v>0</v>
      </c>
      <c r="AI91" s="123" t="str">
        <f t="shared" si="33"/>
        <v>무부하 랙</v>
      </c>
      <c r="AJ91" t="str">
        <f t="shared" si="34"/>
        <v/>
      </c>
      <c r="AK91" t="str">
        <f t="shared" si="35"/>
        <v/>
      </c>
      <c r="AP91" s="123"/>
      <c r="AQ91" s="123"/>
      <c r="AR91" s="123"/>
      <c r="AS91" s="3084"/>
      <c r="AT91" s="123"/>
      <c r="AU91" s="123"/>
      <c r="AV91" s="3085"/>
      <c r="AW91" s="3086"/>
      <c r="AX91" s="3087"/>
      <c r="AY91" s="3088"/>
      <c r="AZ91" s="3089"/>
      <c r="BA91" s="3090"/>
      <c r="BB91" s="3091"/>
    </row>
    <row r="92" spans="1:54">
      <c r="A92" s="2652" t="s">
        <v>1796</v>
      </c>
      <c r="B92" s="2712" t="s">
        <v>1797</v>
      </c>
      <c r="C92" s="2712"/>
      <c r="D92" s="2712"/>
      <c r="E92" s="2712"/>
      <c r="F92" s="2712"/>
      <c r="G92" s="2708"/>
      <c r="H92" s="2691"/>
      <c r="I92" s="2128"/>
      <c r="J92" s="2129"/>
      <c r="K92" s="1463"/>
      <c r="L92" s="1464"/>
      <c r="M92" s="2641"/>
      <c r="N92" s="1465"/>
      <c r="O92" s="1466"/>
      <c r="P92" s="1467"/>
      <c r="Q92" s="2636"/>
      <c r="R92" s="1468"/>
      <c r="S92" s="832"/>
      <c r="T92" s="833"/>
      <c r="U92" s="832"/>
      <c r="V92" s="833"/>
      <c r="W92" s="1089"/>
      <c r="X92" s="1090"/>
      <c r="Y92" s="994"/>
      <c r="Z92" s="994"/>
      <c r="AA92" s="2457"/>
      <c r="AB92" s="2717"/>
      <c r="AC92" s="2849"/>
      <c r="AD92" s="2847">
        <f>SUM(AB92:AC92)</f>
        <v>0</v>
      </c>
      <c r="AE92" s="2848" t="s">
        <v>1265</v>
      </c>
      <c r="AG92" s="2367">
        <f t="shared" si="44"/>
        <v>0</v>
      </c>
      <c r="AH92" s="2367">
        <f t="shared" si="45"/>
        <v>0</v>
      </c>
      <c r="AI92" s="123" t="str">
        <f t="shared" si="33"/>
        <v>무부하 랙</v>
      </c>
      <c r="AJ92" t="str">
        <f t="shared" si="34"/>
        <v/>
      </c>
      <c r="AK92" t="str">
        <f t="shared" si="35"/>
        <v/>
      </c>
      <c r="AP92" s="123"/>
      <c r="AQ92" s="123"/>
      <c r="AR92" s="123"/>
      <c r="AS92" s="3084"/>
      <c r="AT92" s="123"/>
      <c r="AU92" s="123"/>
      <c r="AV92" s="3085"/>
      <c r="AW92" s="3086"/>
      <c r="AX92" s="3087"/>
      <c r="AY92" s="3088"/>
      <c r="AZ92" s="3089"/>
      <c r="BA92" s="3090"/>
      <c r="BB92" s="3091"/>
    </row>
    <row r="93" spans="1:54">
      <c r="A93" s="2652" t="s">
        <v>1798</v>
      </c>
      <c r="B93" s="2712" t="s">
        <v>1799</v>
      </c>
      <c r="C93" s="2712"/>
      <c r="D93" s="2712"/>
      <c r="E93" s="2712"/>
      <c r="F93" s="2712"/>
      <c r="G93" s="2708"/>
      <c r="H93" s="2691"/>
      <c r="I93" s="2128"/>
      <c r="J93" s="2129"/>
      <c r="K93" s="1463"/>
      <c r="L93" s="1464"/>
      <c r="M93" s="2641"/>
      <c r="N93" s="1465"/>
      <c r="O93" s="1466"/>
      <c r="P93" s="1467"/>
      <c r="Q93" s="2636"/>
      <c r="R93" s="1468"/>
      <c r="S93" s="832"/>
      <c r="T93" s="833"/>
      <c r="U93" s="832"/>
      <c r="V93" s="833"/>
      <c r="W93" s="1089"/>
      <c r="X93" s="1090"/>
      <c r="Y93" s="994"/>
      <c r="Z93" s="994"/>
      <c r="AA93" s="2457"/>
      <c r="AB93" s="2717"/>
      <c r="AC93" s="2849"/>
      <c r="AD93" s="2847">
        <f>SUM(AB93:AC93)</f>
        <v>0</v>
      </c>
      <c r="AE93" s="2848" t="s">
        <v>1265</v>
      </c>
      <c r="AG93" s="2367">
        <f t="shared" si="44"/>
        <v>0</v>
      </c>
      <c r="AH93" s="2367">
        <f t="shared" si="45"/>
        <v>0</v>
      </c>
      <c r="AI93" s="123" t="str">
        <f t="shared" si="33"/>
        <v>무부하 랙</v>
      </c>
      <c r="AJ93" t="str">
        <f t="shared" si="34"/>
        <v/>
      </c>
      <c r="AK93" t="str">
        <f t="shared" si="35"/>
        <v/>
      </c>
      <c r="AP93" s="123"/>
      <c r="AQ93" s="123"/>
      <c r="AR93" s="123"/>
      <c r="AS93" s="3084"/>
      <c r="AT93" s="123"/>
      <c r="AU93" s="123"/>
      <c r="AV93" s="3085"/>
      <c r="AW93" s="3086"/>
      <c r="AX93" s="3087"/>
      <c r="AY93" s="3088"/>
      <c r="AZ93" s="3089"/>
      <c r="BA93" s="3090"/>
      <c r="BB93" s="3091"/>
    </row>
    <row r="94" spans="1:54" ht="15" thickBot="1">
      <c r="A94" s="2660" t="s">
        <v>1800</v>
      </c>
      <c r="B94" s="839"/>
      <c r="C94" s="839"/>
      <c r="D94" s="839"/>
      <c r="E94" s="839"/>
      <c r="F94" s="839"/>
      <c r="G94" s="2709"/>
      <c r="H94" s="2692"/>
      <c r="I94" s="2130"/>
      <c r="J94" s="2131"/>
      <c r="K94" s="1471"/>
      <c r="L94" s="1472"/>
      <c r="M94" s="2643"/>
      <c r="N94" s="1473"/>
      <c r="O94" s="1474"/>
      <c r="P94" s="1475"/>
      <c r="Q94" s="2637"/>
      <c r="R94" s="1476"/>
      <c r="S94" s="840"/>
      <c r="T94" s="849"/>
      <c r="U94" s="840"/>
      <c r="V94" s="849"/>
      <c r="W94" s="840"/>
      <c r="X94" s="849"/>
      <c r="Y94" s="1101"/>
      <c r="Z94" s="1101"/>
      <c r="AA94" s="2456"/>
      <c r="AB94" s="2842"/>
      <c r="AC94" s="2843"/>
      <c r="AD94" s="2844">
        <f>SUM(AB94:AC94)</f>
        <v>0</v>
      </c>
      <c r="AE94" s="2845" t="s">
        <v>1265</v>
      </c>
      <c r="AG94" s="2367">
        <f t="shared" si="44"/>
        <v>0</v>
      </c>
      <c r="AH94" s="2367">
        <f t="shared" si="45"/>
        <v>0</v>
      </c>
      <c r="AI94" s="123" t="str">
        <f t="shared" si="33"/>
        <v>무부하 랙</v>
      </c>
      <c r="AJ94" t="str">
        <f t="shared" si="34"/>
        <v/>
      </c>
      <c r="AK94" t="str">
        <f t="shared" si="35"/>
        <v/>
      </c>
      <c r="AP94" s="123"/>
      <c r="AQ94" s="123"/>
      <c r="AR94" s="123"/>
      <c r="AS94" s="3084"/>
      <c r="AT94" s="123"/>
      <c r="AU94" s="123"/>
      <c r="AV94" s="3085"/>
      <c r="AW94" s="3086"/>
      <c r="AX94" s="3087"/>
      <c r="AY94" s="3088"/>
      <c r="AZ94" s="3089"/>
      <c r="BA94" s="3090"/>
      <c r="BB94" s="3091"/>
    </row>
    <row r="95" spans="1:54" ht="15" customHeight="1" thickTop="1">
      <c r="A95" s="1084" t="s">
        <v>1936</v>
      </c>
      <c r="B95" s="2653"/>
      <c r="C95" s="2664" t="s">
        <v>9236</v>
      </c>
      <c r="D95" s="3054">
        <v>2.2000000000000002</v>
      </c>
      <c r="E95" s="250" t="s">
        <v>1937</v>
      </c>
      <c r="F95" s="250" t="s">
        <v>1938</v>
      </c>
      <c r="G95" s="2641"/>
      <c r="H95" s="2636"/>
      <c r="I95" s="2128" t="str">
        <f t="shared" ref="I95:I104" si="46">"6-DaHall 1-PDU-"&amp;M95&amp;"-"&amp;L95&amp;"-"&amp;N95</f>
        <v>6-DaHall 1-PDU-01-30-25</v>
      </c>
      <c r="J95" s="2129" t="str">
        <f t="shared" ref="J95:J104" si="47">"6-DaHall 1-PDU-"&amp;Q95&amp;"-"&amp;P95&amp;"-"&amp;R95</f>
        <v>6-DaHall 1-PDU-02-30-25</v>
      </c>
      <c r="K95" s="1463">
        <v>220</v>
      </c>
      <c r="L95" s="1464">
        <v>30</v>
      </c>
      <c r="M95" s="2435" t="s">
        <v>6497</v>
      </c>
      <c r="N95" s="1465">
        <v>25</v>
      </c>
      <c r="O95" s="1466">
        <v>220</v>
      </c>
      <c r="P95" s="1467">
        <v>30</v>
      </c>
      <c r="Q95" s="2441" t="s">
        <v>6493</v>
      </c>
      <c r="R95" s="1468">
        <v>25</v>
      </c>
      <c r="S95" s="3353" t="s">
        <v>1861</v>
      </c>
      <c r="T95" s="3354" t="s">
        <v>1862</v>
      </c>
      <c r="U95" s="3345" t="s">
        <v>1863</v>
      </c>
      <c r="V95" s="3354" t="s">
        <v>1864</v>
      </c>
      <c r="W95" s="3345" t="s">
        <v>1880</v>
      </c>
      <c r="X95" s="3354" t="s">
        <v>1881</v>
      </c>
      <c r="Y95" s="328">
        <f>SUM('6층_부하량(월간_AVG)'!D214:F214)</f>
        <v>1.836744749531785</v>
      </c>
      <c r="Z95" s="328">
        <f>SUM('6층_부하량(월간_AVG)'!D244:F244)</f>
        <v>2.1190707338801982</v>
      </c>
      <c r="AA95" s="2454">
        <f t="shared" ref="AA95:AA102" si="48">SUM(Y95:Z95)</f>
        <v>3.9558154834119832</v>
      </c>
      <c r="AB95" s="2715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73.400000000000006</v>
      </c>
      <c r="AC95" s="2846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86.2</v>
      </c>
      <c r="AD95" s="2852">
        <f t="shared" ref="AD95:AD121" si="49">SUM(AB95:AC95)</f>
        <v>159.60000000000002</v>
      </c>
      <c r="AE95" s="2474"/>
      <c r="AG95" s="2367">
        <f t="shared" si="44"/>
        <v>0.21451612903225808</v>
      </c>
      <c r="AH95" s="2367">
        <f t="shared" si="45"/>
        <v>1.985483870967742</v>
      </c>
      <c r="AI95" s="123" t="str">
        <f t="shared" si="33"/>
        <v>적정함</v>
      </c>
      <c r="AJ95" t="str">
        <f t="shared" si="34"/>
        <v/>
      </c>
      <c r="AK95" t="str">
        <f t="shared" si="35"/>
        <v/>
      </c>
      <c r="AP95" s="123"/>
      <c r="AQ95" s="123"/>
      <c r="AR95" s="123"/>
      <c r="AS95" s="3084"/>
      <c r="AT95" s="123"/>
      <c r="AU95" s="123"/>
      <c r="AV95" s="3085"/>
      <c r="AW95" s="3086"/>
      <c r="AX95" s="3087"/>
      <c r="AY95" s="3088"/>
      <c r="AZ95" s="3089"/>
      <c r="BA95" s="3090"/>
      <c r="BB95" s="3091"/>
    </row>
    <row r="96" spans="1:54" ht="42" customHeight="1">
      <c r="A96" s="2652" t="s">
        <v>735</v>
      </c>
      <c r="B96" s="2653" t="s">
        <v>1939</v>
      </c>
      <c r="C96" s="2664" t="s">
        <v>9186</v>
      </c>
      <c r="D96" s="3053">
        <v>2.2000000000000002</v>
      </c>
      <c r="E96" s="250" t="s">
        <v>1940</v>
      </c>
      <c r="F96" s="250" t="s">
        <v>1941</v>
      </c>
      <c r="G96" s="2641" t="s">
        <v>1942</v>
      </c>
      <c r="H96" s="2636" t="s">
        <v>1943</v>
      </c>
      <c r="I96" s="2128" t="str">
        <f t="shared" si="46"/>
        <v>6-DaHall 1-PDU-01-30-27</v>
      </c>
      <c r="J96" s="2129" t="str">
        <f t="shared" si="47"/>
        <v>6-DaHall 1-PDU-02-30-27</v>
      </c>
      <c r="K96" s="1463">
        <v>220</v>
      </c>
      <c r="L96" s="1464">
        <v>30</v>
      </c>
      <c r="M96" s="2435" t="s">
        <v>6497</v>
      </c>
      <c r="N96" s="1465">
        <v>27</v>
      </c>
      <c r="O96" s="1466">
        <v>220</v>
      </c>
      <c r="P96" s="1467">
        <v>30</v>
      </c>
      <c r="Q96" s="2441" t="s">
        <v>6493</v>
      </c>
      <c r="R96" s="1468">
        <v>27</v>
      </c>
      <c r="S96" s="3351"/>
      <c r="T96" s="3340"/>
      <c r="U96" s="3343"/>
      <c r="V96" s="3340"/>
      <c r="W96" s="3343"/>
      <c r="X96" s="3340"/>
      <c r="Y96" s="253">
        <f>SUM('6층_부하량(월간_AVG)'!D215:F215)</f>
        <v>2.2752315122858007</v>
      </c>
      <c r="Z96" s="253">
        <f>SUM('6층_부하량(월간_AVG)'!D245:F245)</f>
        <v>1.34827116732848</v>
      </c>
      <c r="AA96" s="2452">
        <f t="shared" si="48"/>
        <v>3.6235026796142806</v>
      </c>
      <c r="AB96" s="2715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305.2</v>
      </c>
      <c r="AC96" s="2846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181.2</v>
      </c>
      <c r="AD96" s="2829">
        <f t="shared" si="49"/>
        <v>486.4</v>
      </c>
      <c r="AE96" s="2821"/>
      <c r="AG96" s="2367">
        <f t="shared" si="44"/>
        <v>0.65376344086021498</v>
      </c>
      <c r="AH96" s="2367">
        <f t="shared" si="45"/>
        <v>1.5462365591397851</v>
      </c>
      <c r="AI96" s="123" t="str">
        <f t="shared" si="33"/>
        <v>적정함</v>
      </c>
      <c r="AJ96" t="str">
        <f t="shared" si="34"/>
        <v/>
      </c>
      <c r="AK96" t="str">
        <f t="shared" si="35"/>
        <v/>
      </c>
      <c r="AP96" s="123"/>
      <c r="AQ96" s="123"/>
      <c r="AR96" s="123"/>
      <c r="AS96" s="3084"/>
      <c r="AT96" s="123"/>
      <c r="AU96" s="123"/>
      <c r="AV96" s="3085"/>
      <c r="AW96" s="3086"/>
      <c r="AX96" s="3087"/>
      <c r="AY96" s="3088"/>
      <c r="AZ96" s="3089"/>
      <c r="BA96" s="3090"/>
      <c r="BB96" s="3091"/>
    </row>
    <row r="97" spans="1:54" ht="28.8">
      <c r="A97" s="2652" t="s">
        <v>730</v>
      </c>
      <c r="B97" s="2653" t="s">
        <v>1944</v>
      </c>
      <c r="C97" s="2664" t="s">
        <v>9186</v>
      </c>
      <c r="D97" s="3054">
        <v>2.2000000000000002</v>
      </c>
      <c r="E97" s="250" t="s">
        <v>1945</v>
      </c>
      <c r="F97" s="250" t="s">
        <v>1946</v>
      </c>
      <c r="G97" s="2641" t="s">
        <v>1947</v>
      </c>
      <c r="H97" s="2636" t="s">
        <v>1948</v>
      </c>
      <c r="I97" s="2128" t="str">
        <f t="shared" si="46"/>
        <v>6-DaHall 1-PDU-01-30-29</v>
      </c>
      <c r="J97" s="2129" t="str">
        <f t="shared" si="47"/>
        <v>6-DaHall 1-PDU-02-30-29</v>
      </c>
      <c r="K97" s="1463">
        <v>220</v>
      </c>
      <c r="L97" s="1464">
        <v>30</v>
      </c>
      <c r="M97" s="2435" t="s">
        <v>6497</v>
      </c>
      <c r="N97" s="1465">
        <v>29</v>
      </c>
      <c r="O97" s="1466">
        <v>220</v>
      </c>
      <c r="P97" s="1467">
        <v>30</v>
      </c>
      <c r="Q97" s="2441" t="s">
        <v>6493</v>
      </c>
      <c r="R97" s="1468">
        <v>29</v>
      </c>
      <c r="S97" s="3351"/>
      <c r="T97" s="3340"/>
      <c r="U97" s="3343"/>
      <c r="V97" s="3340"/>
      <c r="W97" s="3343"/>
      <c r="X97" s="3340"/>
      <c r="Y97" s="253">
        <f>SUM('6층_부하량(월간_AVG)'!D216:F216)</f>
        <v>0</v>
      </c>
      <c r="Z97" s="253">
        <f>SUM('6층_부하량(월간_AVG)'!D246:F246)</f>
        <v>0</v>
      </c>
      <c r="AA97" s="2452">
        <f t="shared" si="48"/>
        <v>0</v>
      </c>
      <c r="AB97" s="2715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46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29">
        <f t="shared" si="49"/>
        <v>0</v>
      </c>
      <c r="AE97" s="2821"/>
      <c r="AG97" s="2367">
        <f t="shared" si="44"/>
        <v>0</v>
      </c>
      <c r="AH97" s="2367">
        <f t="shared" si="45"/>
        <v>2.2000000000000002</v>
      </c>
      <c r="AI97" s="123" t="str">
        <f t="shared" si="33"/>
        <v>무부하 랙</v>
      </c>
      <c r="AJ97" t="str">
        <f t="shared" si="34"/>
        <v/>
      </c>
      <c r="AK97" t="str">
        <f t="shared" si="35"/>
        <v/>
      </c>
      <c r="AP97" s="123"/>
      <c r="AQ97" s="123"/>
      <c r="AR97" s="123"/>
      <c r="AS97" s="3084"/>
      <c r="AT97" s="123"/>
      <c r="AU97" s="123"/>
      <c r="AV97" s="3085"/>
      <c r="AW97" s="3086"/>
      <c r="AX97" s="3087"/>
      <c r="AY97" s="3088"/>
      <c r="AZ97" s="3089"/>
      <c r="BA97" s="3090"/>
      <c r="BB97" s="3091"/>
    </row>
    <row r="98" spans="1:54" ht="28.8">
      <c r="A98" s="2652" t="s">
        <v>1949</v>
      </c>
      <c r="B98" s="2653" t="s">
        <v>1950</v>
      </c>
      <c r="C98" s="2664" t="s">
        <v>9236</v>
      </c>
      <c r="D98" s="3054">
        <v>2.2000000000000002</v>
      </c>
      <c r="E98" s="250" t="s">
        <v>1951</v>
      </c>
      <c r="F98" s="250" t="s">
        <v>1952</v>
      </c>
      <c r="G98" s="2641" t="s">
        <v>1953</v>
      </c>
      <c r="H98" s="2037" t="s">
        <v>1954</v>
      </c>
      <c r="I98" s="2128" t="str">
        <f t="shared" si="46"/>
        <v>6-DaHall 1-PDU-01-30-31</v>
      </c>
      <c r="J98" s="2129" t="str">
        <f t="shared" si="47"/>
        <v>6-DaHall 1-PDU-02-30-31</v>
      </c>
      <c r="K98" s="1463">
        <v>220</v>
      </c>
      <c r="L98" s="1464">
        <v>30</v>
      </c>
      <c r="M98" s="2435" t="s">
        <v>6497</v>
      </c>
      <c r="N98" s="1465">
        <v>31</v>
      </c>
      <c r="O98" s="1466">
        <v>220</v>
      </c>
      <c r="P98" s="1467">
        <v>30</v>
      </c>
      <c r="Q98" s="2441" t="s">
        <v>6493</v>
      </c>
      <c r="R98" s="1468">
        <v>31</v>
      </c>
      <c r="S98" s="3351"/>
      <c r="T98" s="3340"/>
      <c r="U98" s="3343"/>
      <c r="V98" s="3340"/>
      <c r="W98" s="3343"/>
      <c r="X98" s="3340"/>
      <c r="Y98" s="253">
        <f>SUM('6층_부하량(월간_AVG)'!D217:F217)</f>
        <v>0.88031589504384911</v>
      </c>
      <c r="Z98" s="253">
        <f>SUM('6층_부하량(월간_AVG)'!D247:F247)</f>
        <v>0.91738021845639894</v>
      </c>
      <c r="AA98" s="2452">
        <f t="shared" si="48"/>
        <v>1.797696113500248</v>
      </c>
      <c r="AB98" s="2715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3</v>
      </c>
      <c r="AC98" s="2846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3.1</v>
      </c>
      <c r="AD98" s="2829">
        <f t="shared" si="49"/>
        <v>6.1</v>
      </c>
      <c r="AE98" s="2475"/>
      <c r="AG98" s="2367">
        <f t="shared" si="44"/>
        <v>8.1989247311827947E-3</v>
      </c>
      <c r="AH98" s="2367">
        <f t="shared" si="45"/>
        <v>2.1918010752688173</v>
      </c>
      <c r="AI98" s="123" t="str">
        <f t="shared" si="33"/>
        <v>적정함</v>
      </c>
      <c r="AJ98" t="str">
        <f t="shared" si="34"/>
        <v/>
      </c>
      <c r="AK98" t="str">
        <f t="shared" si="35"/>
        <v/>
      </c>
      <c r="AP98" s="123"/>
      <c r="AQ98" s="123"/>
      <c r="AR98" s="123"/>
      <c r="AS98" s="3084"/>
      <c r="AT98" s="123"/>
      <c r="AU98" s="123"/>
      <c r="AV98" s="3085"/>
      <c r="AW98" s="3086"/>
      <c r="AX98" s="3087"/>
      <c r="AY98" s="3088"/>
      <c r="AZ98" s="3089"/>
      <c r="BA98" s="3090"/>
      <c r="BB98" s="3091"/>
    </row>
    <row r="99" spans="1:54" ht="28.8">
      <c r="A99" s="2652" t="s">
        <v>1955</v>
      </c>
      <c r="B99" s="2653" t="s">
        <v>1956</v>
      </c>
      <c r="C99" s="2664" t="s">
        <v>9236</v>
      </c>
      <c r="D99" s="3054">
        <v>2.2000000000000002</v>
      </c>
      <c r="E99" s="250" t="s">
        <v>1957</v>
      </c>
      <c r="F99" s="250" t="s">
        <v>1958</v>
      </c>
      <c r="G99" s="2641" t="s">
        <v>1959</v>
      </c>
      <c r="H99" s="2037" t="s">
        <v>1960</v>
      </c>
      <c r="I99" s="2128" t="str">
        <f t="shared" si="46"/>
        <v>6-DaHall 1-PDU-01-30-33</v>
      </c>
      <c r="J99" s="2129" t="str">
        <f t="shared" si="47"/>
        <v>6-DaHall 1-PDU-02-30-33</v>
      </c>
      <c r="K99" s="1463">
        <v>220</v>
      </c>
      <c r="L99" s="1464">
        <v>30</v>
      </c>
      <c r="M99" s="2435" t="s">
        <v>6497</v>
      </c>
      <c r="N99" s="1465">
        <v>33</v>
      </c>
      <c r="O99" s="1466">
        <v>220</v>
      </c>
      <c r="P99" s="1467">
        <v>30</v>
      </c>
      <c r="Q99" s="2441" t="s">
        <v>6493</v>
      </c>
      <c r="R99" s="1468">
        <v>33</v>
      </c>
      <c r="S99" s="3351"/>
      <c r="T99" s="3340"/>
      <c r="U99" s="3343"/>
      <c r="V99" s="3340"/>
      <c r="W99" s="3343"/>
      <c r="X99" s="3340"/>
      <c r="Y99" s="253">
        <f>SUM('6층_부하량(월간_AVG)'!D218:F218)</f>
        <v>0.9161145973371474</v>
      </c>
      <c r="Z99" s="253">
        <f>SUM('6층_부하량(월간_AVG)'!D248:F248)</f>
        <v>0.88842142173334537</v>
      </c>
      <c r="AA99" s="2452">
        <f t="shared" si="48"/>
        <v>1.8045360190704929</v>
      </c>
      <c r="AB99" s="2715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1.8</v>
      </c>
      <c r="AC99" s="2846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2.2999999999999998</v>
      </c>
      <c r="AD99" s="2829">
        <f t="shared" si="49"/>
        <v>4.0999999999999996</v>
      </c>
      <c r="AE99" s="2475"/>
      <c r="AG99" s="2367">
        <f t="shared" si="44"/>
        <v>5.5107526881720426E-3</v>
      </c>
      <c r="AH99" s="2367">
        <f t="shared" si="45"/>
        <v>2.1944892473118283</v>
      </c>
      <c r="AI99" s="123" t="str">
        <f t="shared" si="33"/>
        <v>적정함</v>
      </c>
      <c r="AJ99" t="str">
        <f t="shared" si="34"/>
        <v/>
      </c>
      <c r="AK99" t="str">
        <f t="shared" si="35"/>
        <v/>
      </c>
      <c r="AP99" s="123"/>
      <c r="AQ99" s="123"/>
      <c r="AR99" s="123"/>
      <c r="AS99" s="3084"/>
      <c r="AT99" s="123"/>
      <c r="AU99" s="123"/>
      <c r="AV99" s="3085"/>
      <c r="AW99" s="3086"/>
      <c r="AX99" s="3087"/>
      <c r="AY99" s="3088"/>
      <c r="AZ99" s="3089"/>
      <c r="BA99" s="3090"/>
      <c r="BB99" s="3091"/>
    </row>
    <row r="100" spans="1:54" ht="28.8">
      <c r="A100" s="2652" t="s">
        <v>1961</v>
      </c>
      <c r="B100" s="2653" t="s">
        <v>1962</v>
      </c>
      <c r="C100" s="2664" t="s">
        <v>9236</v>
      </c>
      <c r="D100" s="3054">
        <v>6</v>
      </c>
      <c r="E100" s="250" t="s">
        <v>1937</v>
      </c>
      <c r="F100" s="250" t="s">
        <v>1938</v>
      </c>
      <c r="G100" s="2641" t="s">
        <v>1963</v>
      </c>
      <c r="H100" s="2037" t="s">
        <v>1964</v>
      </c>
      <c r="I100" s="2128" t="str">
        <f t="shared" si="46"/>
        <v>6-DaHall 1-PDU-01-30-35</v>
      </c>
      <c r="J100" s="2129" t="str">
        <f t="shared" si="47"/>
        <v>6-DaHall 1-PDU-02-30-35</v>
      </c>
      <c r="K100" s="1463">
        <v>220</v>
      </c>
      <c r="L100" s="1464">
        <v>30</v>
      </c>
      <c r="M100" s="2435" t="s">
        <v>6497</v>
      </c>
      <c r="N100" s="1465">
        <v>35</v>
      </c>
      <c r="O100" s="1466">
        <v>220</v>
      </c>
      <c r="P100" s="1467">
        <v>30</v>
      </c>
      <c r="Q100" s="2441" t="s">
        <v>6493</v>
      </c>
      <c r="R100" s="1468">
        <v>35</v>
      </c>
      <c r="S100" s="3351"/>
      <c r="T100" s="3340"/>
      <c r="U100" s="3343"/>
      <c r="V100" s="3340"/>
      <c r="W100" s="3343"/>
      <c r="X100" s="3340"/>
      <c r="Y100" s="253">
        <f>SUM('6층_부하량(월간_AVG)'!D219:F219)</f>
        <v>0.6333602560000513</v>
      </c>
      <c r="Z100" s="253">
        <f>SUM('6층_부하량(월간_AVG)'!D249:F249)</f>
        <v>0.5877666162544426</v>
      </c>
      <c r="AA100" s="2452">
        <f t="shared" si="48"/>
        <v>1.2211268722544939</v>
      </c>
      <c r="AB100" s="2715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11</v>
      </c>
      <c r="AC100" s="2846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10.3</v>
      </c>
      <c r="AD100" s="2829">
        <f t="shared" si="49"/>
        <v>21.3</v>
      </c>
      <c r="AE100" s="2821"/>
      <c r="AG100" s="2367">
        <f t="shared" si="44"/>
        <v>2.8629032258064516E-2</v>
      </c>
      <c r="AH100" s="2367">
        <f t="shared" si="45"/>
        <v>5.9713709677419358</v>
      </c>
      <c r="AI100" s="123" t="str">
        <f t="shared" si="33"/>
        <v>적정함</v>
      </c>
      <c r="AJ100" t="str">
        <f t="shared" si="34"/>
        <v/>
      </c>
      <c r="AK100" t="str">
        <f t="shared" si="35"/>
        <v/>
      </c>
      <c r="AP100" s="123"/>
      <c r="AQ100" s="123"/>
      <c r="AR100" s="123"/>
      <c r="AS100" s="3084"/>
      <c r="AT100" s="123"/>
      <c r="AU100" s="123"/>
      <c r="AV100" s="3085"/>
      <c r="AW100" s="3086"/>
      <c r="AX100" s="3087"/>
      <c r="AY100" s="3088"/>
      <c r="AZ100" s="3089"/>
      <c r="BA100" s="3090"/>
      <c r="BB100" s="3091"/>
    </row>
    <row r="101" spans="1:54" ht="28.8">
      <c r="A101" s="2652" t="s">
        <v>1965</v>
      </c>
      <c r="B101" s="250" t="s">
        <v>1966</v>
      </c>
      <c r="C101" s="2664"/>
      <c r="D101" s="3055"/>
      <c r="E101" s="250" t="s">
        <v>1967</v>
      </c>
      <c r="F101" s="250" t="s">
        <v>1968</v>
      </c>
      <c r="G101" s="2641" t="s">
        <v>1969</v>
      </c>
      <c r="H101" s="2037" t="s">
        <v>1970</v>
      </c>
      <c r="I101" s="2128" t="str">
        <f t="shared" si="46"/>
        <v>6-DaHall 1-PDU-01-30-37</v>
      </c>
      <c r="J101" s="2129" t="str">
        <f t="shared" si="47"/>
        <v>6-DaHall 1-PDU-02-30-37</v>
      </c>
      <c r="K101" s="1463">
        <v>220</v>
      </c>
      <c r="L101" s="1464">
        <v>30</v>
      </c>
      <c r="M101" s="2435" t="s">
        <v>6497</v>
      </c>
      <c r="N101" s="1465">
        <v>37</v>
      </c>
      <c r="O101" s="1466">
        <v>220</v>
      </c>
      <c r="P101" s="1467">
        <v>30</v>
      </c>
      <c r="Q101" s="2441" t="s">
        <v>6493</v>
      </c>
      <c r="R101" s="1468">
        <v>37</v>
      </c>
      <c r="S101" s="3351"/>
      <c r="T101" s="3340"/>
      <c r="U101" s="3343"/>
      <c r="V101" s="3340"/>
      <c r="W101" s="3343"/>
      <c r="X101" s="3340"/>
      <c r="Y101" s="253">
        <f>SUM('6층_부하량(월간_AVG)'!D220:F220)</f>
        <v>0</v>
      </c>
      <c r="Z101" s="253">
        <f>SUM('6층_부하량(월간_AVG)'!D250:F250)</f>
        <v>0</v>
      </c>
      <c r="AA101" s="2452">
        <f t="shared" si="48"/>
        <v>0</v>
      </c>
      <c r="AB101" s="2715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46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29">
        <f t="shared" si="49"/>
        <v>0</v>
      </c>
      <c r="AE101" s="2821"/>
      <c r="AG101" s="2367">
        <f t="shared" si="44"/>
        <v>0</v>
      </c>
      <c r="AH101" s="2367">
        <f t="shared" si="45"/>
        <v>0</v>
      </c>
      <c r="AI101" s="123" t="str">
        <f t="shared" si="33"/>
        <v>무부하 랙</v>
      </c>
      <c r="AJ101" t="str">
        <f t="shared" si="34"/>
        <v/>
      </c>
      <c r="AK101" t="str">
        <f t="shared" si="35"/>
        <v/>
      </c>
      <c r="AP101" s="123"/>
      <c r="AQ101" s="123"/>
      <c r="AR101" s="123"/>
      <c r="AS101" s="3084"/>
      <c r="AT101" s="123"/>
      <c r="AU101" s="123"/>
      <c r="AV101" s="3085"/>
      <c r="AW101" s="3086"/>
      <c r="AX101" s="3087"/>
      <c r="AY101" s="3088"/>
      <c r="AZ101" s="3089"/>
      <c r="BA101" s="3090"/>
      <c r="BB101" s="3091"/>
    </row>
    <row r="102" spans="1:54" ht="28.8">
      <c r="A102" s="2652" t="s">
        <v>1971</v>
      </c>
      <c r="B102" s="2653" t="s">
        <v>1972</v>
      </c>
      <c r="C102" s="2664" t="s">
        <v>9236</v>
      </c>
      <c r="D102" s="3054">
        <v>2.2000000000000002</v>
      </c>
      <c r="E102" s="250" t="s">
        <v>1973</v>
      </c>
      <c r="F102" s="250" t="s">
        <v>1974</v>
      </c>
      <c r="G102" s="2641" t="s">
        <v>1975</v>
      </c>
      <c r="H102" s="2037" t="s">
        <v>1976</v>
      </c>
      <c r="I102" s="2128" t="str">
        <f t="shared" si="46"/>
        <v>6-DaHall 1-PDU-01-30-39</v>
      </c>
      <c r="J102" s="2129" t="str">
        <f t="shared" si="47"/>
        <v>6-DaHall 1-PDU-02-30-39</v>
      </c>
      <c r="K102" s="1463">
        <v>220</v>
      </c>
      <c r="L102" s="1464">
        <v>30</v>
      </c>
      <c r="M102" s="2435" t="s">
        <v>6497</v>
      </c>
      <c r="N102" s="1465">
        <v>39</v>
      </c>
      <c r="O102" s="1466">
        <v>220</v>
      </c>
      <c r="P102" s="1467">
        <v>30</v>
      </c>
      <c r="Q102" s="2441" t="s">
        <v>6493</v>
      </c>
      <c r="R102" s="1468">
        <v>39</v>
      </c>
      <c r="S102" s="3351"/>
      <c r="T102" s="3340"/>
      <c r="U102" s="3343"/>
      <c r="V102" s="3340"/>
      <c r="W102" s="3343"/>
      <c r="X102" s="3340"/>
      <c r="Y102" s="253">
        <f>SUM('6층_부하량(월간_AVG)'!D221:F221)</f>
        <v>3.9587676627287471E-3</v>
      </c>
      <c r="Z102" s="253">
        <f>SUM('6층_부하량(월간_AVG)'!D251:F251)</f>
        <v>3.2295044001852732E-3</v>
      </c>
      <c r="AA102" s="2452">
        <f t="shared" si="48"/>
        <v>7.1882720629140202E-3</v>
      </c>
      <c r="AB102" s="2715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46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29">
        <f t="shared" si="49"/>
        <v>0</v>
      </c>
      <c r="AE102" s="2475"/>
      <c r="AG102" s="2367">
        <f t="shared" si="44"/>
        <v>0</v>
      </c>
      <c r="AH102" s="2367">
        <f t="shared" si="45"/>
        <v>2.2000000000000002</v>
      </c>
      <c r="AI102" s="123" t="str">
        <f t="shared" si="33"/>
        <v>무부하 랙</v>
      </c>
      <c r="AJ102" t="str">
        <f t="shared" si="34"/>
        <v/>
      </c>
      <c r="AK102" t="str">
        <f t="shared" si="35"/>
        <v/>
      </c>
      <c r="AP102" s="123"/>
      <c r="AQ102" s="123"/>
      <c r="AR102" s="123"/>
      <c r="AS102" s="3084"/>
      <c r="AT102" s="123"/>
      <c r="AU102" s="123"/>
      <c r="AV102" s="3085"/>
      <c r="AW102" s="3086"/>
      <c r="AX102" s="3087"/>
      <c r="AY102" s="3088"/>
      <c r="AZ102" s="3089"/>
      <c r="BA102" s="3090"/>
      <c r="BB102" s="3091"/>
    </row>
    <row r="103" spans="1:54" ht="28.05" customHeight="1">
      <c r="A103" s="2652" t="s">
        <v>1977</v>
      </c>
      <c r="B103" s="2653" t="s">
        <v>1978</v>
      </c>
      <c r="C103" s="2664" t="s">
        <v>9237</v>
      </c>
      <c r="D103" s="3053">
        <v>2.2000000000000002</v>
      </c>
      <c r="E103" s="250" t="s">
        <v>1979</v>
      </c>
      <c r="F103" s="250" t="s">
        <v>1980</v>
      </c>
      <c r="G103" s="2641" t="s">
        <v>1981</v>
      </c>
      <c r="H103" s="2636" t="s">
        <v>1982</v>
      </c>
      <c r="I103" s="2128" t="str">
        <f t="shared" si="46"/>
        <v>6-DaHall 1-PDU-01-30-41</v>
      </c>
      <c r="J103" s="2129" t="str">
        <f t="shared" si="47"/>
        <v>6-DaHall 1-PDU-02-30-41</v>
      </c>
      <c r="K103" s="1463">
        <v>220</v>
      </c>
      <c r="L103" s="1464">
        <v>30</v>
      </c>
      <c r="M103" s="2435" t="s">
        <v>6497</v>
      </c>
      <c r="N103" s="1465">
        <v>41</v>
      </c>
      <c r="O103" s="1466">
        <v>220</v>
      </c>
      <c r="P103" s="1467">
        <v>30</v>
      </c>
      <c r="Q103" s="2441" t="s">
        <v>6493</v>
      </c>
      <c r="R103" s="1468">
        <v>41</v>
      </c>
      <c r="S103" s="3351"/>
      <c r="T103" s="3340"/>
      <c r="U103" s="3343"/>
      <c r="V103" s="3340"/>
      <c r="W103" s="3343"/>
      <c r="X103" s="3340"/>
      <c r="Y103" s="253">
        <f>SUM('6층_부하량(월간_AVG)'!D222:F222)</f>
        <v>0.8150931982195968</v>
      </c>
      <c r="Z103" s="253">
        <f>SUM('6층_부하량(월간_AVG)'!D252:F252)</f>
        <v>0.62927207408446728</v>
      </c>
      <c r="AA103" s="2466">
        <f>SUM(Y103:Z103)</f>
        <v>1.4443652723040641</v>
      </c>
      <c r="AB103" s="2715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119.1</v>
      </c>
      <c r="AC103" s="2846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86.8</v>
      </c>
      <c r="AD103" s="2854">
        <f t="shared" si="49"/>
        <v>205.89999999999998</v>
      </c>
      <c r="AE103" s="2855"/>
      <c r="AG103" s="2367">
        <f t="shared" si="44"/>
        <v>0.27674731182795698</v>
      </c>
      <c r="AH103" s="2367">
        <f t="shared" si="45"/>
        <v>1.9232526881720431</v>
      </c>
      <c r="AI103" s="123" t="str">
        <f t="shared" si="33"/>
        <v>적정함</v>
      </c>
      <c r="AJ103" t="str">
        <f t="shared" si="34"/>
        <v/>
      </c>
      <c r="AK103" t="str">
        <f t="shared" si="35"/>
        <v/>
      </c>
      <c r="AP103" s="123"/>
      <c r="AQ103" s="123"/>
      <c r="AR103" s="123"/>
      <c r="AS103" s="3084"/>
      <c r="AT103" s="123"/>
      <c r="AU103" s="123"/>
      <c r="AV103" s="3085"/>
      <c r="AW103" s="3086"/>
      <c r="AX103" s="3087"/>
      <c r="AY103" s="3088"/>
      <c r="AZ103" s="3089"/>
      <c r="BA103" s="3090"/>
      <c r="BB103" s="3091"/>
    </row>
    <row r="104" spans="1:54" ht="28.8">
      <c r="A104" s="2652" t="s">
        <v>705</v>
      </c>
      <c r="B104" s="250" t="s">
        <v>1983</v>
      </c>
      <c r="C104" s="2664" t="s">
        <v>9238</v>
      </c>
      <c r="D104" s="3053">
        <v>4.4000000000000004</v>
      </c>
      <c r="E104" s="2712" t="s">
        <v>1984</v>
      </c>
      <c r="F104" s="2712" t="s">
        <v>1985</v>
      </c>
      <c r="G104" s="2641" t="s">
        <v>1986</v>
      </c>
      <c r="H104" s="2636" t="s">
        <v>1987</v>
      </c>
      <c r="I104" s="2128" t="str">
        <f t="shared" si="46"/>
        <v>6-DaHall 1-PDU-01-30-49</v>
      </c>
      <c r="J104" s="2129" t="str">
        <f t="shared" si="47"/>
        <v>6-DaHall 1-PDU-02-30-30</v>
      </c>
      <c r="K104" s="1463">
        <v>220</v>
      </c>
      <c r="L104" s="1464">
        <v>30</v>
      </c>
      <c r="M104" s="2435" t="s">
        <v>6497</v>
      </c>
      <c r="N104" s="1465">
        <v>49</v>
      </c>
      <c r="O104" s="1466">
        <v>220</v>
      </c>
      <c r="P104" s="1467">
        <v>30</v>
      </c>
      <c r="Q104" s="2441" t="s">
        <v>6493</v>
      </c>
      <c r="R104" s="1468">
        <v>30</v>
      </c>
      <c r="S104" s="3351"/>
      <c r="T104" s="3340"/>
      <c r="U104" s="3343"/>
      <c r="V104" s="3340"/>
      <c r="W104" s="3343"/>
      <c r="X104" s="3340"/>
      <c r="Y104" s="253">
        <f>SUM('6층_부하량(월간_AVG)'!D226:F226)</f>
        <v>7.651501531928151</v>
      </c>
      <c r="Z104" s="253">
        <f>SUM('6층_부하량(월간_AVG)'!L246:N246)</f>
        <v>7.6026623552780954</v>
      </c>
      <c r="AA104" s="3013">
        <f>SUM(Y104:Z104)</f>
        <v>15.254163887206246</v>
      </c>
      <c r="AB104" s="2715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1179</v>
      </c>
      <c r="AC104" s="2846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1169.0999999999999</v>
      </c>
      <c r="AD104" s="2829">
        <f t="shared" si="49"/>
        <v>2348.1</v>
      </c>
      <c r="AE104" s="3014"/>
      <c r="AG104" s="2367">
        <f t="shared" si="44"/>
        <v>3.1560483870967739</v>
      </c>
      <c r="AH104" s="2367">
        <f t="shared" si="45"/>
        <v>1.2439516129032264</v>
      </c>
      <c r="AI104" s="123" t="str">
        <f t="shared" si="33"/>
        <v>적정함</v>
      </c>
      <c r="AJ104" t="str">
        <f t="shared" si="34"/>
        <v/>
      </c>
      <c r="AK104" t="str">
        <f t="shared" si="35"/>
        <v/>
      </c>
      <c r="AP104" s="123"/>
      <c r="AQ104" s="123"/>
      <c r="AR104" s="123"/>
      <c r="AS104" s="3084"/>
      <c r="AT104" s="123"/>
      <c r="AU104" s="123"/>
      <c r="AV104" s="3085"/>
      <c r="AW104" s="3086"/>
      <c r="AX104" s="3087"/>
      <c r="AY104" s="3088"/>
      <c r="AZ104" s="3089"/>
      <c r="BA104" s="3090"/>
      <c r="BB104" s="3091"/>
    </row>
    <row r="105" spans="1:54" ht="33" thickBot="1">
      <c r="A105" s="2660" t="s">
        <v>1988</v>
      </c>
      <c r="B105" s="2661"/>
      <c r="C105" s="3154" t="s">
        <v>9300</v>
      </c>
      <c r="D105" s="2688"/>
      <c r="E105" s="839"/>
      <c r="F105" s="839"/>
      <c r="G105" s="2709"/>
      <c r="H105" s="2692"/>
      <c r="I105" s="2130"/>
      <c r="J105" s="2131"/>
      <c r="K105" s="1480"/>
      <c r="L105" s="1481"/>
      <c r="M105" s="2436"/>
      <c r="N105" s="1482"/>
      <c r="O105" s="1483"/>
      <c r="P105" s="1484"/>
      <c r="Q105" s="2442"/>
      <c r="R105" s="1485"/>
      <c r="S105" s="3352"/>
      <c r="T105" s="3341"/>
      <c r="U105" s="3344"/>
      <c r="V105" s="3341"/>
      <c r="W105" s="3344"/>
      <c r="X105" s="3341"/>
      <c r="Y105" s="329"/>
      <c r="Z105" s="329"/>
      <c r="AA105" s="2453"/>
      <c r="AB105" s="2862"/>
      <c r="AC105" s="2833"/>
      <c r="AD105" s="2834"/>
      <c r="AE105" s="2473"/>
      <c r="AG105" s="2367">
        <f t="shared" si="44"/>
        <v>0</v>
      </c>
      <c r="AH105" s="2367">
        <f t="shared" si="45"/>
        <v>0</v>
      </c>
      <c r="AI105" s="123" t="str">
        <f t="shared" si="33"/>
        <v>무부하 랙</v>
      </c>
      <c r="AJ105" t="str">
        <f t="shared" si="34"/>
        <v/>
      </c>
      <c r="AK105" t="str">
        <f t="shared" si="35"/>
        <v/>
      </c>
      <c r="AP105" s="123"/>
      <c r="AQ105" s="123"/>
      <c r="AR105" s="123"/>
      <c r="AS105" s="3084"/>
      <c r="AT105" s="123"/>
      <c r="AU105" s="123"/>
      <c r="AV105" s="3085"/>
      <c r="AW105" s="3086"/>
      <c r="AX105" s="3087"/>
      <c r="AY105" s="3088"/>
      <c r="AZ105" s="3089"/>
      <c r="BA105" s="3090"/>
      <c r="BB105" s="3091"/>
    </row>
    <row r="106" spans="1:54" ht="15" thickTop="1">
      <c r="A106" s="1084" t="s">
        <v>1687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55"/>
      <c r="AB106" s="2826"/>
      <c r="AC106" s="2827"/>
      <c r="AD106" s="2835">
        <f t="shared" si="49"/>
        <v>0</v>
      </c>
      <c r="AE106" s="2828" t="s">
        <v>1265</v>
      </c>
      <c r="AG106" s="2367">
        <f t="shared" si="44"/>
        <v>0</v>
      </c>
      <c r="AH106" s="2367">
        <f t="shared" si="45"/>
        <v>0</v>
      </c>
      <c r="AI106" s="123" t="str">
        <f t="shared" si="33"/>
        <v>무부하 랙</v>
      </c>
      <c r="AJ106" t="str">
        <f t="shared" si="34"/>
        <v/>
      </c>
      <c r="AK106" t="str">
        <f t="shared" si="35"/>
        <v/>
      </c>
      <c r="AP106" s="123"/>
      <c r="AQ106" s="123"/>
      <c r="AR106" s="123"/>
      <c r="AS106" s="3084"/>
      <c r="AT106" s="123"/>
      <c r="AU106" s="123"/>
      <c r="AV106" s="3085"/>
      <c r="AW106" s="3086"/>
      <c r="AX106" s="3087"/>
      <c r="AY106" s="3088"/>
      <c r="AZ106" s="3089"/>
      <c r="BA106" s="3090"/>
      <c r="BB106" s="3091"/>
    </row>
    <row r="107" spans="1:54" ht="28.5" customHeight="1">
      <c r="A107" s="2652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41" t="s">
        <v>1692</v>
      </c>
      <c r="H107" s="2636" t="s">
        <v>1693</v>
      </c>
      <c r="I107" s="2128" t="str">
        <f t="shared" ref="I107:I115" si="50">"6-DaHall 1-PDU-"&amp;M107&amp;"-"&amp;L107&amp;"-"&amp;N107</f>
        <v>6-DaHall 1-PDU-01-30-45</v>
      </c>
      <c r="J107" s="2129" t="str">
        <f t="shared" ref="J107:J115" si="51">"6-DaHall 1-PDU-"&amp;Q107&amp;"-"&amp;P107&amp;"-"&amp;R107</f>
        <v>6-DaHall 1-PDU-02-30-45</v>
      </c>
      <c r="K107" s="1463">
        <v>220</v>
      </c>
      <c r="L107" s="1464">
        <v>30</v>
      </c>
      <c r="M107" s="2435" t="s">
        <v>6497</v>
      </c>
      <c r="N107" s="1465">
        <v>45</v>
      </c>
      <c r="O107" s="1466">
        <v>220</v>
      </c>
      <c r="P107" s="1467">
        <v>30</v>
      </c>
      <c r="Q107" s="2441" t="s">
        <v>6493</v>
      </c>
      <c r="R107" s="1468">
        <v>45</v>
      </c>
      <c r="S107" s="3356" t="s">
        <v>1694</v>
      </c>
      <c r="T107" s="3336" t="s">
        <v>1695</v>
      </c>
      <c r="U107" s="3356" t="s">
        <v>1696</v>
      </c>
      <c r="V107" s="3336" t="s">
        <v>1697</v>
      </c>
      <c r="W107" s="3356" t="s">
        <v>1276</v>
      </c>
      <c r="X107" s="3336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52">
        <f t="shared" ref="AA107:AA115" si="52">SUM(Y107:Z107)</f>
        <v>0</v>
      </c>
      <c r="AB107" s="2715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36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29">
        <f t="shared" si="49"/>
        <v>0</v>
      </c>
      <c r="AE107" s="2821"/>
      <c r="AG107" s="2367">
        <f t="shared" si="44"/>
        <v>0</v>
      </c>
      <c r="AH107" s="2367">
        <f t="shared" si="45"/>
        <v>0</v>
      </c>
      <c r="AI107" s="123" t="str">
        <f t="shared" si="33"/>
        <v>무부하 랙</v>
      </c>
      <c r="AJ107" t="str">
        <f t="shared" si="34"/>
        <v/>
      </c>
      <c r="AK107" t="str">
        <f t="shared" si="35"/>
        <v/>
      </c>
      <c r="AP107" s="123"/>
      <c r="AQ107" s="123"/>
      <c r="AR107" s="123"/>
      <c r="AS107" s="3084"/>
      <c r="AT107" s="123"/>
      <c r="AU107" s="123"/>
      <c r="AV107" s="3085"/>
      <c r="AW107" s="3086"/>
      <c r="AX107" s="3087"/>
      <c r="AY107" s="3088"/>
      <c r="AZ107" s="3089"/>
      <c r="BA107" s="3090"/>
      <c r="BB107" s="3091"/>
    </row>
    <row r="108" spans="1:54" ht="27.75" customHeight="1">
      <c r="A108" s="2652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41" t="s">
        <v>1702</v>
      </c>
      <c r="H108" s="2636" t="s">
        <v>1703</v>
      </c>
      <c r="I108" s="2128" t="str">
        <f t="shared" si="50"/>
        <v>6-DaHall 1-PDU-01-30-47</v>
      </c>
      <c r="J108" s="2129" t="str">
        <f t="shared" si="51"/>
        <v>6-DaHall 1-PDU-02-30-47</v>
      </c>
      <c r="K108" s="1463">
        <v>220</v>
      </c>
      <c r="L108" s="1464">
        <v>30</v>
      </c>
      <c r="M108" s="2435" t="s">
        <v>6497</v>
      </c>
      <c r="N108" s="1465">
        <v>47</v>
      </c>
      <c r="O108" s="1466">
        <v>220</v>
      </c>
      <c r="P108" s="1467">
        <v>30</v>
      </c>
      <c r="Q108" s="2441" t="s">
        <v>6493</v>
      </c>
      <c r="R108" s="1468">
        <v>47</v>
      </c>
      <c r="S108" s="3356"/>
      <c r="T108" s="3336"/>
      <c r="U108" s="3356"/>
      <c r="V108" s="3336"/>
      <c r="W108" s="3364"/>
      <c r="X108" s="3365"/>
      <c r="Y108" s="268">
        <f>SUM('6층_부하량(월간_AVG)'!D225:F225)</f>
        <v>0</v>
      </c>
      <c r="Z108" s="268">
        <f>SUM('6층_부하량(월간_AVG)'!D255:F255)</f>
        <v>0</v>
      </c>
      <c r="AA108" s="2452">
        <f t="shared" si="52"/>
        <v>0</v>
      </c>
      <c r="AB108" s="2715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36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29">
        <f t="shared" si="49"/>
        <v>0</v>
      </c>
      <c r="AE108" s="2821"/>
      <c r="AG108" s="2367">
        <f t="shared" si="44"/>
        <v>0</v>
      </c>
      <c r="AH108" s="2367">
        <f t="shared" si="45"/>
        <v>0</v>
      </c>
      <c r="AI108" s="123" t="str">
        <f t="shared" si="33"/>
        <v>무부하 랙</v>
      </c>
      <c r="AJ108" t="str">
        <f t="shared" si="34"/>
        <v/>
      </c>
      <c r="AK108" t="str">
        <f t="shared" si="35"/>
        <v/>
      </c>
      <c r="AP108" s="123"/>
      <c r="AQ108" s="123"/>
      <c r="AR108" s="123"/>
      <c r="AS108" s="3084"/>
      <c r="AT108" s="123"/>
      <c r="AU108" s="123"/>
      <c r="AV108" s="3085"/>
      <c r="AW108" s="3086"/>
      <c r="AX108" s="3087"/>
      <c r="AY108" s="3088"/>
      <c r="AZ108" s="3089"/>
      <c r="BA108" s="3090"/>
      <c r="BB108" s="3091"/>
    </row>
    <row r="109" spans="1:54" ht="43.2">
      <c r="A109" s="2652" t="s">
        <v>1704</v>
      </c>
      <c r="B109" s="250" t="s">
        <v>1705</v>
      </c>
      <c r="C109" s="250"/>
      <c r="D109" s="250"/>
      <c r="E109" s="2647" t="s">
        <v>1706</v>
      </c>
      <c r="F109" s="2647" t="s">
        <v>1707</v>
      </c>
      <c r="G109" s="2641" t="s">
        <v>1708</v>
      </c>
      <c r="H109" s="2636" t="s">
        <v>1709</v>
      </c>
      <c r="I109" s="2128" t="str">
        <f t="shared" si="50"/>
        <v>6-DaHall 1-PDU-05-30-48</v>
      </c>
      <c r="J109" s="2129" t="str">
        <f t="shared" si="51"/>
        <v>6-DaHall 1-PDU-06-30-48</v>
      </c>
      <c r="K109" s="1463">
        <v>220</v>
      </c>
      <c r="L109" s="1464">
        <v>30</v>
      </c>
      <c r="M109" s="2435" t="s">
        <v>6491</v>
      </c>
      <c r="N109" s="1465">
        <v>48</v>
      </c>
      <c r="O109" s="1466">
        <v>220</v>
      </c>
      <c r="P109" s="1467">
        <v>30</v>
      </c>
      <c r="Q109" s="2441" t="s">
        <v>6501</v>
      </c>
      <c r="R109" s="1468">
        <v>48</v>
      </c>
      <c r="S109" s="2641" t="s">
        <v>1581</v>
      </c>
      <c r="T109" s="2636" t="s">
        <v>1582</v>
      </c>
      <c r="U109" s="2641" t="s">
        <v>1583</v>
      </c>
      <c r="V109" s="2636" t="s">
        <v>1584</v>
      </c>
      <c r="W109" s="3364"/>
      <c r="X109" s="3365"/>
      <c r="Y109" s="268">
        <f>SUM('6층_부하량(월간_AVG)'!L345:N345)</f>
        <v>0</v>
      </c>
      <c r="Z109" s="268">
        <f>SUM('6층_부하량(월간_AVG)'!L377:N377)</f>
        <v>0</v>
      </c>
      <c r="AA109" s="2452">
        <f t="shared" si="52"/>
        <v>0</v>
      </c>
      <c r="AB109" s="2715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36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29">
        <f t="shared" si="49"/>
        <v>0</v>
      </c>
      <c r="AE109" s="2822"/>
      <c r="AG109" s="2367">
        <f t="shared" si="44"/>
        <v>0</v>
      </c>
      <c r="AH109" s="2367">
        <f t="shared" si="45"/>
        <v>0</v>
      </c>
      <c r="AI109" s="123" t="str">
        <f t="shared" si="33"/>
        <v>무부하 랙</v>
      </c>
      <c r="AJ109" t="str">
        <f t="shared" si="34"/>
        <v/>
      </c>
      <c r="AK109" t="str">
        <f t="shared" si="35"/>
        <v/>
      </c>
      <c r="AP109" s="123"/>
      <c r="AQ109" s="123"/>
      <c r="AR109" s="123"/>
      <c r="AS109" s="3084"/>
      <c r="AT109" s="123"/>
      <c r="AU109" s="123"/>
      <c r="AV109" s="3085"/>
      <c r="AW109" s="3086"/>
      <c r="AX109" s="3087"/>
      <c r="AY109" s="3088"/>
      <c r="AZ109" s="3089"/>
      <c r="BA109" s="3090"/>
      <c r="BB109" s="3091"/>
    </row>
    <row r="110" spans="1:54" ht="28.8">
      <c r="A110" s="2652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41" t="s">
        <v>1714</v>
      </c>
      <c r="H110" s="2636" t="s">
        <v>1715</v>
      </c>
      <c r="I110" s="2128" t="str">
        <f t="shared" si="50"/>
        <v>6-DaHall 1-PDU-01-30-18</v>
      </c>
      <c r="J110" s="2129" t="str">
        <f t="shared" si="51"/>
        <v>6-DaHall 1-PDU-02-30-34</v>
      </c>
      <c r="K110" s="1463">
        <v>220</v>
      </c>
      <c r="L110" s="1464">
        <v>30</v>
      </c>
      <c r="M110" s="2435" t="s">
        <v>6497</v>
      </c>
      <c r="N110" s="1465">
        <v>18</v>
      </c>
      <c r="O110" s="1466">
        <v>220</v>
      </c>
      <c r="P110" s="1467">
        <v>30</v>
      </c>
      <c r="Q110" s="2441" t="s">
        <v>6493</v>
      </c>
      <c r="R110" s="1468">
        <v>34</v>
      </c>
      <c r="S110" s="3356" t="s">
        <v>1694</v>
      </c>
      <c r="T110" s="3336" t="s">
        <v>1695</v>
      </c>
      <c r="U110" s="3356" t="s">
        <v>1696</v>
      </c>
      <c r="V110" s="3336" t="s">
        <v>1697</v>
      </c>
      <c r="W110" s="3364"/>
      <c r="X110" s="3365"/>
      <c r="Y110" s="268">
        <f>SUM('6층_부하량(월간_AVG)'!L210:N210)</f>
        <v>0</v>
      </c>
      <c r="Z110" s="268">
        <f>SUM('6층_부하량(월간_AVG)'!L248:N248)</f>
        <v>0</v>
      </c>
      <c r="AA110" s="2452">
        <f t="shared" si="52"/>
        <v>0</v>
      </c>
      <c r="AB110" s="2715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46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29">
        <f t="shared" si="49"/>
        <v>0</v>
      </c>
      <c r="AE110" s="2822"/>
      <c r="AG110" s="2367">
        <f t="shared" si="44"/>
        <v>0</v>
      </c>
      <c r="AH110" s="2367">
        <f t="shared" si="45"/>
        <v>0</v>
      </c>
      <c r="AI110" s="123" t="str">
        <f t="shared" si="33"/>
        <v>무부하 랙</v>
      </c>
      <c r="AJ110" t="str">
        <f t="shared" si="34"/>
        <v/>
      </c>
      <c r="AK110" t="str">
        <f t="shared" si="35"/>
        <v/>
      </c>
      <c r="AP110" s="123"/>
      <c r="AQ110" s="123"/>
      <c r="AR110" s="123"/>
      <c r="AS110" s="3084"/>
      <c r="AT110" s="123"/>
      <c r="AU110" s="123"/>
      <c r="AV110" s="3085"/>
      <c r="AW110" s="3086"/>
      <c r="AX110" s="3087"/>
      <c r="AY110" s="3088"/>
      <c r="AZ110" s="3089"/>
      <c r="BA110" s="3090"/>
      <c r="BB110" s="3091"/>
    </row>
    <row r="111" spans="1:54" ht="28.8">
      <c r="A111" s="2652" t="s">
        <v>1716</v>
      </c>
      <c r="B111" s="2653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41" t="s">
        <v>1721</v>
      </c>
      <c r="H111" s="2636" t="s">
        <v>1722</v>
      </c>
      <c r="I111" s="2128" t="str">
        <f t="shared" si="50"/>
        <v>6-DaHall 1-PDU-01-30-20</v>
      </c>
      <c r="J111" s="2129" t="str">
        <f t="shared" si="51"/>
        <v>6-DaHall 1-PDU-02-30-20</v>
      </c>
      <c r="K111" s="1463">
        <v>220</v>
      </c>
      <c r="L111" s="1464">
        <v>30</v>
      </c>
      <c r="M111" s="2435" t="s">
        <v>6497</v>
      </c>
      <c r="N111" s="1465">
        <v>20</v>
      </c>
      <c r="O111" s="1466">
        <v>220</v>
      </c>
      <c r="P111" s="1467">
        <v>30</v>
      </c>
      <c r="Q111" s="2441" t="s">
        <v>6493</v>
      </c>
      <c r="R111" s="1468">
        <v>20</v>
      </c>
      <c r="S111" s="3364"/>
      <c r="T111" s="3365"/>
      <c r="U111" s="3364"/>
      <c r="V111" s="3365"/>
      <c r="W111" s="3364"/>
      <c r="X111" s="3365"/>
      <c r="Y111" s="268">
        <f>SUM('6층_부하량(월간_AVG)'!L211:N211)</f>
        <v>0</v>
      </c>
      <c r="Z111" s="268">
        <f>SUM('6층_부하량(월간_AVG)'!L241:N241)</f>
        <v>0</v>
      </c>
      <c r="AA111" s="2452">
        <f t="shared" si="52"/>
        <v>0</v>
      </c>
      <c r="AB111" s="2715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46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29">
        <f t="shared" si="49"/>
        <v>0</v>
      </c>
      <c r="AE111" s="2821"/>
      <c r="AF111" s="2227" t="s">
        <v>1723</v>
      </c>
      <c r="AG111" s="2367">
        <f t="shared" si="44"/>
        <v>0</v>
      </c>
      <c r="AH111" s="2367">
        <f t="shared" si="45"/>
        <v>0</v>
      </c>
      <c r="AI111" s="123" t="str">
        <f t="shared" si="33"/>
        <v>무부하 랙</v>
      </c>
      <c r="AJ111" t="str">
        <f t="shared" si="34"/>
        <v/>
      </c>
      <c r="AK111" t="str">
        <f t="shared" si="35"/>
        <v/>
      </c>
      <c r="AP111" s="123"/>
      <c r="AQ111" s="123"/>
      <c r="AR111" s="123"/>
      <c r="AS111" s="3084"/>
      <c r="AT111" s="123"/>
      <c r="AU111" s="123"/>
      <c r="AV111" s="3085"/>
      <c r="AW111" s="3086"/>
      <c r="AX111" s="3087"/>
      <c r="AY111" s="3088"/>
      <c r="AZ111" s="3089"/>
      <c r="BA111" s="3090"/>
      <c r="BB111" s="3091"/>
    </row>
    <row r="112" spans="1:54" ht="28.8">
      <c r="A112" s="2652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41" t="s">
        <v>1728</v>
      </c>
      <c r="H112" s="2636" t="s">
        <v>1729</v>
      </c>
      <c r="I112" s="2128" t="str">
        <f t="shared" si="50"/>
        <v>6-DaHall 1-PDU-01-30-22</v>
      </c>
      <c r="J112" s="2129" t="str">
        <f t="shared" si="51"/>
        <v>6-DaHall 1-PDU-02-30-22</v>
      </c>
      <c r="K112" s="1463">
        <v>220</v>
      </c>
      <c r="L112" s="1464">
        <v>30</v>
      </c>
      <c r="M112" s="2435" t="s">
        <v>6497</v>
      </c>
      <c r="N112" s="1465">
        <v>22</v>
      </c>
      <c r="O112" s="1466">
        <v>220</v>
      </c>
      <c r="P112" s="1467">
        <v>30</v>
      </c>
      <c r="Q112" s="2441" t="s">
        <v>6493</v>
      </c>
      <c r="R112" s="1468">
        <v>22</v>
      </c>
      <c r="S112" s="3364"/>
      <c r="T112" s="3365"/>
      <c r="U112" s="3364"/>
      <c r="V112" s="3365"/>
      <c r="W112" s="3364"/>
      <c r="X112" s="3365"/>
      <c r="Y112" s="268">
        <f>SUM('6층_부하량(월간_AVG)'!L212:N212)</f>
        <v>0</v>
      </c>
      <c r="Z112" s="268">
        <f>SUM('6층_부하량(월간_AVG)'!L242:N242)</f>
        <v>0</v>
      </c>
      <c r="AA112" s="2452">
        <f t="shared" si="52"/>
        <v>0</v>
      </c>
      <c r="AB112" s="2715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46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29">
        <f t="shared" si="49"/>
        <v>0</v>
      </c>
      <c r="AE112" s="2821"/>
      <c r="AF112" s="2227"/>
      <c r="AG112" s="2367">
        <f t="shared" si="44"/>
        <v>0</v>
      </c>
      <c r="AH112" s="2367">
        <f t="shared" si="45"/>
        <v>0</v>
      </c>
      <c r="AI112" s="123" t="str">
        <f t="shared" si="33"/>
        <v>무부하 랙</v>
      </c>
      <c r="AJ112" t="str">
        <f t="shared" si="34"/>
        <v/>
      </c>
      <c r="AK112" t="str">
        <f t="shared" si="35"/>
        <v/>
      </c>
      <c r="AP112" s="123"/>
      <c r="AQ112" s="123"/>
      <c r="AR112" s="123"/>
      <c r="AS112" s="3084"/>
      <c r="AT112" s="123"/>
      <c r="AU112" s="123"/>
      <c r="AV112" s="3085"/>
      <c r="AW112" s="3086"/>
      <c r="AX112" s="3087"/>
      <c r="AY112" s="3088"/>
      <c r="AZ112" s="3089"/>
      <c r="BA112" s="3090"/>
      <c r="BB112" s="3091"/>
    </row>
    <row r="113" spans="1:54" ht="28.8">
      <c r="A113" s="2652" t="s">
        <v>1730</v>
      </c>
      <c r="B113" s="2653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41" t="s">
        <v>1734</v>
      </c>
      <c r="H113" s="2636" t="s">
        <v>1735</v>
      </c>
      <c r="I113" s="2128" t="str">
        <f t="shared" si="50"/>
        <v>6-DaHall 1-PDU-01-30-24</v>
      </c>
      <c r="J113" s="2129" t="str">
        <f t="shared" si="51"/>
        <v>6-DaHall 1-PDU-02-30-24</v>
      </c>
      <c r="K113" s="1463">
        <v>220</v>
      </c>
      <c r="L113" s="1464">
        <v>30</v>
      </c>
      <c r="M113" s="2435" t="s">
        <v>6497</v>
      </c>
      <c r="N113" s="1465">
        <v>24</v>
      </c>
      <c r="O113" s="1466">
        <v>220</v>
      </c>
      <c r="P113" s="1467">
        <v>30</v>
      </c>
      <c r="Q113" s="2441" t="s">
        <v>6493</v>
      </c>
      <c r="R113" s="1468">
        <v>24</v>
      </c>
      <c r="S113" s="3364"/>
      <c r="T113" s="3365"/>
      <c r="U113" s="3364"/>
      <c r="V113" s="3365"/>
      <c r="W113" s="3364"/>
      <c r="X113" s="3365"/>
      <c r="Y113" s="268">
        <f>SUM('6층_부하량(월간_AVG)'!L213:N213)</f>
        <v>0</v>
      </c>
      <c r="Z113" s="268">
        <f>SUM('6층_부하량(월간_AVG)'!L243:N243)</f>
        <v>0</v>
      </c>
      <c r="AA113" s="2452">
        <f t="shared" si="52"/>
        <v>0</v>
      </c>
      <c r="AB113" s="2715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46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29">
        <f t="shared" si="49"/>
        <v>0</v>
      </c>
      <c r="AE113" s="2821"/>
      <c r="AF113" s="2227" t="s">
        <v>1723</v>
      </c>
      <c r="AG113" s="2367">
        <f t="shared" si="44"/>
        <v>0</v>
      </c>
      <c r="AH113" s="2367">
        <f t="shared" si="45"/>
        <v>0</v>
      </c>
      <c r="AI113" s="123" t="str">
        <f t="shared" si="33"/>
        <v>무부하 랙</v>
      </c>
      <c r="AJ113" t="str">
        <f t="shared" si="34"/>
        <v/>
      </c>
      <c r="AK113" t="str">
        <f t="shared" si="35"/>
        <v/>
      </c>
      <c r="AP113" s="123"/>
      <c r="AQ113" s="123"/>
      <c r="AR113" s="123"/>
      <c r="AS113" s="3084"/>
      <c r="AT113" s="123"/>
      <c r="AU113" s="123"/>
      <c r="AV113" s="3085"/>
      <c r="AW113" s="3086"/>
      <c r="AX113" s="3087"/>
      <c r="AY113" s="3088"/>
      <c r="AZ113" s="3089"/>
      <c r="BA113" s="3090"/>
      <c r="BB113" s="3091"/>
    </row>
    <row r="114" spans="1:54" ht="28.8">
      <c r="A114" s="2652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41" t="s">
        <v>1740</v>
      </c>
      <c r="H114" s="2636" t="s">
        <v>1741</v>
      </c>
      <c r="I114" s="2128" t="str">
        <f t="shared" si="50"/>
        <v>6-DaHall 1-PDU-01-30-26</v>
      </c>
      <c r="J114" s="2129" t="str">
        <f t="shared" si="51"/>
        <v>6-DaHall 1-PDU-02-30-26</v>
      </c>
      <c r="K114" s="1463">
        <v>220</v>
      </c>
      <c r="L114" s="1464">
        <v>30</v>
      </c>
      <c r="M114" s="2435" t="s">
        <v>6497</v>
      </c>
      <c r="N114" s="1465">
        <v>26</v>
      </c>
      <c r="O114" s="1466">
        <v>220</v>
      </c>
      <c r="P114" s="1467">
        <v>30</v>
      </c>
      <c r="Q114" s="2441" t="s">
        <v>6493</v>
      </c>
      <c r="R114" s="1468">
        <v>26</v>
      </c>
      <c r="S114" s="3364"/>
      <c r="T114" s="3365"/>
      <c r="U114" s="3364"/>
      <c r="V114" s="3365"/>
      <c r="W114" s="3364"/>
      <c r="X114" s="3365"/>
      <c r="Y114" s="268">
        <f>SUM('6층_부하량(월간_AVG)'!L214:N214)</f>
        <v>0</v>
      </c>
      <c r="Z114" s="268">
        <f>SUM('6층_부하량(월간_AVG)'!L244:N244)</f>
        <v>0</v>
      </c>
      <c r="AA114" s="2452">
        <f t="shared" si="52"/>
        <v>0</v>
      </c>
      <c r="AB114" s="2715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46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29">
        <f t="shared" si="49"/>
        <v>0</v>
      </c>
      <c r="AE114" s="2821"/>
      <c r="AG114" s="2367">
        <f t="shared" si="44"/>
        <v>0</v>
      </c>
      <c r="AH114" s="2367">
        <f t="shared" si="45"/>
        <v>0</v>
      </c>
      <c r="AI114" s="123" t="str">
        <f t="shared" si="33"/>
        <v>무부하 랙</v>
      </c>
      <c r="AJ114" t="str">
        <f t="shared" si="34"/>
        <v/>
      </c>
      <c r="AK114" t="str">
        <f t="shared" si="35"/>
        <v/>
      </c>
      <c r="AP114" s="123"/>
      <c r="AQ114" s="123"/>
      <c r="AR114" s="123"/>
      <c r="AS114" s="3084"/>
      <c r="AT114" s="123"/>
      <c r="AU114" s="123"/>
      <c r="AV114" s="3085"/>
      <c r="AW114" s="3086"/>
      <c r="AX114" s="3087"/>
      <c r="AY114" s="3088"/>
      <c r="AZ114" s="3089"/>
      <c r="BA114" s="3090"/>
      <c r="BB114" s="3091"/>
    </row>
    <row r="115" spans="1:54" ht="28.8">
      <c r="A115" s="2652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41" t="s">
        <v>1746</v>
      </c>
      <c r="H115" s="2636" t="s">
        <v>1747</v>
      </c>
      <c r="I115" s="2128" t="str">
        <f t="shared" si="50"/>
        <v>6-DaHall 1-PDU-01-30-28</v>
      </c>
      <c r="J115" s="2129" t="str">
        <f t="shared" si="51"/>
        <v>6-DaHall 1-PDU-02-30-28</v>
      </c>
      <c r="K115" s="1463">
        <v>220</v>
      </c>
      <c r="L115" s="1464">
        <v>30</v>
      </c>
      <c r="M115" s="2435" t="s">
        <v>6497</v>
      </c>
      <c r="N115" s="1465">
        <v>28</v>
      </c>
      <c r="O115" s="1466">
        <v>220</v>
      </c>
      <c r="P115" s="1467">
        <v>30</v>
      </c>
      <c r="Q115" s="2441" t="s">
        <v>6493</v>
      </c>
      <c r="R115" s="1468">
        <v>28</v>
      </c>
      <c r="S115" s="3364"/>
      <c r="T115" s="3365"/>
      <c r="U115" s="3364"/>
      <c r="V115" s="3365"/>
      <c r="W115" s="3364"/>
      <c r="X115" s="3365"/>
      <c r="Y115" s="268">
        <f>SUM('6층_부하량(월간_AVG)'!L215:N215)</f>
        <v>0</v>
      </c>
      <c r="Z115" s="268">
        <f>SUM('6층_부하량(월간_AVG)'!L245:N245)</f>
        <v>0</v>
      </c>
      <c r="AA115" s="2452">
        <f t="shared" si="52"/>
        <v>0</v>
      </c>
      <c r="AB115" s="2715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46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29">
        <f t="shared" si="49"/>
        <v>0</v>
      </c>
      <c r="AE115" s="2821"/>
      <c r="AG115" s="2367">
        <f t="shared" si="44"/>
        <v>0</v>
      </c>
      <c r="AH115" s="2367">
        <f t="shared" si="45"/>
        <v>0</v>
      </c>
      <c r="AI115" s="123" t="str">
        <f t="shared" si="33"/>
        <v>무부하 랙</v>
      </c>
      <c r="AJ115" t="str">
        <f t="shared" si="34"/>
        <v/>
      </c>
      <c r="AK115" t="str">
        <f t="shared" si="35"/>
        <v/>
      </c>
      <c r="AP115" s="123"/>
      <c r="AQ115" s="123"/>
      <c r="AR115" s="123"/>
      <c r="AS115" s="3084"/>
      <c r="AT115" s="123"/>
      <c r="AU115" s="123"/>
      <c r="AV115" s="3085"/>
      <c r="AW115" s="3086"/>
      <c r="AX115" s="3087"/>
      <c r="AY115" s="3088"/>
      <c r="AZ115" s="3089"/>
      <c r="BA115" s="3090"/>
      <c r="BB115" s="3091"/>
    </row>
    <row r="116" spans="1:54" ht="15" thickBot="1">
      <c r="A116" s="2660" t="s">
        <v>1748</v>
      </c>
      <c r="B116" s="839"/>
      <c r="C116" s="839"/>
      <c r="D116" s="839"/>
      <c r="E116" s="839"/>
      <c r="F116" s="839"/>
      <c r="G116" s="2709"/>
      <c r="H116" s="2692"/>
      <c r="I116" s="2133"/>
      <c r="J116" s="2134"/>
      <c r="K116" s="1480"/>
      <c r="L116" s="1481"/>
      <c r="M116" s="2709"/>
      <c r="N116" s="1482"/>
      <c r="O116" s="1483"/>
      <c r="P116" s="1484"/>
      <c r="Q116" s="2692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56"/>
      <c r="AB116" s="2842"/>
      <c r="AC116" s="2843"/>
      <c r="AD116" s="2844">
        <f t="shared" si="49"/>
        <v>0</v>
      </c>
      <c r="AE116" s="2845" t="s">
        <v>1265</v>
      </c>
      <c r="AG116" s="2367">
        <f t="shared" si="44"/>
        <v>0</v>
      </c>
      <c r="AH116" s="2367">
        <f t="shared" si="45"/>
        <v>0</v>
      </c>
      <c r="AI116" s="123" t="str">
        <f t="shared" si="33"/>
        <v>무부하 랙</v>
      </c>
      <c r="AJ116" t="str">
        <f t="shared" si="34"/>
        <v/>
      </c>
      <c r="AK116" t="str">
        <f t="shared" si="35"/>
        <v/>
      </c>
      <c r="AP116" s="123"/>
      <c r="AQ116" s="123"/>
      <c r="AR116" s="123"/>
      <c r="AS116" s="3084"/>
      <c r="AT116" s="123"/>
      <c r="AU116" s="123"/>
      <c r="AV116" s="3085"/>
      <c r="AW116" s="3086"/>
      <c r="AX116" s="3087"/>
      <c r="AY116" s="3088"/>
      <c r="AZ116" s="3089"/>
      <c r="BA116" s="3090"/>
      <c r="BB116" s="3091"/>
    </row>
    <row r="117" spans="1:54" ht="28.5" customHeight="1" thickTop="1">
      <c r="A117" s="1084" t="s">
        <v>1870</v>
      </c>
      <c r="B117" s="1133" t="s">
        <v>1871</v>
      </c>
      <c r="C117" s="2636" t="s">
        <v>9238</v>
      </c>
      <c r="D117" s="3053">
        <v>2.2000000000000002</v>
      </c>
      <c r="E117" s="327" t="s">
        <v>1872</v>
      </c>
      <c r="F117" s="327" t="s">
        <v>1873</v>
      </c>
      <c r="G117" s="2640" t="s">
        <v>1874</v>
      </c>
      <c r="H117" s="2122" t="s">
        <v>1875</v>
      </c>
      <c r="I117" s="2135" t="str">
        <f t="shared" ref="I117:I134" si="53">"6-DaHall 1-PDU-"&amp;M117&amp;"-"&amp;L117&amp;"-"&amp;N117</f>
        <v>6-DaHall 1-PDU-05-30-37</v>
      </c>
      <c r="J117" s="2136" t="str">
        <f t="shared" ref="J117:J134" si="54">"6-DaHall 1-PDU-"&amp;Q117&amp;"-"&amp;P117&amp;"-"&amp;R117</f>
        <v>6-DaHall 1-PDU-06-30-37</v>
      </c>
      <c r="K117" s="1486">
        <v>220</v>
      </c>
      <c r="L117" s="1487">
        <v>30</v>
      </c>
      <c r="M117" s="2437" t="s">
        <v>6491</v>
      </c>
      <c r="N117" s="1488">
        <v>37</v>
      </c>
      <c r="O117" s="1489">
        <v>220</v>
      </c>
      <c r="P117" s="1490">
        <v>30</v>
      </c>
      <c r="Q117" s="2443" t="s">
        <v>6501</v>
      </c>
      <c r="R117" s="1491">
        <v>37</v>
      </c>
      <c r="S117" s="3353" t="s">
        <v>1876</v>
      </c>
      <c r="T117" s="3354" t="s">
        <v>1877</v>
      </c>
      <c r="U117" s="3345" t="s">
        <v>1878</v>
      </c>
      <c r="V117" s="3354" t="s">
        <v>1879</v>
      </c>
      <c r="W117" s="3345" t="s">
        <v>1880</v>
      </c>
      <c r="X117" s="3354" t="s">
        <v>1881</v>
      </c>
      <c r="Y117" s="836">
        <f>SUM('6층_부하량(월간_AVG)'!D340:F340)</f>
        <v>4.9327373940309363</v>
      </c>
      <c r="Z117" s="836">
        <f>SUM('6층_부하량(월간_AVG)'!D372:F372)</f>
        <v>4.7917841620164205</v>
      </c>
      <c r="AA117" s="2454">
        <f>SUM(Y117:Z117)</f>
        <v>9.7245215560473568</v>
      </c>
      <c r="AB117" s="2715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775.8</v>
      </c>
      <c r="AC117" s="2736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734.3</v>
      </c>
      <c r="AD117" s="2852">
        <f t="shared" si="49"/>
        <v>1510.1</v>
      </c>
      <c r="AE117" s="2474"/>
      <c r="AG117" s="2367">
        <f t="shared" si="44"/>
        <v>2.0297043010752689</v>
      </c>
      <c r="AH117" s="2367">
        <f t="shared" si="45"/>
        <v>0.17029569892473129</v>
      </c>
      <c r="AI117" s="123" t="str">
        <f t="shared" si="33"/>
        <v>적정함</v>
      </c>
      <c r="AJ117" t="str">
        <f t="shared" si="34"/>
        <v/>
      </c>
      <c r="AK117" t="str">
        <f t="shared" si="35"/>
        <v/>
      </c>
      <c r="AP117" s="123"/>
      <c r="AQ117" s="123"/>
      <c r="AR117" s="123"/>
      <c r="AS117" s="3084"/>
      <c r="AT117" s="123"/>
      <c r="AU117" s="123"/>
      <c r="AV117" s="3085"/>
      <c r="AW117" s="3086"/>
      <c r="AX117" s="3087"/>
      <c r="AY117" s="3088"/>
      <c r="AZ117" s="3089"/>
      <c r="BA117" s="3090"/>
      <c r="BB117" s="3091"/>
    </row>
    <row r="118" spans="1:54" ht="57.6">
      <c r="A118" s="2652" t="s">
        <v>1882</v>
      </c>
      <c r="B118" s="1088" t="s">
        <v>1883</v>
      </c>
      <c r="C118" s="2641" t="s">
        <v>9239</v>
      </c>
      <c r="D118" s="3053">
        <v>2.2000000000000002</v>
      </c>
      <c r="E118" s="250" t="s">
        <v>1884</v>
      </c>
      <c r="F118" s="250" t="s">
        <v>1885</v>
      </c>
      <c r="G118" s="2641" t="s">
        <v>1886</v>
      </c>
      <c r="H118" s="2636" t="s">
        <v>1887</v>
      </c>
      <c r="I118" s="2128" t="str">
        <f t="shared" si="53"/>
        <v>6-DaHall 1-PDU-05-30-39</v>
      </c>
      <c r="J118" s="2129" t="str">
        <f t="shared" si="54"/>
        <v>6-DaHall 1-PDU-06-30-39</v>
      </c>
      <c r="K118" s="1463">
        <v>220</v>
      </c>
      <c r="L118" s="1464">
        <v>30</v>
      </c>
      <c r="M118" s="2435" t="s">
        <v>6491</v>
      </c>
      <c r="N118" s="1465">
        <v>39</v>
      </c>
      <c r="O118" s="1466">
        <v>220</v>
      </c>
      <c r="P118" s="1467">
        <v>30</v>
      </c>
      <c r="Q118" s="2441" t="s">
        <v>6501</v>
      </c>
      <c r="R118" s="1468">
        <v>39</v>
      </c>
      <c r="S118" s="3351"/>
      <c r="T118" s="3340"/>
      <c r="U118" s="3343"/>
      <c r="V118" s="3340"/>
      <c r="W118" s="3343"/>
      <c r="X118" s="3340"/>
      <c r="Y118" s="268">
        <f>SUM('6층_부하량(월간_AVG)'!D341:F341)</f>
        <v>2.1132416755738799</v>
      </c>
      <c r="Z118" s="268">
        <f>SUM('6층_부하량(월간_AVG)'!D373:F373)</f>
        <v>1.9109205971383838</v>
      </c>
      <c r="AA118" s="2452">
        <f>SUM(Y118:Z118)</f>
        <v>4.0241622727122639</v>
      </c>
      <c r="AB118" s="2715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330.1</v>
      </c>
      <c r="AC118" s="2736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294.60000000000002</v>
      </c>
      <c r="AD118" s="2829">
        <f t="shared" si="49"/>
        <v>624.70000000000005</v>
      </c>
      <c r="AE118" s="2821"/>
      <c r="AG118" s="2367">
        <f t="shared" si="44"/>
        <v>0.83965053763440867</v>
      </c>
      <c r="AH118" s="2367">
        <f t="shared" si="45"/>
        <v>1.3603494623655914</v>
      </c>
      <c r="AI118" s="123" t="str">
        <f t="shared" si="33"/>
        <v>적정함</v>
      </c>
      <c r="AJ118" t="str">
        <f t="shared" si="34"/>
        <v/>
      </c>
      <c r="AK118" t="str">
        <f t="shared" si="35"/>
        <v/>
      </c>
      <c r="AP118" s="123"/>
      <c r="AQ118" s="123"/>
      <c r="AR118" s="123"/>
      <c r="AS118" s="3084"/>
      <c r="AT118" s="123"/>
      <c r="AU118" s="123"/>
      <c r="AV118" s="3085"/>
      <c r="AW118" s="3086"/>
      <c r="AX118" s="3087"/>
      <c r="AY118" s="3088"/>
      <c r="AZ118" s="3089"/>
      <c r="BA118" s="3090"/>
      <c r="BB118" s="3091"/>
    </row>
    <row r="119" spans="1:54" ht="28.8">
      <c r="A119" s="2652" t="s">
        <v>1888</v>
      </c>
      <c r="B119" s="1088" t="s">
        <v>1889</v>
      </c>
      <c r="C119" s="2641" t="s">
        <v>9240</v>
      </c>
      <c r="D119" s="3053">
        <v>1.1000000000000001</v>
      </c>
      <c r="E119" s="250" t="s">
        <v>1890</v>
      </c>
      <c r="F119" s="250" t="s">
        <v>1891</v>
      </c>
      <c r="G119" s="2641" t="s">
        <v>1892</v>
      </c>
      <c r="H119" s="2636" t="s">
        <v>1893</v>
      </c>
      <c r="I119" s="2128" t="str">
        <f t="shared" si="53"/>
        <v>6-DaHall 1-PDU-05-30-41</v>
      </c>
      <c r="J119" s="2129" t="str">
        <f t="shared" si="54"/>
        <v>6-DaHall 1-PDU-06-30-41</v>
      </c>
      <c r="K119" s="1463">
        <v>220</v>
      </c>
      <c r="L119" s="1464">
        <v>30</v>
      </c>
      <c r="M119" s="2435" t="s">
        <v>6491</v>
      </c>
      <c r="N119" s="1465">
        <v>41</v>
      </c>
      <c r="O119" s="1466">
        <v>220</v>
      </c>
      <c r="P119" s="1467">
        <v>30</v>
      </c>
      <c r="Q119" s="2441" t="s">
        <v>6501</v>
      </c>
      <c r="R119" s="1468">
        <v>41</v>
      </c>
      <c r="S119" s="3351"/>
      <c r="T119" s="3340"/>
      <c r="U119" s="3343"/>
      <c r="V119" s="3340"/>
      <c r="W119" s="3343"/>
      <c r="X119" s="3340"/>
      <c r="Y119" s="268">
        <f>SUM('6층_부하량(월간_AVG)'!D342:F342)</f>
        <v>1.7700057808245384</v>
      </c>
      <c r="Z119" s="268">
        <f>SUM('6층_부하량(월간_AVG)'!D374:F374)</f>
        <v>0.46354265723355598</v>
      </c>
      <c r="AA119" s="2452">
        <f>SUM(Y119:Z119)</f>
        <v>2.2335484380580946</v>
      </c>
      <c r="AB119" s="2715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269.8</v>
      </c>
      <c r="AC119" s="2736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64.3</v>
      </c>
      <c r="AD119" s="2829">
        <f t="shared" si="49"/>
        <v>334.1</v>
      </c>
      <c r="AE119" s="2821"/>
      <c r="AG119" s="2367">
        <f t="shared" si="44"/>
        <v>0.44905913978494627</v>
      </c>
      <c r="AH119" s="2367">
        <f t="shared" si="45"/>
        <v>0.65094086021505382</v>
      </c>
      <c r="AI119" s="123" t="str">
        <f t="shared" si="33"/>
        <v>적정함</v>
      </c>
      <c r="AJ119" t="str">
        <f t="shared" si="34"/>
        <v/>
      </c>
      <c r="AK119" t="str">
        <f t="shared" si="35"/>
        <v/>
      </c>
      <c r="AP119" s="123"/>
      <c r="AQ119" s="123"/>
      <c r="AR119" s="123"/>
      <c r="AS119" s="3084"/>
      <c r="AT119" s="123"/>
      <c r="AU119" s="123"/>
      <c r="AV119" s="3085"/>
      <c r="AW119" s="3086"/>
      <c r="AX119" s="3087"/>
      <c r="AY119" s="3088"/>
      <c r="AZ119" s="3089"/>
      <c r="BA119" s="3090"/>
      <c r="BB119" s="3091"/>
    </row>
    <row r="120" spans="1:54" ht="28.8">
      <c r="A120" s="2652" t="s">
        <v>1894</v>
      </c>
      <c r="B120" s="2119" t="s">
        <v>1895</v>
      </c>
      <c r="C120" s="2636" t="s">
        <v>9238</v>
      </c>
      <c r="D120" s="3053">
        <v>2.2000000000000002</v>
      </c>
      <c r="E120" s="250" t="s">
        <v>1896</v>
      </c>
      <c r="F120" s="250" t="s">
        <v>1897</v>
      </c>
      <c r="G120" s="2641" t="s">
        <v>1898</v>
      </c>
      <c r="H120" s="2636" t="s">
        <v>1899</v>
      </c>
      <c r="I120" s="2128" t="str">
        <f t="shared" si="53"/>
        <v>6-DaHall 1-PDU-05-30-43</v>
      </c>
      <c r="J120" s="2129" t="str">
        <f t="shared" si="54"/>
        <v>6-DaHall 1-PDU-06-30-43</v>
      </c>
      <c r="K120" s="1463">
        <v>220</v>
      </c>
      <c r="L120" s="1464">
        <v>30</v>
      </c>
      <c r="M120" s="2435" t="s">
        <v>6491</v>
      </c>
      <c r="N120" s="1465">
        <v>43</v>
      </c>
      <c r="O120" s="1466">
        <v>220</v>
      </c>
      <c r="P120" s="1467">
        <v>30</v>
      </c>
      <c r="Q120" s="2441" t="s">
        <v>6501</v>
      </c>
      <c r="R120" s="1468">
        <v>43</v>
      </c>
      <c r="S120" s="3351"/>
      <c r="T120" s="3340"/>
      <c r="U120" s="3343"/>
      <c r="V120" s="3340"/>
      <c r="W120" s="3343"/>
      <c r="X120" s="3340"/>
      <c r="Y120" s="268">
        <f>SUM('6층_부하량(월간_AVG)'!D343:F343)</f>
        <v>5.754392599677832</v>
      </c>
      <c r="Z120" s="268">
        <f>SUM('6층_부하량(월간_AVG)'!D375:F375)</f>
        <v>4.8909455546683009</v>
      </c>
      <c r="AA120" s="2452">
        <f>SUM(Y120:Z120)</f>
        <v>10.645338154346133</v>
      </c>
      <c r="AB120" s="2715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867.7</v>
      </c>
      <c r="AC120" s="2736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755.5</v>
      </c>
      <c r="AD120" s="2829">
        <f t="shared" si="49"/>
        <v>1623.2</v>
      </c>
      <c r="AE120" s="2821"/>
      <c r="AG120" s="2367">
        <f t="shared" si="44"/>
        <v>2.1817204301075268</v>
      </c>
      <c r="AH120" s="2367">
        <f t="shared" si="45"/>
        <v>1.8279569892473368E-2</v>
      </c>
      <c r="AI120" s="123" t="str">
        <f t="shared" si="33"/>
        <v>적정함</v>
      </c>
      <c r="AJ120" t="str">
        <f t="shared" si="34"/>
        <v/>
      </c>
      <c r="AK120" t="str">
        <f t="shared" si="35"/>
        <v/>
      </c>
      <c r="AP120" s="123"/>
      <c r="AQ120" s="123"/>
      <c r="AR120" s="123"/>
      <c r="AS120" s="3084"/>
      <c r="AT120" s="123"/>
      <c r="AU120" s="123"/>
      <c r="AV120" s="3085"/>
      <c r="AW120" s="3086"/>
      <c r="AX120" s="3087"/>
      <c r="AY120" s="3088"/>
      <c r="AZ120" s="3089"/>
      <c r="BA120" s="3090"/>
      <c r="BB120" s="3091"/>
    </row>
    <row r="121" spans="1:54" ht="28.8">
      <c r="A121" s="2652" t="s">
        <v>1900</v>
      </c>
      <c r="B121" s="2119" t="s">
        <v>1901</v>
      </c>
      <c r="C121" s="2636" t="s">
        <v>9238</v>
      </c>
      <c r="D121" s="3053">
        <v>2.2000000000000002</v>
      </c>
      <c r="E121" s="250" t="s">
        <v>1902</v>
      </c>
      <c r="F121" s="250" t="s">
        <v>1903</v>
      </c>
      <c r="G121" s="2641" t="s">
        <v>1904</v>
      </c>
      <c r="H121" s="2636" t="s">
        <v>1905</v>
      </c>
      <c r="I121" s="2128" t="str">
        <f t="shared" si="53"/>
        <v>6-DaHall 1-PDU-05-30-45</v>
      </c>
      <c r="J121" s="2129" t="str">
        <f t="shared" si="54"/>
        <v>6-DaHall 1-PDU-06-30-45</v>
      </c>
      <c r="K121" s="1463">
        <v>220</v>
      </c>
      <c r="L121" s="1464">
        <v>30</v>
      </c>
      <c r="M121" s="2435" t="s">
        <v>6491</v>
      </c>
      <c r="N121" s="1465">
        <v>45</v>
      </c>
      <c r="O121" s="1466">
        <v>220</v>
      </c>
      <c r="P121" s="1467">
        <v>30</v>
      </c>
      <c r="Q121" s="2441" t="s">
        <v>6501</v>
      </c>
      <c r="R121" s="1468">
        <v>45</v>
      </c>
      <c r="S121" s="3351"/>
      <c r="T121" s="3340"/>
      <c r="U121" s="3343"/>
      <c r="V121" s="3340"/>
      <c r="W121" s="3343"/>
      <c r="X121" s="3340"/>
      <c r="Y121" s="268">
        <f>SUM('6층_부하량(월간_AVG)'!D344:F344)</f>
        <v>4.9233853513462043</v>
      </c>
      <c r="Z121" s="268">
        <f>SUM('6층_부하량(월간_AVG)'!D376:F376)</f>
        <v>5.0187086421328262</v>
      </c>
      <c r="AA121" s="2452">
        <f>SUM(Y121:Z121)</f>
        <v>9.9420939934790304</v>
      </c>
      <c r="AB121" s="2715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708.7</v>
      </c>
      <c r="AC121" s="2736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739.1</v>
      </c>
      <c r="AD121" s="2829">
        <f t="shared" si="49"/>
        <v>1447.8000000000002</v>
      </c>
      <c r="AE121" s="2821"/>
      <c r="AG121" s="2367">
        <f t="shared" si="44"/>
        <v>1.9459677419354842</v>
      </c>
      <c r="AH121" s="2367">
        <f t="shared" si="45"/>
        <v>0.25403225806451601</v>
      </c>
      <c r="AI121" s="123" t="str">
        <f t="shared" si="33"/>
        <v>적정함</v>
      </c>
      <c r="AJ121" t="str">
        <f t="shared" si="34"/>
        <v/>
      </c>
      <c r="AK121" t="str">
        <f t="shared" si="35"/>
        <v/>
      </c>
      <c r="AP121" s="123"/>
      <c r="AQ121" s="123"/>
      <c r="AR121" s="123"/>
      <c r="AS121" s="3084"/>
      <c r="AT121" s="123"/>
      <c r="AU121" s="123"/>
      <c r="AV121" s="3085"/>
      <c r="AW121" s="3086"/>
      <c r="AX121" s="3087"/>
      <c r="AY121" s="3088"/>
      <c r="AZ121" s="3089"/>
      <c r="BA121" s="3090"/>
      <c r="BB121" s="3091"/>
    </row>
    <row r="122" spans="1:54" ht="28.8">
      <c r="A122" s="3330" t="s">
        <v>1906</v>
      </c>
      <c r="B122" s="3334" t="s">
        <v>1907</v>
      </c>
      <c r="C122" s="3336" t="s">
        <v>9238</v>
      </c>
      <c r="D122" s="3324">
        <v>2.2000000000000002</v>
      </c>
      <c r="E122" s="250" t="s">
        <v>1908</v>
      </c>
      <c r="F122" s="250" t="s">
        <v>1909</v>
      </c>
      <c r="G122" s="2641" t="s">
        <v>1910</v>
      </c>
      <c r="H122" s="2636" t="s">
        <v>1911</v>
      </c>
      <c r="I122" s="2128" t="str">
        <f t="shared" si="53"/>
        <v>6-DaHall 1-PDU-05-30-47</v>
      </c>
      <c r="J122" s="2129" t="str">
        <f t="shared" si="54"/>
        <v>6-DaHall 1-PDU-06-30-47</v>
      </c>
      <c r="K122" s="1463">
        <v>220</v>
      </c>
      <c r="L122" s="1464">
        <v>30</v>
      </c>
      <c r="M122" s="2435" t="s">
        <v>6491</v>
      </c>
      <c r="N122" s="1465">
        <v>47</v>
      </c>
      <c r="O122" s="1466">
        <v>220</v>
      </c>
      <c r="P122" s="1467">
        <v>30</v>
      </c>
      <c r="Q122" s="2441" t="s">
        <v>6501</v>
      </c>
      <c r="R122" s="1468">
        <v>47</v>
      </c>
      <c r="S122" s="3351"/>
      <c r="T122" s="3340"/>
      <c r="U122" s="3343"/>
      <c r="V122" s="3340"/>
      <c r="W122" s="3343"/>
      <c r="X122" s="3340"/>
      <c r="Y122" s="268">
        <f>SUM('6층_부하량(월간_AVG)'!D345:F345)</f>
        <v>3.9750095095596647</v>
      </c>
      <c r="Z122" s="268">
        <f>SUM('6층_부하량(월간_AVG)'!D377:F377)</f>
        <v>3.6492799733265673</v>
      </c>
      <c r="AA122" s="3396">
        <f>SUM(Y122:Z124)</f>
        <v>19.851460994871395</v>
      </c>
      <c r="AB122" s="2715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648.70000000000005</v>
      </c>
      <c r="AC122" s="2736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596.70000000000005</v>
      </c>
      <c r="AD122" s="3405">
        <f>SUM(AB122:AC124)</f>
        <v>3186.7999999999997</v>
      </c>
      <c r="AE122" s="2821"/>
      <c r="AG122" s="2367">
        <f t="shared" si="44"/>
        <v>4.2833333333333332</v>
      </c>
      <c r="AH122" s="2367">
        <f t="shared" si="45"/>
        <v>-2.083333333333333</v>
      </c>
      <c r="AI122" s="123" t="str">
        <f t="shared" si="33"/>
        <v>사용초과</v>
      </c>
      <c r="AJ122" t="str">
        <f t="shared" si="34"/>
        <v>RXN Co., Ltd.</v>
      </c>
      <c r="AK122" t="str">
        <f t="shared" si="35"/>
        <v>B306</v>
      </c>
      <c r="AP122" s="123"/>
      <c r="AQ122" s="123"/>
      <c r="AR122" s="123"/>
      <c r="AS122" s="3084"/>
      <c r="AT122" s="123"/>
      <c r="AU122" s="123"/>
      <c r="AV122" s="3085"/>
      <c r="AW122" s="3086"/>
      <c r="AX122" s="3087"/>
      <c r="AY122" s="3088"/>
      <c r="AZ122" s="3089"/>
      <c r="BA122" s="3090"/>
      <c r="BB122" s="3091"/>
    </row>
    <row r="123" spans="1:54">
      <c r="A123" s="3331"/>
      <c r="B123" s="3338"/>
      <c r="C123" s="3336"/>
      <c r="D123" s="3324"/>
      <c r="E123" s="250"/>
      <c r="F123" s="250"/>
      <c r="G123" s="2641"/>
      <c r="H123" s="2636"/>
      <c r="I123" s="2128" t="str">
        <f t="shared" si="53"/>
        <v>6-DaHall 1-PDU-05-30-51</v>
      </c>
      <c r="J123" s="2129" t="str">
        <f t="shared" si="54"/>
        <v>6-DaHall 1-PDU-06-30-51</v>
      </c>
      <c r="K123" s="1463"/>
      <c r="L123" s="1464">
        <v>30</v>
      </c>
      <c r="M123" s="2435" t="s">
        <v>6491</v>
      </c>
      <c r="N123" s="1465">
        <v>51</v>
      </c>
      <c r="O123" s="1466">
        <v>220</v>
      </c>
      <c r="P123" s="1467">
        <v>30</v>
      </c>
      <c r="Q123" s="2441" t="s">
        <v>6501</v>
      </c>
      <c r="R123" s="1468">
        <v>51</v>
      </c>
      <c r="S123" s="3351"/>
      <c r="T123" s="3340"/>
      <c r="U123" s="3343"/>
      <c r="V123" s="3340"/>
      <c r="W123" s="3343"/>
      <c r="X123" s="3340"/>
      <c r="Y123" s="268">
        <f>SUM('6층_부하량(월간_AVG)'!D347:F347)</f>
        <v>3.30048920348074</v>
      </c>
      <c r="Z123" s="268">
        <f>SUM('6층_부하량(월간_AVG)'!D379:F379)</f>
        <v>3.8694443892012371</v>
      </c>
      <c r="AA123" s="3398"/>
      <c r="AB123" s="2715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506.6</v>
      </c>
      <c r="AC123" s="2736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605.1</v>
      </c>
      <c r="AD123" s="3406"/>
      <c r="AE123" s="2821"/>
      <c r="AG123" s="2367">
        <f t="shared" si="44"/>
        <v>0</v>
      </c>
      <c r="AH123" s="2367">
        <f t="shared" si="45"/>
        <v>0</v>
      </c>
      <c r="AI123" s="123" t="str">
        <f t="shared" si="33"/>
        <v>무부하 랙</v>
      </c>
      <c r="AJ123" t="str">
        <f t="shared" si="34"/>
        <v/>
      </c>
      <c r="AK123" t="str">
        <f t="shared" si="35"/>
        <v/>
      </c>
      <c r="AP123" s="123"/>
      <c r="AQ123" s="123"/>
      <c r="AR123" s="123"/>
      <c r="AS123" s="3084"/>
      <c r="AT123" s="123"/>
      <c r="AU123" s="123"/>
      <c r="AV123" s="3085"/>
      <c r="AW123" s="3086"/>
      <c r="AX123" s="3087"/>
      <c r="AY123" s="3088"/>
      <c r="AZ123" s="3089"/>
      <c r="BA123" s="3090"/>
      <c r="BB123" s="3091"/>
    </row>
    <row r="124" spans="1:54">
      <c r="A124" s="3332"/>
      <c r="B124" s="3337"/>
      <c r="C124" s="3336"/>
      <c r="D124" s="3324"/>
      <c r="E124" s="250"/>
      <c r="F124" s="250"/>
      <c r="G124" s="2641"/>
      <c r="H124" s="2636"/>
      <c r="I124" s="2128" t="str">
        <f t="shared" si="53"/>
        <v>6-DaHall 1-PDU-05-30-53</v>
      </c>
      <c r="J124" s="2129" t="str">
        <f t="shared" si="54"/>
        <v>6-DaHall 1-PDU-06-30-53</v>
      </c>
      <c r="K124" s="1463"/>
      <c r="L124" s="1464">
        <v>30</v>
      </c>
      <c r="M124" s="2435" t="s">
        <v>6491</v>
      </c>
      <c r="N124" s="1465">
        <v>53</v>
      </c>
      <c r="O124" s="1466">
        <v>220</v>
      </c>
      <c r="P124" s="1467">
        <v>30</v>
      </c>
      <c r="Q124" s="2441" t="s">
        <v>6501</v>
      </c>
      <c r="R124" s="1468">
        <v>53</v>
      </c>
      <c r="S124" s="3351"/>
      <c r="T124" s="3340"/>
      <c r="U124" s="3343"/>
      <c r="V124" s="3340"/>
      <c r="W124" s="3343"/>
      <c r="X124" s="3340"/>
      <c r="Y124" s="268">
        <f>SUM('6층_부하량(월간_AVG)'!D348:F348)</f>
        <v>4.4660286279441319</v>
      </c>
      <c r="Z124" s="268">
        <f>SUM('6층_부하량(월간_AVG)'!D380:F380)</f>
        <v>0.5912092913590562</v>
      </c>
      <c r="AA124" s="3397"/>
      <c r="AB124" s="2715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734.6</v>
      </c>
      <c r="AC124" s="2736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95.1</v>
      </c>
      <c r="AD124" s="3407"/>
      <c r="AE124" s="2821"/>
      <c r="AG124" s="2367">
        <f t="shared" si="44"/>
        <v>0</v>
      </c>
      <c r="AH124" s="2367">
        <f t="shared" si="45"/>
        <v>0</v>
      </c>
      <c r="AI124" s="123" t="str">
        <f t="shared" si="33"/>
        <v>무부하 랙</v>
      </c>
      <c r="AJ124" t="str">
        <f t="shared" si="34"/>
        <v/>
      </c>
      <c r="AK124" t="str">
        <f t="shared" si="35"/>
        <v/>
      </c>
      <c r="AP124" s="123"/>
      <c r="AQ124" s="123"/>
      <c r="AR124" s="123"/>
      <c r="AS124" s="3084"/>
      <c r="AT124" s="123"/>
      <c r="AU124" s="123"/>
      <c r="AV124" s="3085"/>
      <c r="AW124" s="3086"/>
      <c r="AX124" s="3087"/>
      <c r="AY124" s="3088"/>
      <c r="AZ124" s="3089"/>
      <c r="BA124" s="3090"/>
      <c r="BB124" s="3091"/>
    </row>
    <row r="125" spans="1:54" ht="28.8">
      <c r="A125" s="2652" t="s">
        <v>1912</v>
      </c>
      <c r="B125" s="1088" t="s">
        <v>1913</v>
      </c>
      <c r="C125" s="2641" t="s">
        <v>9241</v>
      </c>
      <c r="D125" s="3053">
        <v>2.2000000000000002</v>
      </c>
      <c r="E125" s="250" t="s">
        <v>1914</v>
      </c>
      <c r="F125" s="250" t="s">
        <v>1915</v>
      </c>
      <c r="G125" s="2641" t="s">
        <v>1916</v>
      </c>
      <c r="H125" s="2636" t="s">
        <v>1917</v>
      </c>
      <c r="I125" s="2128" t="str">
        <f t="shared" si="53"/>
        <v>6-DaHall 1-PDU-05-30-49</v>
      </c>
      <c r="J125" s="2129" t="str">
        <f t="shared" si="54"/>
        <v>6-DaHall 1-PDU-06-30-49</v>
      </c>
      <c r="K125" s="1463">
        <v>220</v>
      </c>
      <c r="L125" s="1464">
        <v>30</v>
      </c>
      <c r="M125" s="2435" t="s">
        <v>6491</v>
      </c>
      <c r="N125" s="1465">
        <v>49</v>
      </c>
      <c r="O125" s="1466">
        <v>220</v>
      </c>
      <c r="P125" s="1467">
        <v>30</v>
      </c>
      <c r="Q125" s="2441" t="s">
        <v>6501</v>
      </c>
      <c r="R125" s="1468">
        <v>49</v>
      </c>
      <c r="S125" s="3370"/>
      <c r="T125" s="3346"/>
      <c r="U125" s="3359"/>
      <c r="V125" s="3346"/>
      <c r="W125" s="3343"/>
      <c r="X125" s="3340"/>
      <c r="Y125" s="268">
        <f>SUM('6층_부하량(월간_AVG)'!D346:F346)</f>
        <v>8.18849244643806</v>
      </c>
      <c r="Z125" s="268">
        <f>SUM('6층_부하량(월간_AVG)'!D378:F378)</f>
        <v>1.3383973786890504</v>
      </c>
      <c r="AA125" s="2452">
        <f t="shared" ref="AA125" si="55">SUM(Y125:Z125)</f>
        <v>9.5268898251271104</v>
      </c>
      <c r="AB125" s="2715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1242.9000000000001</v>
      </c>
      <c r="AC125" s="2736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194.3</v>
      </c>
      <c r="AD125" s="2829">
        <f t="shared" ref="AD125" si="56">SUM(AB125:AC125)</f>
        <v>1437.2</v>
      </c>
      <c r="AE125" s="2821"/>
      <c r="AG125" s="2367">
        <f t="shared" si="44"/>
        <v>1.931720430107527</v>
      </c>
      <c r="AH125" s="2367">
        <f t="shared" si="45"/>
        <v>0.26827956989247315</v>
      </c>
      <c r="AI125" s="123" t="str">
        <f t="shared" si="33"/>
        <v>적정함</v>
      </c>
      <c r="AJ125" t="str">
        <f t="shared" si="34"/>
        <v/>
      </c>
      <c r="AK125" t="str">
        <f t="shared" si="35"/>
        <v/>
      </c>
      <c r="AP125" s="123"/>
      <c r="AQ125" s="123"/>
      <c r="AR125" s="123"/>
      <c r="AS125" s="3084"/>
      <c r="AT125" s="123"/>
      <c r="AU125" s="123"/>
      <c r="AV125" s="3085"/>
      <c r="AW125" s="3086"/>
      <c r="AX125" s="3087"/>
      <c r="AY125" s="3088"/>
      <c r="AZ125" s="3089"/>
      <c r="BA125" s="3090"/>
      <c r="BB125" s="3091"/>
    </row>
    <row r="126" spans="1:54" ht="28.8">
      <c r="A126" s="3330" t="s">
        <v>1918</v>
      </c>
      <c r="B126" s="3334" t="s">
        <v>1919</v>
      </c>
      <c r="C126" s="3336" t="s">
        <v>9238</v>
      </c>
      <c r="D126" s="3324">
        <v>2.2000000000000002</v>
      </c>
      <c r="E126" s="250" t="s">
        <v>1920</v>
      </c>
      <c r="F126" s="250" t="s">
        <v>1921</v>
      </c>
      <c r="G126" s="2641" t="s">
        <v>1922</v>
      </c>
      <c r="H126" s="2636" t="s">
        <v>1923</v>
      </c>
      <c r="I126" s="2128" t="str">
        <f t="shared" si="53"/>
        <v>6-DaHall 1-PDU-03-30-1</v>
      </c>
      <c r="J126" s="2129" t="str">
        <f t="shared" si="54"/>
        <v>6-DaHall 1-PDU-04-30-1</v>
      </c>
      <c r="K126" s="1463">
        <v>220</v>
      </c>
      <c r="L126" s="1464">
        <v>30</v>
      </c>
      <c r="M126" s="2435" t="s">
        <v>6499</v>
      </c>
      <c r="N126" s="1465">
        <v>1</v>
      </c>
      <c r="O126" s="1466">
        <v>220</v>
      </c>
      <c r="P126" s="1467">
        <v>30</v>
      </c>
      <c r="Q126" s="2441" t="s">
        <v>6495</v>
      </c>
      <c r="R126" s="1468">
        <v>1</v>
      </c>
      <c r="S126" s="3350" t="s">
        <v>1924</v>
      </c>
      <c r="T126" s="3339" t="s">
        <v>1925</v>
      </c>
      <c r="U126" s="3342" t="s">
        <v>1926</v>
      </c>
      <c r="V126" s="3339" t="s">
        <v>1927</v>
      </c>
      <c r="W126" s="3343"/>
      <c r="X126" s="3340"/>
      <c r="Y126" s="268">
        <f>SUM('6층_부하량(월간_AVG)'!D262:F262)</f>
        <v>4.0842316890055965</v>
      </c>
      <c r="Z126" s="268">
        <f>SUM('6층_부하량(월간_AVG)'!D292:F292)</f>
        <v>2.7814872227447767</v>
      </c>
      <c r="AA126" s="3396">
        <f>SUM(Y126:Z128)</f>
        <v>16.193258475181366</v>
      </c>
      <c r="AB126" s="2853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671.7</v>
      </c>
      <c r="AC126" s="2846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446.6</v>
      </c>
      <c r="AD126" s="3405">
        <f>SUM(AB126:AC128)</f>
        <v>2635.3000000000006</v>
      </c>
      <c r="AE126" s="3412"/>
      <c r="AG126" s="2367">
        <f t="shared" si="44"/>
        <v>3.5420698924731191</v>
      </c>
      <c r="AH126" s="2367">
        <f t="shared" si="45"/>
        <v>-1.3420698924731189</v>
      </c>
      <c r="AI126" s="123" t="str">
        <f t="shared" si="33"/>
        <v>사용초과</v>
      </c>
      <c r="AJ126" t="str">
        <f t="shared" si="34"/>
        <v>RXN Co., Ltd.</v>
      </c>
      <c r="AK126" t="str">
        <f t="shared" si="35"/>
        <v>B308</v>
      </c>
      <c r="AP126" s="123"/>
      <c r="AQ126" s="123"/>
      <c r="AR126" s="123"/>
      <c r="AS126" s="3084"/>
      <c r="AT126" s="123"/>
      <c r="AU126" s="123"/>
      <c r="AV126" s="3085"/>
      <c r="AW126" s="3086"/>
      <c r="AX126" s="3087"/>
      <c r="AY126" s="3088"/>
      <c r="AZ126" s="3089"/>
      <c r="BA126" s="3090"/>
      <c r="BB126" s="3091"/>
    </row>
    <row r="127" spans="1:54">
      <c r="A127" s="3331"/>
      <c r="B127" s="3338"/>
      <c r="C127" s="3336"/>
      <c r="D127" s="3324"/>
      <c r="E127" s="250"/>
      <c r="F127" s="250"/>
      <c r="G127" s="2641"/>
      <c r="H127" s="2636"/>
      <c r="I127" s="2128" t="str">
        <f t="shared" si="53"/>
        <v>6-DaHall 1-PDU-03-30-3</v>
      </c>
      <c r="J127" s="2129" t="str">
        <f t="shared" si="54"/>
        <v>6-DaHall 1-PDU-04-30-3</v>
      </c>
      <c r="K127" s="1463"/>
      <c r="L127" s="1464">
        <v>30</v>
      </c>
      <c r="M127" s="2435" t="s">
        <v>6499</v>
      </c>
      <c r="N127" s="1465">
        <v>3</v>
      </c>
      <c r="O127" s="1466">
        <v>220</v>
      </c>
      <c r="P127" s="1467">
        <v>30</v>
      </c>
      <c r="Q127" s="2441" t="s">
        <v>6495</v>
      </c>
      <c r="R127" s="1468">
        <v>3</v>
      </c>
      <c r="S127" s="3351"/>
      <c r="T127" s="3340"/>
      <c r="U127" s="3343"/>
      <c r="V127" s="3340"/>
      <c r="W127" s="3343"/>
      <c r="X127" s="3340"/>
      <c r="Y127" s="268">
        <f>SUM('6층_부하량(월간_AVG)'!D263:F263)</f>
        <v>3.5866528543501586</v>
      </c>
      <c r="Z127" s="268">
        <f>SUM('6층_부하량(월간_AVG)'!D293:F293)</f>
        <v>3.9878353018604873</v>
      </c>
      <c r="AA127" s="3398"/>
      <c r="AB127" s="2853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591.4</v>
      </c>
      <c r="AC127" s="2846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656.9</v>
      </c>
      <c r="AD127" s="3406"/>
      <c r="AE127" s="3413"/>
      <c r="AG127" s="2367">
        <f t="shared" si="44"/>
        <v>0</v>
      </c>
      <c r="AH127" s="2367">
        <f t="shared" si="45"/>
        <v>0</v>
      </c>
      <c r="AI127" s="123" t="str">
        <f t="shared" si="33"/>
        <v>무부하 랙</v>
      </c>
      <c r="AJ127" t="str">
        <f t="shared" si="34"/>
        <v/>
      </c>
      <c r="AK127" t="str">
        <f t="shared" si="35"/>
        <v/>
      </c>
      <c r="AP127" s="123"/>
      <c r="AQ127" s="123"/>
      <c r="AR127" s="123"/>
      <c r="AS127" s="3084"/>
      <c r="AT127" s="123"/>
      <c r="AU127" s="123"/>
      <c r="AV127" s="3085"/>
      <c r="AW127" s="3086"/>
      <c r="AX127" s="3087"/>
      <c r="AY127" s="3088"/>
      <c r="AZ127" s="3089"/>
      <c r="BA127" s="3090"/>
      <c r="BB127" s="3091"/>
    </row>
    <row r="128" spans="1:54">
      <c r="A128" s="3332"/>
      <c r="B128" s="3337"/>
      <c r="C128" s="3336"/>
      <c r="D128" s="3324"/>
      <c r="E128" s="250"/>
      <c r="F128" s="250"/>
      <c r="G128" s="2641"/>
      <c r="H128" s="2636"/>
      <c r="I128" s="2128" t="str">
        <f t="shared" si="53"/>
        <v>6-DaHall 1-PDU-03-30-5</v>
      </c>
      <c r="J128" s="2129" t="str">
        <f t="shared" si="54"/>
        <v>6-DaHall 1-PDU-04-30-5</v>
      </c>
      <c r="K128" s="1463"/>
      <c r="L128" s="1464">
        <v>30</v>
      </c>
      <c r="M128" s="2435" t="s">
        <v>6499</v>
      </c>
      <c r="N128" s="1465">
        <v>5</v>
      </c>
      <c r="O128" s="1466">
        <v>220</v>
      </c>
      <c r="P128" s="1467">
        <v>30</v>
      </c>
      <c r="Q128" s="2441" t="s">
        <v>6495</v>
      </c>
      <c r="R128" s="1468">
        <v>5</v>
      </c>
      <c r="S128" s="3351"/>
      <c r="T128" s="3340"/>
      <c r="U128" s="3343"/>
      <c r="V128" s="3340"/>
      <c r="W128" s="3343"/>
      <c r="X128" s="3340"/>
      <c r="Y128" s="268">
        <f>SUM('6층_부하량(월간_AVG)'!D264:F264)</f>
        <v>0.85063347333836825</v>
      </c>
      <c r="Z128" s="268">
        <f>SUM('6층_부하량(월간_AVG)'!D294:F294)</f>
        <v>0.90241793388198133</v>
      </c>
      <c r="AA128" s="3397"/>
      <c r="AB128" s="2853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123.3</v>
      </c>
      <c r="AC128" s="2846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145.4</v>
      </c>
      <c r="AD128" s="3407"/>
      <c r="AE128" s="3414"/>
      <c r="AG128" s="2367">
        <f t="shared" si="44"/>
        <v>0</v>
      </c>
      <c r="AH128" s="2367">
        <f t="shared" si="45"/>
        <v>0</v>
      </c>
      <c r="AI128" s="123" t="str">
        <f t="shared" si="33"/>
        <v>무부하 랙</v>
      </c>
      <c r="AJ128" t="str">
        <f t="shared" si="34"/>
        <v/>
      </c>
      <c r="AK128" t="str">
        <f t="shared" si="35"/>
        <v/>
      </c>
      <c r="AP128" s="123"/>
      <c r="AQ128" s="123"/>
      <c r="AR128" s="123"/>
      <c r="AS128" s="3084"/>
      <c r="AT128" s="123"/>
      <c r="AU128" s="123"/>
      <c r="AV128" s="3085"/>
      <c r="AW128" s="3086"/>
      <c r="AX128" s="3087"/>
      <c r="AY128" s="3088"/>
      <c r="AZ128" s="3089"/>
      <c r="BA128" s="3090"/>
      <c r="BB128" s="3091"/>
    </row>
    <row r="129" spans="1:54" ht="28.8">
      <c r="A129" s="3330" t="s">
        <v>1928</v>
      </c>
      <c r="B129" s="3334" t="s">
        <v>1929</v>
      </c>
      <c r="C129" s="3336" t="s">
        <v>9238</v>
      </c>
      <c r="D129" s="3324">
        <v>2.2000000000000002</v>
      </c>
      <c r="E129" s="250" t="s">
        <v>1930</v>
      </c>
      <c r="F129" s="250" t="s">
        <v>1931</v>
      </c>
      <c r="G129" s="2641" t="s">
        <v>1932</v>
      </c>
      <c r="H129" s="2636" t="s">
        <v>1933</v>
      </c>
      <c r="I129" s="2128" t="str">
        <f t="shared" si="53"/>
        <v>6-DaHall 1-PDU-03-30-7</v>
      </c>
      <c r="J129" s="2129" t="str">
        <f t="shared" si="54"/>
        <v>6-DaHall 1-PDU-04-30-7</v>
      </c>
      <c r="K129" s="1463">
        <v>220</v>
      </c>
      <c r="L129" s="1464">
        <v>30</v>
      </c>
      <c r="M129" s="2435" t="s">
        <v>6499</v>
      </c>
      <c r="N129" s="1465">
        <v>7</v>
      </c>
      <c r="O129" s="1466">
        <v>220</v>
      </c>
      <c r="P129" s="1467">
        <v>30</v>
      </c>
      <c r="Q129" s="2441" t="s">
        <v>6495</v>
      </c>
      <c r="R129" s="1468">
        <v>7</v>
      </c>
      <c r="S129" s="3351"/>
      <c r="T129" s="3340"/>
      <c r="U129" s="3343"/>
      <c r="V129" s="3340"/>
      <c r="W129" s="3343"/>
      <c r="X129" s="3340"/>
      <c r="Y129" s="268">
        <f>SUM('6층_부하량(월간_AVG)'!D265:F265)</f>
        <v>3.8349062642387279</v>
      </c>
      <c r="Z129" s="268">
        <f>SUM('6층_부하량(월간_AVG)'!D295:F295)</f>
        <v>4.0590110565892816</v>
      </c>
      <c r="AA129" s="3396">
        <f>SUM(Y129:Z130)</f>
        <v>15.653589725850217</v>
      </c>
      <c r="AB129" s="2853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600.5</v>
      </c>
      <c r="AC129" s="2846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405">
        <f>SUM(AB129:AC130)</f>
        <v>2495</v>
      </c>
      <c r="AE129" s="3415"/>
      <c r="AG129" s="2367">
        <f t="shared" si="44"/>
        <v>3.353494623655914</v>
      </c>
      <c r="AH129" s="2367">
        <f t="shared" si="45"/>
        <v>-1.1534946236559138</v>
      </c>
      <c r="AI129" s="123" t="str">
        <f t="shared" si="33"/>
        <v>사용초과</v>
      </c>
      <c r="AJ129" t="str">
        <f t="shared" si="34"/>
        <v>RXN Co., Ltd.</v>
      </c>
      <c r="AK129" t="str">
        <f t="shared" si="35"/>
        <v>B309</v>
      </c>
      <c r="AP129" s="123"/>
      <c r="AQ129" s="123"/>
      <c r="AR129" s="123"/>
      <c r="AS129" s="3084"/>
      <c r="AT129" s="123"/>
      <c r="AU129" s="123"/>
      <c r="AV129" s="3085"/>
      <c r="AW129" s="3086"/>
      <c r="AX129" s="3087"/>
      <c r="AY129" s="3088"/>
      <c r="AZ129" s="3089"/>
      <c r="BA129" s="3090"/>
      <c r="BB129" s="3091"/>
    </row>
    <row r="130" spans="1:54">
      <c r="A130" s="3332"/>
      <c r="B130" s="3337"/>
      <c r="C130" s="3336"/>
      <c r="D130" s="3324"/>
      <c r="E130" s="250"/>
      <c r="F130" s="250"/>
      <c r="G130" s="2641"/>
      <c r="H130" s="2636"/>
      <c r="I130" s="2128" t="str">
        <f t="shared" si="53"/>
        <v>6-DaHall 1-PDU-03-30-9</v>
      </c>
      <c r="J130" s="2129" t="str">
        <f t="shared" si="54"/>
        <v>6-DaHall 1-PDU-04-30-9</v>
      </c>
      <c r="K130" s="1463"/>
      <c r="L130" s="1464">
        <v>30</v>
      </c>
      <c r="M130" s="2435" t="s">
        <v>6499</v>
      </c>
      <c r="N130" s="1465">
        <v>9</v>
      </c>
      <c r="O130" s="1466">
        <v>220</v>
      </c>
      <c r="P130" s="1467">
        <v>30</v>
      </c>
      <c r="Q130" s="2441" t="s">
        <v>6495</v>
      </c>
      <c r="R130" s="1468">
        <v>9</v>
      </c>
      <c r="S130" s="3351"/>
      <c r="T130" s="3340"/>
      <c r="U130" s="3343"/>
      <c r="V130" s="3340"/>
      <c r="W130" s="3343"/>
      <c r="X130" s="3340"/>
      <c r="Y130" s="268">
        <f>SUM('6층_부하량(월간_AVG)'!D266:F266)</f>
        <v>3.6686498648601966</v>
      </c>
      <c r="Z130" s="268">
        <f>SUM('6층_부하량(월간_AVG)'!D296:F296)</f>
        <v>4.0910225401620126</v>
      </c>
      <c r="AA130" s="3397"/>
      <c r="AB130" s="2853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587.20000000000005</v>
      </c>
      <c r="AC130" s="2846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662.2</v>
      </c>
      <c r="AD130" s="3407"/>
      <c r="AE130" s="3416"/>
      <c r="AG130" s="2367">
        <f t="shared" si="44"/>
        <v>0</v>
      </c>
      <c r="AH130" s="2367">
        <f t="shared" si="45"/>
        <v>0</v>
      </c>
      <c r="AI130" s="123" t="str">
        <f t="shared" si="33"/>
        <v>무부하 랙</v>
      </c>
      <c r="AJ130" t="str">
        <f t="shared" si="34"/>
        <v/>
      </c>
      <c r="AK130" t="str">
        <f t="shared" si="35"/>
        <v/>
      </c>
      <c r="AP130" s="123"/>
      <c r="AQ130" s="123"/>
      <c r="AR130" s="123"/>
      <c r="AS130" s="3084"/>
      <c r="AT130" s="123"/>
      <c r="AU130" s="123"/>
      <c r="AV130" s="3085"/>
      <c r="AW130" s="3086"/>
      <c r="AX130" s="3087"/>
      <c r="AY130" s="3088"/>
      <c r="AZ130" s="3089"/>
      <c r="BA130" s="3090"/>
      <c r="BB130" s="3091"/>
    </row>
    <row r="131" spans="1:54">
      <c r="A131" s="3330" t="s">
        <v>1934</v>
      </c>
      <c r="B131" s="3334"/>
      <c r="C131" s="3336" t="s">
        <v>9238</v>
      </c>
      <c r="D131" s="3324">
        <v>2.2000000000000002</v>
      </c>
      <c r="E131" s="250"/>
      <c r="F131" s="250"/>
      <c r="G131" s="2641"/>
      <c r="H131" s="2636"/>
      <c r="I131" s="2128" t="str">
        <f t="shared" si="53"/>
        <v>6-DaHall 1-PDU-03-30-11</v>
      </c>
      <c r="J131" s="2129" t="str">
        <f t="shared" si="54"/>
        <v>6-DaHall 1-PDU-04-30-11</v>
      </c>
      <c r="K131" s="1463">
        <v>220</v>
      </c>
      <c r="L131" s="1464">
        <v>30</v>
      </c>
      <c r="M131" s="2435" t="s">
        <v>6499</v>
      </c>
      <c r="N131" s="1465">
        <v>11</v>
      </c>
      <c r="O131" s="1466">
        <v>220</v>
      </c>
      <c r="P131" s="1467">
        <v>30</v>
      </c>
      <c r="Q131" s="2441" t="s">
        <v>6495</v>
      </c>
      <c r="R131" s="1468">
        <v>11</v>
      </c>
      <c r="S131" s="3351"/>
      <c r="T131" s="3340"/>
      <c r="U131" s="3343"/>
      <c r="V131" s="3340"/>
      <c r="W131" s="3343"/>
      <c r="X131" s="3340"/>
      <c r="Y131" s="268">
        <f>SUM('6층_부하량(월간_AVG)'!D267:F267)</f>
        <v>2.6548652715644976</v>
      </c>
      <c r="Z131" s="268">
        <f>SUM('6층_부하량(월간_AVG)'!D297:F297)</f>
        <v>3.6434178727491737</v>
      </c>
      <c r="AA131" s="3396">
        <f t="shared" ref="AA131" si="57">SUM(Y131:Z132)</f>
        <v>14.686434684254932</v>
      </c>
      <c r="AB131" s="2853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436</v>
      </c>
      <c r="AC131" s="2846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596.29999999999995</v>
      </c>
      <c r="AD131" s="3405">
        <f t="shared" ref="AD131" si="58">SUM(AB131:AC132)</f>
        <v>2374.1999999999998</v>
      </c>
      <c r="AE131" s="3415"/>
      <c r="AG131" s="2367">
        <f t="shared" si="44"/>
        <v>3.1911290322580643</v>
      </c>
      <c r="AH131" s="2367">
        <f t="shared" si="45"/>
        <v>-0.99112903225806415</v>
      </c>
      <c r="AI131" s="123" t="str">
        <f t="shared" si="33"/>
        <v>사용초과</v>
      </c>
      <c r="AJ131" t="str">
        <f t="shared" si="34"/>
        <v>RXN Co., Ltd.</v>
      </c>
      <c r="AK131" t="str">
        <f t="shared" si="35"/>
        <v>B310</v>
      </c>
      <c r="AP131" s="123"/>
      <c r="AQ131" s="123"/>
      <c r="AR131" s="123"/>
      <c r="AS131" s="3084"/>
      <c r="AT131" s="123"/>
      <c r="AU131" s="123"/>
      <c r="AV131" s="3085"/>
      <c r="AW131" s="3086"/>
      <c r="AX131" s="3087"/>
      <c r="AY131" s="3088"/>
      <c r="AZ131" s="3089"/>
      <c r="BA131" s="3090"/>
      <c r="BB131" s="3091"/>
    </row>
    <row r="132" spans="1:54">
      <c r="A132" s="3332"/>
      <c r="B132" s="3337"/>
      <c r="C132" s="3336"/>
      <c r="D132" s="3324"/>
      <c r="E132" s="2656"/>
      <c r="F132" s="2656"/>
      <c r="G132" s="2645"/>
      <c r="H132" s="2638"/>
      <c r="I132" s="2128" t="str">
        <f t="shared" si="53"/>
        <v>6-DaHall 1-PDU-03-30-13</v>
      </c>
      <c r="J132" s="2129" t="str">
        <f t="shared" si="54"/>
        <v>6-DaHall 1-PDU-04-30-13</v>
      </c>
      <c r="K132" s="1463"/>
      <c r="L132" s="1464">
        <v>30</v>
      </c>
      <c r="M132" s="2435" t="s">
        <v>6499</v>
      </c>
      <c r="N132" s="1465">
        <v>13</v>
      </c>
      <c r="O132" s="1466">
        <v>220</v>
      </c>
      <c r="P132" s="1467">
        <v>30</v>
      </c>
      <c r="Q132" s="2445" t="s">
        <v>6495</v>
      </c>
      <c r="R132" s="2123">
        <v>13</v>
      </c>
      <c r="S132" s="3351"/>
      <c r="T132" s="3340"/>
      <c r="U132" s="3343"/>
      <c r="V132" s="3340"/>
      <c r="W132" s="3343"/>
      <c r="X132" s="3340"/>
      <c r="Y132" s="268">
        <f>SUM('6층_부하량(월간_AVG)'!D268:F268)</f>
        <v>5.1517061714872527</v>
      </c>
      <c r="Z132" s="268">
        <f>SUM('6층_부하량(월간_AVG)'!D298:F298)</f>
        <v>3.2364453684540089</v>
      </c>
      <c r="AA132" s="3397"/>
      <c r="AB132" s="2853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813.1</v>
      </c>
      <c r="AC132" s="2846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528.79999999999995</v>
      </c>
      <c r="AD132" s="3407"/>
      <c r="AE132" s="3416"/>
      <c r="AG132" s="2367">
        <f t="shared" si="44"/>
        <v>0</v>
      </c>
      <c r="AH132" s="2367">
        <f t="shared" si="45"/>
        <v>0</v>
      </c>
      <c r="AI132" s="123" t="str">
        <f t="shared" si="33"/>
        <v>무부하 랙</v>
      </c>
      <c r="AJ132" t="str">
        <f t="shared" si="34"/>
        <v/>
      </c>
      <c r="AK132" t="str">
        <f t="shared" si="35"/>
        <v/>
      </c>
      <c r="AP132" s="123"/>
      <c r="AQ132" s="123"/>
      <c r="AR132" s="123"/>
      <c r="AS132" s="3084"/>
      <c r="AT132" s="123"/>
      <c r="AU132" s="123"/>
      <c r="AV132" s="3085"/>
      <c r="AW132" s="3086"/>
      <c r="AX132" s="3087"/>
      <c r="AY132" s="3088"/>
      <c r="AZ132" s="3089"/>
      <c r="BA132" s="3090"/>
      <c r="BB132" s="3091"/>
    </row>
    <row r="133" spans="1:54">
      <c r="A133" s="3330" t="s">
        <v>1935</v>
      </c>
      <c r="B133" s="3334"/>
      <c r="C133" s="3336" t="s">
        <v>9238</v>
      </c>
      <c r="D133" s="3324">
        <v>2.2000000000000002</v>
      </c>
      <c r="E133" s="2656"/>
      <c r="F133" s="2656"/>
      <c r="G133" s="2645"/>
      <c r="H133" s="2638"/>
      <c r="I133" s="2128" t="str">
        <f t="shared" si="53"/>
        <v>6-DaHall 1-PDU-03-30-15</v>
      </c>
      <c r="J133" s="2129" t="str">
        <f t="shared" si="54"/>
        <v>6-DaHall 1-PDU-04-30-15</v>
      </c>
      <c r="K133" s="1463"/>
      <c r="L133" s="1464">
        <v>30</v>
      </c>
      <c r="M133" s="2435" t="s">
        <v>6499</v>
      </c>
      <c r="N133" s="1465">
        <v>15</v>
      </c>
      <c r="O133" s="1466">
        <v>220</v>
      </c>
      <c r="P133" s="1467">
        <v>30</v>
      </c>
      <c r="Q133" s="2445" t="s">
        <v>6495</v>
      </c>
      <c r="R133" s="2123">
        <v>15</v>
      </c>
      <c r="S133" s="3351"/>
      <c r="T133" s="3340"/>
      <c r="U133" s="3343"/>
      <c r="V133" s="3340"/>
      <c r="W133" s="3343"/>
      <c r="X133" s="3340"/>
      <c r="Y133" s="268">
        <f>SUM('6층_부하량(월간_AVG)'!D269:F269)</f>
        <v>4.0146841238371511</v>
      </c>
      <c r="Z133" s="268">
        <f>SUM('6층_부하량(월간_AVG)'!D299:F299)</f>
        <v>3.728189114119739</v>
      </c>
      <c r="AA133" s="3396">
        <f t="shared" ref="AA133" si="59">SUM(Y133:Z134)</f>
        <v>11.640651335701635</v>
      </c>
      <c r="AB133" s="2853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606.29999999999995</v>
      </c>
      <c r="AC133" s="2846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555.6</v>
      </c>
      <c r="AD133" s="3405">
        <f t="shared" ref="AD133" si="60">SUM(AB133:AC134)</f>
        <v>1724.8000000000002</v>
      </c>
      <c r="AE133" s="3415"/>
      <c r="AG133" s="2367">
        <f t="shared" si="44"/>
        <v>2.3182795698924732</v>
      </c>
      <c r="AH133" s="2367">
        <f t="shared" si="45"/>
        <v>-0.11827956989247301</v>
      </c>
      <c r="AI133" s="123" t="str">
        <f t="shared" ref="AI133:AI196" si="61">IF(SIGN(AH133)&gt;=0,IF(AD133=0,"무부하 랙","적정함"),"사용초과")</f>
        <v>사용초과</v>
      </c>
      <c r="AJ133" t="str">
        <f t="shared" si="34"/>
        <v>RXN Co., Ltd.</v>
      </c>
      <c r="AK133" t="str">
        <f t="shared" si="35"/>
        <v>B311</v>
      </c>
      <c r="AP133" s="123"/>
      <c r="AQ133" s="123"/>
      <c r="AR133" s="123"/>
      <c r="AS133" s="3084"/>
      <c r="AT133" s="123"/>
      <c r="AU133" s="123"/>
      <c r="AV133" s="3085"/>
      <c r="AW133" s="3086"/>
      <c r="AX133" s="3087"/>
      <c r="AY133" s="3088"/>
      <c r="AZ133" s="3089"/>
      <c r="BA133" s="3090"/>
      <c r="BB133" s="3091"/>
    </row>
    <row r="134" spans="1:54" ht="15" thickBot="1">
      <c r="A134" s="3333"/>
      <c r="B134" s="3335"/>
      <c r="C134" s="3336"/>
      <c r="D134" s="3324"/>
      <c r="E134" s="2661"/>
      <c r="F134" s="2661"/>
      <c r="G134" s="2643"/>
      <c r="H134" s="2637"/>
      <c r="I134" s="2128" t="str">
        <f t="shared" si="53"/>
        <v>6-DaHall 1-PDU-03-30-17</v>
      </c>
      <c r="J134" s="2129" t="str">
        <f t="shared" si="54"/>
        <v>6-DaHall 1-PDU-04-30-17</v>
      </c>
      <c r="K134" s="1463">
        <v>220</v>
      </c>
      <c r="L134" s="1464">
        <v>30</v>
      </c>
      <c r="M134" s="2435" t="s">
        <v>6499</v>
      </c>
      <c r="N134" s="1465">
        <v>17</v>
      </c>
      <c r="O134" s="1466">
        <v>220</v>
      </c>
      <c r="P134" s="1467">
        <v>30</v>
      </c>
      <c r="Q134" s="2444" t="s">
        <v>6495</v>
      </c>
      <c r="R134" s="1476">
        <v>17</v>
      </c>
      <c r="S134" s="3352"/>
      <c r="T134" s="3341"/>
      <c r="U134" s="3344"/>
      <c r="V134" s="3341"/>
      <c r="W134" s="3344"/>
      <c r="X134" s="3341"/>
      <c r="Y134" s="268">
        <f>SUM('6층_부하량(월간_AVG)'!D270:F270)</f>
        <v>2.0488606838761334</v>
      </c>
      <c r="Z134" s="268">
        <f>SUM('6층_부하량(월간_AVG)'!D300:F300)</f>
        <v>1.8489174138686117</v>
      </c>
      <c r="AA134" s="3397"/>
      <c r="AB134" s="2853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46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264.5</v>
      </c>
      <c r="AD134" s="3407"/>
      <c r="AE134" s="3416"/>
      <c r="AG134" s="2367">
        <f t="shared" si="44"/>
        <v>0</v>
      </c>
      <c r="AH134" s="2367">
        <f t="shared" si="45"/>
        <v>0</v>
      </c>
      <c r="AI134" s="123" t="str">
        <f t="shared" si="61"/>
        <v>무부하 랙</v>
      </c>
      <c r="AJ134" t="str">
        <f t="shared" ref="AJ134:AJ197" si="62">IF(AI134="사용초과",C134,"")</f>
        <v/>
      </c>
      <c r="AK134" t="str">
        <f t="shared" ref="AK134:AK197" si="63">IF(AJ134="","",A134)</f>
        <v/>
      </c>
      <c r="AP134" s="123"/>
      <c r="AQ134" s="123"/>
      <c r="AR134" s="123"/>
      <c r="AS134" s="3084"/>
      <c r="AT134" s="123"/>
      <c r="AU134" s="123"/>
      <c r="AV134" s="3085"/>
      <c r="AW134" s="3086"/>
      <c r="AX134" s="3087"/>
      <c r="AY134" s="3088"/>
      <c r="AZ134" s="3089"/>
      <c r="BA134" s="3090"/>
      <c r="BB134" s="3091"/>
    </row>
    <row r="135" spans="1:54" ht="15" thickTop="1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55"/>
      <c r="AB135" s="2826"/>
      <c r="AC135" s="2827"/>
      <c r="AD135" s="2835">
        <f t="shared" ref="AD135:AD193" si="64">SUM(AB135:AC135)</f>
        <v>0</v>
      </c>
      <c r="AE135" s="2828" t="s">
        <v>1265</v>
      </c>
      <c r="AG135" s="2367">
        <f t="shared" si="44"/>
        <v>0</v>
      </c>
      <c r="AH135" s="2367">
        <f t="shared" si="45"/>
        <v>0</v>
      </c>
      <c r="AI135" s="123" t="str">
        <f t="shared" si="61"/>
        <v>무부하 랙</v>
      </c>
      <c r="AJ135" t="str">
        <f t="shared" si="62"/>
        <v/>
      </c>
      <c r="AK135" t="str">
        <f t="shared" si="63"/>
        <v/>
      </c>
      <c r="AP135" s="123"/>
      <c r="AQ135" s="123"/>
      <c r="AR135" s="123"/>
      <c r="AS135" s="3084"/>
      <c r="AT135" s="123"/>
      <c r="AU135" s="123"/>
      <c r="AV135" s="3085"/>
      <c r="AW135" s="3086"/>
      <c r="AX135" s="3087"/>
      <c r="AY135" s="3088"/>
      <c r="AZ135" s="3089"/>
      <c r="BA135" s="3090"/>
      <c r="BB135" s="3091"/>
    </row>
    <row r="136" spans="1:54" ht="28.8">
      <c r="A136" s="2652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41" t="s">
        <v>1636</v>
      </c>
      <c r="H136" s="2636" t="s">
        <v>1637</v>
      </c>
      <c r="I136" s="2128" t="str">
        <f t="shared" ref="I136:I144" si="65">"6-DaHall 1-PDU-"&amp;M136&amp;"-"&amp;L136&amp;"-"&amp;N136</f>
        <v>6-DaHall 1-PDU-05-30-20</v>
      </c>
      <c r="J136" s="2129" t="str">
        <f t="shared" ref="J136:J144" si="66">"6-DaHall 1-PDU-"&amp;Q136&amp;"-"&amp;P136&amp;"-"&amp;R136</f>
        <v>6-DaHall 1-PDU-06-30-20</v>
      </c>
      <c r="K136" s="1463">
        <v>220</v>
      </c>
      <c r="L136" s="1464">
        <v>30</v>
      </c>
      <c r="M136" s="2435" t="s">
        <v>6491</v>
      </c>
      <c r="N136" s="1465">
        <v>20</v>
      </c>
      <c r="O136" s="1466">
        <v>220</v>
      </c>
      <c r="P136" s="1467">
        <v>30</v>
      </c>
      <c r="Q136" s="2441" t="s">
        <v>6501</v>
      </c>
      <c r="R136" s="1468">
        <v>20</v>
      </c>
      <c r="S136" s="3356" t="s">
        <v>1581</v>
      </c>
      <c r="T136" s="3336" t="s">
        <v>1582</v>
      </c>
      <c r="U136" s="3356" t="s">
        <v>1583</v>
      </c>
      <c r="V136" s="3336" t="s">
        <v>1584</v>
      </c>
      <c r="W136" s="3356" t="s">
        <v>1276</v>
      </c>
      <c r="X136" s="3336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52">
        <f t="shared" ref="AA136:AA144" si="67">SUM(Y136:Z136)</f>
        <v>0</v>
      </c>
      <c r="AB136" s="2715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36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29">
        <f t="shared" si="64"/>
        <v>0</v>
      </c>
      <c r="AE136" s="2821"/>
      <c r="AG136" s="2367">
        <f t="shared" si="44"/>
        <v>0</v>
      </c>
      <c r="AH136" s="2367">
        <f t="shared" si="45"/>
        <v>0</v>
      </c>
      <c r="AI136" s="123" t="str">
        <f t="shared" si="61"/>
        <v>무부하 랙</v>
      </c>
      <c r="AJ136" t="str">
        <f t="shared" si="62"/>
        <v/>
      </c>
      <c r="AK136" t="str">
        <f t="shared" si="63"/>
        <v/>
      </c>
      <c r="AP136" s="123"/>
      <c r="AQ136" s="123"/>
      <c r="AR136" s="123"/>
      <c r="AS136" s="3084"/>
      <c r="AT136" s="123"/>
      <c r="AU136" s="123"/>
      <c r="AV136" s="3085"/>
      <c r="AW136" s="3086"/>
      <c r="AX136" s="3087"/>
      <c r="AY136" s="3088"/>
      <c r="AZ136" s="3089"/>
      <c r="BA136" s="3090"/>
      <c r="BB136" s="3091"/>
    </row>
    <row r="137" spans="1:54" ht="28.8">
      <c r="A137" s="2652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41" t="s">
        <v>1642</v>
      </c>
      <c r="H137" s="2636" t="s">
        <v>1643</v>
      </c>
      <c r="I137" s="2128" t="str">
        <f t="shared" si="65"/>
        <v>6-DaHall 1-PDU-05-30-22</v>
      </c>
      <c r="J137" s="2129" t="str">
        <f t="shared" si="66"/>
        <v>6-DaHall 1-PDU-06-30-22</v>
      </c>
      <c r="K137" s="1463">
        <v>220</v>
      </c>
      <c r="L137" s="1464">
        <v>30</v>
      </c>
      <c r="M137" s="2435" t="s">
        <v>6491</v>
      </c>
      <c r="N137" s="1465">
        <v>22</v>
      </c>
      <c r="O137" s="1466">
        <v>220</v>
      </c>
      <c r="P137" s="1467">
        <v>30</v>
      </c>
      <c r="Q137" s="2441" t="s">
        <v>6501</v>
      </c>
      <c r="R137" s="1468">
        <v>22</v>
      </c>
      <c r="S137" s="3364"/>
      <c r="T137" s="3365"/>
      <c r="U137" s="3364"/>
      <c r="V137" s="3365"/>
      <c r="W137" s="3364"/>
      <c r="X137" s="3365"/>
      <c r="Y137" s="268">
        <f>SUM('6층_부하량(월간_AVG)'!L332:N332)</f>
        <v>0</v>
      </c>
      <c r="Z137" s="268">
        <f>SUM('6층_부하량(월간_AVG)'!L364:N364)</f>
        <v>0</v>
      </c>
      <c r="AA137" s="2452">
        <f t="shared" si="67"/>
        <v>0</v>
      </c>
      <c r="AB137" s="2715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36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29">
        <f t="shared" si="64"/>
        <v>0</v>
      </c>
      <c r="AE137" s="2821"/>
      <c r="AG137" s="2367">
        <f t="shared" si="44"/>
        <v>0</v>
      </c>
      <c r="AH137" s="2367">
        <f t="shared" si="45"/>
        <v>0</v>
      </c>
      <c r="AI137" s="123" t="str">
        <f t="shared" si="61"/>
        <v>무부하 랙</v>
      </c>
      <c r="AJ137" t="str">
        <f t="shared" si="62"/>
        <v/>
      </c>
      <c r="AK137" t="str">
        <f t="shared" si="63"/>
        <v/>
      </c>
      <c r="AP137" s="123"/>
      <c r="AQ137" s="123"/>
      <c r="AR137" s="123"/>
      <c r="AS137" s="3084"/>
      <c r="AT137" s="123"/>
      <c r="AU137" s="123"/>
      <c r="AV137" s="3085"/>
      <c r="AW137" s="3086"/>
      <c r="AX137" s="3087"/>
      <c r="AY137" s="3088"/>
      <c r="AZ137" s="3089"/>
      <c r="BA137" s="3090"/>
      <c r="BB137" s="3091"/>
    </row>
    <row r="138" spans="1:54" ht="28.8">
      <c r="A138" s="2652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41" t="s">
        <v>1648</v>
      </c>
      <c r="H138" s="2636" t="s">
        <v>1649</v>
      </c>
      <c r="I138" s="2128" t="str">
        <f t="shared" si="65"/>
        <v>6-DaHall 1-PDU-05-30-24</v>
      </c>
      <c r="J138" s="2129" t="str">
        <f t="shared" si="66"/>
        <v>6-DaHall 1-PDU-06-30-24</v>
      </c>
      <c r="K138" s="1463">
        <v>220</v>
      </c>
      <c r="L138" s="1464">
        <v>30</v>
      </c>
      <c r="M138" s="2435" t="s">
        <v>6491</v>
      </c>
      <c r="N138" s="1465">
        <v>24</v>
      </c>
      <c r="O138" s="1466">
        <v>220</v>
      </c>
      <c r="P138" s="1467">
        <v>30</v>
      </c>
      <c r="Q138" s="2441" t="s">
        <v>6501</v>
      </c>
      <c r="R138" s="1468">
        <v>24</v>
      </c>
      <c r="S138" s="3364"/>
      <c r="T138" s="3365"/>
      <c r="U138" s="3364"/>
      <c r="V138" s="3365"/>
      <c r="W138" s="3364"/>
      <c r="X138" s="3365"/>
      <c r="Y138" s="268">
        <f>SUM('6층_부하량(월간_AVG)'!L333:N333)</f>
        <v>0</v>
      </c>
      <c r="Z138" s="268">
        <f>SUM('6층_부하량(월간_AVG)'!L365:N365)</f>
        <v>0</v>
      </c>
      <c r="AA138" s="2452">
        <f t="shared" si="67"/>
        <v>0</v>
      </c>
      <c r="AB138" s="2715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36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29">
        <f t="shared" si="64"/>
        <v>0</v>
      </c>
      <c r="AE138" s="2821"/>
      <c r="AG138" s="2367">
        <f t="shared" si="44"/>
        <v>0</v>
      </c>
      <c r="AH138" s="2367">
        <f t="shared" si="45"/>
        <v>0</v>
      </c>
      <c r="AI138" s="123" t="str">
        <f t="shared" si="61"/>
        <v>무부하 랙</v>
      </c>
      <c r="AJ138" t="str">
        <f t="shared" si="62"/>
        <v/>
      </c>
      <c r="AK138" t="str">
        <f t="shared" si="63"/>
        <v/>
      </c>
      <c r="AP138" s="123"/>
      <c r="AQ138" s="123"/>
      <c r="AR138" s="123"/>
      <c r="AS138" s="3084"/>
      <c r="AT138" s="123"/>
      <c r="AU138" s="123"/>
      <c r="AV138" s="3085"/>
      <c r="AW138" s="3086"/>
      <c r="AX138" s="3087"/>
      <c r="AY138" s="3088"/>
      <c r="AZ138" s="3089"/>
      <c r="BA138" s="3090"/>
      <c r="BB138" s="3091"/>
    </row>
    <row r="139" spans="1:54" ht="28.8">
      <c r="A139" s="2652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41" t="s">
        <v>1654</v>
      </c>
      <c r="H139" s="2636" t="s">
        <v>1655</v>
      </c>
      <c r="I139" s="2128" t="str">
        <f t="shared" si="65"/>
        <v>6-DaHall 1-PDU-05-30-26</v>
      </c>
      <c r="J139" s="2129" t="str">
        <f t="shared" si="66"/>
        <v>6-DaHall 1-PDU-06-30-26</v>
      </c>
      <c r="K139" s="1463">
        <v>220</v>
      </c>
      <c r="L139" s="1464">
        <v>30</v>
      </c>
      <c r="M139" s="2435" t="s">
        <v>6491</v>
      </c>
      <c r="N139" s="1465">
        <v>26</v>
      </c>
      <c r="O139" s="1466">
        <v>220</v>
      </c>
      <c r="P139" s="1467">
        <v>30</v>
      </c>
      <c r="Q139" s="2441" t="s">
        <v>6501</v>
      </c>
      <c r="R139" s="1468">
        <v>26</v>
      </c>
      <c r="S139" s="3364"/>
      <c r="T139" s="3365"/>
      <c r="U139" s="3364"/>
      <c r="V139" s="3365"/>
      <c r="W139" s="3364"/>
      <c r="X139" s="3365"/>
      <c r="Y139" s="268">
        <f>SUM('6층_부하량(월간_AVG)'!L334:N334)</f>
        <v>0</v>
      </c>
      <c r="Z139" s="268">
        <f>SUM('6층_부하량(월간_AVG)'!L366:N366)</f>
        <v>0</v>
      </c>
      <c r="AA139" s="2452">
        <f t="shared" si="67"/>
        <v>0</v>
      </c>
      <c r="AB139" s="2715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36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29">
        <f t="shared" si="64"/>
        <v>0</v>
      </c>
      <c r="AE139" s="2821"/>
      <c r="AG139" s="2367">
        <f t="shared" si="44"/>
        <v>0</v>
      </c>
      <c r="AH139" s="2367">
        <f t="shared" si="45"/>
        <v>0</v>
      </c>
      <c r="AI139" s="123" t="str">
        <f t="shared" si="61"/>
        <v>무부하 랙</v>
      </c>
      <c r="AJ139" t="str">
        <f t="shared" si="62"/>
        <v/>
      </c>
      <c r="AK139" t="str">
        <f t="shared" si="63"/>
        <v/>
      </c>
      <c r="AP139" s="123"/>
      <c r="AQ139" s="123"/>
      <c r="AR139" s="123"/>
      <c r="AS139" s="3084"/>
      <c r="AT139" s="123"/>
      <c r="AU139" s="123"/>
      <c r="AV139" s="3085"/>
      <c r="AW139" s="3086"/>
      <c r="AX139" s="3087"/>
      <c r="AY139" s="3088"/>
      <c r="AZ139" s="3089"/>
      <c r="BA139" s="3090"/>
      <c r="BB139" s="3091"/>
    </row>
    <row r="140" spans="1:54" ht="28.8">
      <c r="A140" s="2652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41" t="s">
        <v>1660</v>
      </c>
      <c r="H140" s="2636" t="s">
        <v>1661</v>
      </c>
      <c r="I140" s="2128" t="str">
        <f t="shared" si="65"/>
        <v>6-DaHall 1-PDU-05-30-28</v>
      </c>
      <c r="J140" s="2129" t="str">
        <f t="shared" si="66"/>
        <v>6-DaHall 1-PDU-06-30-28</v>
      </c>
      <c r="K140" s="1463">
        <v>220</v>
      </c>
      <c r="L140" s="1464">
        <v>30</v>
      </c>
      <c r="M140" s="2435" t="s">
        <v>6491</v>
      </c>
      <c r="N140" s="1465">
        <v>28</v>
      </c>
      <c r="O140" s="1466">
        <v>220</v>
      </c>
      <c r="P140" s="1467">
        <v>30</v>
      </c>
      <c r="Q140" s="2441" t="s">
        <v>6501</v>
      </c>
      <c r="R140" s="1468">
        <v>28</v>
      </c>
      <c r="S140" s="3364"/>
      <c r="T140" s="3365"/>
      <c r="U140" s="3364"/>
      <c r="V140" s="3365"/>
      <c r="W140" s="3364"/>
      <c r="X140" s="3365"/>
      <c r="Y140" s="268">
        <f>SUM('6층_부하량(월간_AVG)'!L335:N335)</f>
        <v>0</v>
      </c>
      <c r="Z140" s="268">
        <f>SUM('6층_부하량(월간_AVG)'!L367:N367)</f>
        <v>0</v>
      </c>
      <c r="AA140" s="2452">
        <f t="shared" si="67"/>
        <v>0</v>
      </c>
      <c r="AB140" s="2715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36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29">
        <f t="shared" si="64"/>
        <v>0</v>
      </c>
      <c r="AE140" s="2821"/>
      <c r="AG140" s="2367">
        <f t="shared" si="44"/>
        <v>0</v>
      </c>
      <c r="AH140" s="2367">
        <f t="shared" si="45"/>
        <v>0</v>
      </c>
      <c r="AI140" s="123" t="str">
        <f t="shared" si="61"/>
        <v>무부하 랙</v>
      </c>
      <c r="AJ140" t="str">
        <f t="shared" si="62"/>
        <v/>
      </c>
      <c r="AK140" t="str">
        <f t="shared" si="63"/>
        <v/>
      </c>
      <c r="AP140" s="123"/>
      <c r="AQ140" s="123"/>
      <c r="AR140" s="123"/>
      <c r="AS140" s="3084"/>
      <c r="AT140" s="123"/>
      <c r="AU140" s="123"/>
      <c r="AV140" s="3085"/>
      <c r="AW140" s="3086"/>
      <c r="AX140" s="3087"/>
      <c r="AY140" s="3088"/>
      <c r="AZ140" s="3089"/>
      <c r="BA140" s="3090"/>
      <c r="BB140" s="3091"/>
    </row>
    <row r="141" spans="1:54" ht="28.8">
      <c r="A141" s="2652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41" t="s">
        <v>1666</v>
      </c>
      <c r="H141" s="2636" t="s">
        <v>1667</v>
      </c>
      <c r="I141" s="2128" t="str">
        <f t="shared" si="65"/>
        <v>6-DaHall 1-PDU-05-30-30</v>
      </c>
      <c r="J141" s="2129" t="str">
        <f t="shared" si="66"/>
        <v>6-DaHall 1-PDU-06-30-30</v>
      </c>
      <c r="K141" s="1463">
        <v>220</v>
      </c>
      <c r="L141" s="1464">
        <v>30</v>
      </c>
      <c r="M141" s="2435" t="s">
        <v>6491</v>
      </c>
      <c r="N141" s="1465">
        <v>30</v>
      </c>
      <c r="O141" s="1466">
        <v>220</v>
      </c>
      <c r="P141" s="1467">
        <v>30</v>
      </c>
      <c r="Q141" s="2441" t="s">
        <v>6501</v>
      </c>
      <c r="R141" s="1468">
        <v>30</v>
      </c>
      <c r="S141" s="3364"/>
      <c r="T141" s="3365"/>
      <c r="U141" s="3364"/>
      <c r="V141" s="3365"/>
      <c r="W141" s="3364"/>
      <c r="X141" s="3365"/>
      <c r="Y141" s="268">
        <f>SUM('6층_부하량(월간_AVG)'!L336:N336)</f>
        <v>0</v>
      </c>
      <c r="Z141" s="268">
        <f>SUM('6층_부하량(월간_AVG)'!L368:N368)</f>
        <v>0</v>
      </c>
      <c r="AA141" s="2452">
        <f t="shared" si="67"/>
        <v>0</v>
      </c>
      <c r="AB141" s="2715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36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29">
        <f t="shared" si="64"/>
        <v>0</v>
      </c>
      <c r="AE141" s="2821"/>
      <c r="AG141" s="2367">
        <f t="shared" si="44"/>
        <v>0</v>
      </c>
      <c r="AH141" s="2367">
        <f t="shared" si="45"/>
        <v>0</v>
      </c>
      <c r="AI141" s="123" t="str">
        <f t="shared" si="61"/>
        <v>무부하 랙</v>
      </c>
      <c r="AJ141" t="str">
        <f t="shared" si="62"/>
        <v/>
      </c>
      <c r="AK141" t="str">
        <f t="shared" si="63"/>
        <v/>
      </c>
      <c r="AP141" s="123"/>
      <c r="AQ141" s="123"/>
      <c r="AR141" s="123"/>
      <c r="AS141" s="3084"/>
      <c r="AT141" s="123"/>
      <c r="AU141" s="123"/>
      <c r="AV141" s="3085"/>
      <c r="AW141" s="3086"/>
      <c r="AX141" s="3087"/>
      <c r="AY141" s="3088"/>
      <c r="AZ141" s="3089"/>
      <c r="BA141" s="3090"/>
      <c r="BB141" s="3091"/>
    </row>
    <row r="142" spans="1:54" ht="28.8">
      <c r="A142" s="2652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41" t="s">
        <v>1672</v>
      </c>
      <c r="H142" s="2636" t="s">
        <v>1673</v>
      </c>
      <c r="I142" s="2128" t="str">
        <f t="shared" si="65"/>
        <v>6-DaHall 1-PDU-05-30-32</v>
      </c>
      <c r="J142" s="2129" t="str">
        <f t="shared" si="66"/>
        <v>6-DaHall 1-PDU-06-30-32</v>
      </c>
      <c r="K142" s="1463">
        <v>220</v>
      </c>
      <c r="L142" s="1464">
        <v>30</v>
      </c>
      <c r="M142" s="2435" t="s">
        <v>6491</v>
      </c>
      <c r="N142" s="1465">
        <v>32</v>
      </c>
      <c r="O142" s="1466">
        <v>220</v>
      </c>
      <c r="P142" s="1467">
        <v>30</v>
      </c>
      <c r="Q142" s="2441" t="s">
        <v>6501</v>
      </c>
      <c r="R142" s="1468">
        <v>32</v>
      </c>
      <c r="S142" s="3364"/>
      <c r="T142" s="3365"/>
      <c r="U142" s="3364"/>
      <c r="V142" s="3365"/>
      <c r="W142" s="3364"/>
      <c r="X142" s="3365"/>
      <c r="Y142" s="268">
        <f>SUM('6층_부하량(월간_AVG)'!L337:N337)</f>
        <v>0</v>
      </c>
      <c r="Z142" s="268">
        <f>SUM('6층_부하량(월간_AVG)'!L369:N369)</f>
        <v>0</v>
      </c>
      <c r="AA142" s="2452">
        <f t="shared" si="67"/>
        <v>0</v>
      </c>
      <c r="AB142" s="2715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36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29">
        <f t="shared" si="64"/>
        <v>0</v>
      </c>
      <c r="AE142" s="2821"/>
      <c r="AG142" s="2367">
        <f t="shared" si="44"/>
        <v>0</v>
      </c>
      <c r="AH142" s="2367">
        <f t="shared" si="45"/>
        <v>0</v>
      </c>
      <c r="AI142" s="123" t="str">
        <f t="shared" si="61"/>
        <v>무부하 랙</v>
      </c>
      <c r="AJ142" t="str">
        <f t="shared" si="62"/>
        <v/>
      </c>
      <c r="AK142" t="str">
        <f t="shared" si="63"/>
        <v/>
      </c>
      <c r="AP142" s="123"/>
      <c r="AQ142" s="123"/>
      <c r="AR142" s="123"/>
      <c r="AS142" s="3084"/>
      <c r="AT142" s="123"/>
      <c r="AU142" s="123"/>
      <c r="AV142" s="3085"/>
      <c r="AW142" s="3086"/>
      <c r="AX142" s="3087"/>
      <c r="AY142" s="3088"/>
      <c r="AZ142" s="3089"/>
      <c r="BA142" s="3090"/>
      <c r="BB142" s="3091"/>
    </row>
    <row r="143" spans="1:54" ht="28.8">
      <c r="A143" s="2652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41" t="s">
        <v>1678</v>
      </c>
      <c r="H143" s="2636" t="s">
        <v>1679</v>
      </c>
      <c r="I143" s="2128" t="str">
        <f t="shared" si="65"/>
        <v>6-DaHall 1-PDU-05-30-34</v>
      </c>
      <c r="J143" s="2129" t="str">
        <f t="shared" si="66"/>
        <v>6-DaHall 1-PDU-06-30-34</v>
      </c>
      <c r="K143" s="1463">
        <v>220</v>
      </c>
      <c r="L143" s="1464">
        <v>30</v>
      </c>
      <c r="M143" s="2435" t="s">
        <v>6491</v>
      </c>
      <c r="N143" s="1465">
        <v>34</v>
      </c>
      <c r="O143" s="1466">
        <v>220</v>
      </c>
      <c r="P143" s="1467">
        <v>30</v>
      </c>
      <c r="Q143" s="2441" t="s">
        <v>6501</v>
      </c>
      <c r="R143" s="1468">
        <v>34</v>
      </c>
      <c r="S143" s="3364"/>
      <c r="T143" s="3365"/>
      <c r="U143" s="3364"/>
      <c r="V143" s="3365"/>
      <c r="W143" s="3364"/>
      <c r="X143" s="3365"/>
      <c r="Y143" s="268">
        <f>SUM('6층_부하량(월간_AVG)'!L338:N338)</f>
        <v>0</v>
      </c>
      <c r="Z143" s="268">
        <f>SUM('6층_부하량(월간_AVG)'!L370:N370)</f>
        <v>0</v>
      </c>
      <c r="AA143" s="2452">
        <f t="shared" si="67"/>
        <v>0</v>
      </c>
      <c r="AB143" s="2715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36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29">
        <f t="shared" si="64"/>
        <v>0</v>
      </c>
      <c r="AE143" s="2821"/>
      <c r="AG143" s="2367">
        <f t="shared" si="44"/>
        <v>0</v>
      </c>
      <c r="AH143" s="2367">
        <f t="shared" si="45"/>
        <v>0</v>
      </c>
      <c r="AI143" s="123" t="str">
        <f t="shared" si="61"/>
        <v>무부하 랙</v>
      </c>
      <c r="AJ143" t="str">
        <f t="shared" si="62"/>
        <v/>
      </c>
      <c r="AK143" t="str">
        <f t="shared" si="63"/>
        <v/>
      </c>
      <c r="AP143" s="123"/>
      <c r="AQ143" s="123"/>
      <c r="AR143" s="123"/>
      <c r="AS143" s="3084"/>
      <c r="AT143" s="123"/>
      <c r="AU143" s="123"/>
      <c r="AV143" s="3085"/>
      <c r="AW143" s="3086"/>
      <c r="AX143" s="3087"/>
      <c r="AY143" s="3088"/>
      <c r="AZ143" s="3089"/>
      <c r="BA143" s="3090"/>
      <c r="BB143" s="3091"/>
    </row>
    <row r="144" spans="1:54" ht="28.8">
      <c r="A144" s="2652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41" t="s">
        <v>1684</v>
      </c>
      <c r="H144" s="2636" t="s">
        <v>1685</v>
      </c>
      <c r="I144" s="2128" t="str">
        <f t="shared" si="65"/>
        <v>6-DaHall 1-PDU-05-30-36</v>
      </c>
      <c r="J144" s="2129" t="str">
        <f t="shared" si="66"/>
        <v>6-DaHall 1-PDU-06-30-36</v>
      </c>
      <c r="K144" s="1463">
        <v>220</v>
      </c>
      <c r="L144" s="1464">
        <v>30</v>
      </c>
      <c r="M144" s="2435" t="s">
        <v>6491</v>
      </c>
      <c r="N144" s="1465">
        <v>36</v>
      </c>
      <c r="O144" s="1466">
        <v>220</v>
      </c>
      <c r="P144" s="1467">
        <v>30</v>
      </c>
      <c r="Q144" s="2441" t="s">
        <v>6501</v>
      </c>
      <c r="R144" s="1468">
        <v>36</v>
      </c>
      <c r="S144" s="3364"/>
      <c r="T144" s="3365"/>
      <c r="U144" s="3364"/>
      <c r="V144" s="3365"/>
      <c r="W144" s="3364"/>
      <c r="X144" s="3365"/>
      <c r="Y144" s="268">
        <f>SUM('6층_부하량(월간_AVG)'!L339:N339)</f>
        <v>0</v>
      </c>
      <c r="Z144" s="268">
        <f>SUM('6층_부하량(월간_AVG)'!L371:N371)</f>
        <v>0</v>
      </c>
      <c r="AA144" s="2452">
        <f t="shared" si="67"/>
        <v>0</v>
      </c>
      <c r="AB144" s="2715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36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29">
        <f t="shared" si="64"/>
        <v>0</v>
      </c>
      <c r="AE144" s="2821"/>
      <c r="AG144" s="2367">
        <f t="shared" si="44"/>
        <v>0</v>
      </c>
      <c r="AH144" s="2367">
        <f t="shared" si="45"/>
        <v>0</v>
      </c>
      <c r="AI144" s="123" t="str">
        <f t="shared" si="61"/>
        <v>무부하 랙</v>
      </c>
      <c r="AJ144" t="str">
        <f t="shared" si="62"/>
        <v/>
      </c>
      <c r="AK144" t="str">
        <f t="shared" si="63"/>
        <v/>
      </c>
      <c r="AP144" s="123"/>
      <c r="AQ144" s="123"/>
      <c r="AR144" s="123"/>
      <c r="AS144" s="3084"/>
      <c r="AT144" s="123"/>
      <c r="AU144" s="123"/>
      <c r="AV144" s="3085"/>
      <c r="AW144" s="3086"/>
      <c r="AX144" s="3087"/>
      <c r="AY144" s="3088"/>
      <c r="AZ144" s="3089"/>
      <c r="BA144" s="3090"/>
      <c r="BB144" s="3091"/>
    </row>
    <row r="145" spans="1:54" ht="15" thickBot="1">
      <c r="A145" s="2660" t="s">
        <v>1686</v>
      </c>
      <c r="B145" s="839"/>
      <c r="C145" s="839"/>
      <c r="D145" s="839"/>
      <c r="E145" s="839"/>
      <c r="F145" s="839"/>
      <c r="G145" s="2709"/>
      <c r="H145" s="2692"/>
      <c r="I145" s="2133"/>
      <c r="J145" s="2134"/>
      <c r="K145" s="1480"/>
      <c r="L145" s="1481"/>
      <c r="M145" s="2709"/>
      <c r="N145" s="1482"/>
      <c r="O145" s="1483"/>
      <c r="P145" s="1484"/>
      <c r="Q145" s="2692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56"/>
      <c r="AB145" s="2842"/>
      <c r="AC145" s="2843"/>
      <c r="AD145" s="2844">
        <f t="shared" si="64"/>
        <v>0</v>
      </c>
      <c r="AE145" s="2845" t="s">
        <v>1265</v>
      </c>
      <c r="AG145" s="2367">
        <f t="shared" si="44"/>
        <v>0</v>
      </c>
      <c r="AH145" s="2367">
        <f t="shared" si="45"/>
        <v>0</v>
      </c>
      <c r="AI145" s="123" t="str">
        <f t="shared" si="61"/>
        <v>무부하 랙</v>
      </c>
      <c r="AJ145" t="str">
        <f t="shared" si="62"/>
        <v/>
      </c>
      <c r="AK145" t="str">
        <f t="shared" si="63"/>
        <v/>
      </c>
      <c r="AP145" s="123"/>
      <c r="AQ145" s="123"/>
      <c r="AR145" s="123"/>
      <c r="AS145" s="3084"/>
      <c r="AT145" s="123"/>
      <c r="AU145" s="123"/>
      <c r="AV145" s="3085"/>
      <c r="AW145" s="3086"/>
      <c r="AX145" s="3087"/>
      <c r="AY145" s="3088"/>
      <c r="AZ145" s="3089"/>
      <c r="BA145" s="3090"/>
      <c r="BB145" s="3091"/>
    </row>
    <row r="146" spans="1:54" ht="43.8" thickTop="1">
      <c r="A146" s="1084" t="s">
        <v>1801</v>
      </c>
      <c r="B146" s="327"/>
      <c r="C146" s="973" t="s">
        <v>9242</v>
      </c>
      <c r="D146" s="3053">
        <v>2.2000000000000002</v>
      </c>
      <c r="E146" s="250" t="s">
        <v>1802</v>
      </c>
      <c r="F146" s="250" t="s">
        <v>1803</v>
      </c>
      <c r="G146" s="2641" t="s">
        <v>1804</v>
      </c>
      <c r="H146" s="2636" t="s">
        <v>1805</v>
      </c>
      <c r="I146" s="2128" t="str">
        <f t="shared" ref="I146:I156" si="68">"6-DaHall 1-PDU-"&amp;M146&amp;"-"&amp;L146&amp;"-"&amp;N146</f>
        <v>6-DaHall 1-PDU-05-30-54</v>
      </c>
      <c r="J146" s="2129" t="str">
        <f t="shared" ref="J146:J156" si="69">"6-DaHall 1-PDU-"&amp;Q146&amp;"-"&amp;P146&amp;"-"&amp;R146</f>
        <v>6-DaHall 1-PDU-06-30-54</v>
      </c>
      <c r="K146" s="1463">
        <v>220</v>
      </c>
      <c r="L146" s="1464">
        <v>30</v>
      </c>
      <c r="M146" s="2435" t="s">
        <v>6491</v>
      </c>
      <c r="N146" s="1465">
        <v>54</v>
      </c>
      <c r="O146" s="1466">
        <v>220</v>
      </c>
      <c r="P146" s="1467">
        <v>30</v>
      </c>
      <c r="Q146" s="2441" t="s">
        <v>6501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4.2142818242204676</v>
      </c>
      <c r="Z146" s="836">
        <f>SUM('6층_부하량(월간_AVG)'!L380:N380)</f>
        <v>2.356444291988915</v>
      </c>
      <c r="AA146" s="2452">
        <f t="shared" ref="AA146" si="70">SUM(Y146:Z146)</f>
        <v>6.5707261162093822</v>
      </c>
      <c r="AB146" s="2715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C146" s="2736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355.7</v>
      </c>
      <c r="AD146" s="2850">
        <f t="shared" si="64"/>
        <v>969.2</v>
      </c>
      <c r="AE146" s="2474" t="s">
        <v>1265</v>
      </c>
      <c r="AF146" s="2068" t="s">
        <v>1806</v>
      </c>
      <c r="AG146" s="2367">
        <f t="shared" si="44"/>
        <v>1.3026881720430108</v>
      </c>
      <c r="AH146" s="2367">
        <f t="shared" si="45"/>
        <v>0.89731182795698938</v>
      </c>
      <c r="AI146" s="123" t="str">
        <f t="shared" si="61"/>
        <v>적정함</v>
      </c>
      <c r="AJ146" t="str">
        <f t="shared" si="62"/>
        <v/>
      </c>
      <c r="AK146" t="str">
        <f t="shared" si="63"/>
        <v/>
      </c>
      <c r="AP146" s="123"/>
      <c r="AQ146" s="123"/>
      <c r="AR146" s="123"/>
      <c r="AS146" s="3084"/>
      <c r="AT146" s="123"/>
      <c r="AU146" s="123"/>
      <c r="AV146" s="3085"/>
      <c r="AW146" s="3086"/>
      <c r="AX146" s="3087"/>
      <c r="AY146" s="3088"/>
      <c r="AZ146" s="3089"/>
      <c r="BA146" s="3090"/>
      <c r="BB146" s="3091"/>
    </row>
    <row r="147" spans="1:54" ht="43.2">
      <c r="A147" s="2652" t="s">
        <v>1807</v>
      </c>
      <c r="B147" s="250" t="s">
        <v>1808</v>
      </c>
      <c r="C147" s="2664" t="s">
        <v>9242</v>
      </c>
      <c r="D147" s="3053">
        <v>2.2000000000000002</v>
      </c>
      <c r="E147" s="250" t="s">
        <v>1809</v>
      </c>
      <c r="F147" s="250" t="s">
        <v>1810</v>
      </c>
      <c r="G147" s="2641" t="s">
        <v>1811</v>
      </c>
      <c r="H147" s="2037" t="s">
        <v>1812</v>
      </c>
      <c r="I147" s="2128" t="str">
        <f t="shared" si="68"/>
        <v>6-DaHall 1-PDU-05-30-2</v>
      </c>
      <c r="J147" s="2129" t="str">
        <f t="shared" si="69"/>
        <v>6-DaHall 1-PDU-06-30-2</v>
      </c>
      <c r="K147" s="1463">
        <v>220</v>
      </c>
      <c r="L147" s="1464">
        <v>30</v>
      </c>
      <c r="M147" s="2435" t="s">
        <v>6491</v>
      </c>
      <c r="N147" s="1465">
        <v>2</v>
      </c>
      <c r="O147" s="1466">
        <v>220</v>
      </c>
      <c r="P147" s="1467">
        <v>30</v>
      </c>
      <c r="Q147" s="2441" t="s">
        <v>6501</v>
      </c>
      <c r="R147" s="1468">
        <v>2</v>
      </c>
      <c r="S147" s="3356" t="s">
        <v>1581</v>
      </c>
      <c r="T147" s="3336" t="s">
        <v>1582</v>
      </c>
      <c r="U147" s="3356" t="s">
        <v>1583</v>
      </c>
      <c r="V147" s="3336" t="s">
        <v>1584</v>
      </c>
      <c r="W147" s="3342" t="s">
        <v>1276</v>
      </c>
      <c r="X147" s="3339" t="s">
        <v>1277</v>
      </c>
      <c r="Y147" s="268">
        <f>SUM('6층_부하량(월간_AVG)'!L322:N322)</f>
        <v>11.329137315667632</v>
      </c>
      <c r="Z147" s="268">
        <f>SUM('6층_부하량(월간_AVG)'!L354:N354)</f>
        <v>10.246272619741317</v>
      </c>
      <c r="AA147" s="2452">
        <f t="shared" ref="AA147:AA156" si="71">SUM(Y147:Z147)</f>
        <v>21.575409935408949</v>
      </c>
      <c r="AB147" s="2715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1844.5</v>
      </c>
      <c r="AC147" s="2736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1660.5</v>
      </c>
      <c r="AD147" s="2829">
        <f t="shared" si="64"/>
        <v>3505</v>
      </c>
      <c r="AE147" s="2475" t="s">
        <v>1265</v>
      </c>
      <c r="AF147" s="2068" t="s">
        <v>1806</v>
      </c>
      <c r="AG147" s="2367">
        <f t="shared" si="44"/>
        <v>4.711021505376344</v>
      </c>
      <c r="AH147" s="2367">
        <f t="shared" si="45"/>
        <v>-2.5110215053763438</v>
      </c>
      <c r="AI147" s="123" t="str">
        <f t="shared" si="61"/>
        <v>사용초과</v>
      </c>
      <c r="AJ147" t="str">
        <f t="shared" si="62"/>
        <v>주식회사 메타넷티플랫폼</v>
      </c>
      <c r="AK147" t="str">
        <f t="shared" si="63"/>
        <v>B402</v>
      </c>
      <c r="AP147" s="123"/>
      <c r="AQ147" s="123"/>
      <c r="AR147" s="123"/>
      <c r="AS147" s="3084"/>
      <c r="AT147" s="123"/>
      <c r="AU147" s="123"/>
      <c r="AV147" s="3085"/>
      <c r="AW147" s="3086"/>
      <c r="AX147" s="3087"/>
      <c r="AY147" s="3088"/>
      <c r="AZ147" s="3089"/>
      <c r="BA147" s="3090"/>
      <c r="BB147" s="3091"/>
    </row>
    <row r="148" spans="1:54" ht="28.8">
      <c r="A148" s="2652" t="s">
        <v>1813</v>
      </c>
      <c r="B148" s="2653" t="s">
        <v>1814</v>
      </c>
      <c r="C148" s="2664" t="s">
        <v>9243</v>
      </c>
      <c r="D148" s="3053">
        <v>2.2000000000000002</v>
      </c>
      <c r="E148" s="250" t="s">
        <v>1815</v>
      </c>
      <c r="F148" s="250" t="s">
        <v>1816</v>
      </c>
      <c r="G148" s="2641" t="s">
        <v>1817</v>
      </c>
      <c r="H148" s="2636" t="s">
        <v>1818</v>
      </c>
      <c r="I148" s="2128" t="str">
        <f t="shared" si="68"/>
        <v>6-DaHall 1-PDU-05-30-4</v>
      </c>
      <c r="J148" s="2129" t="str">
        <f t="shared" si="69"/>
        <v>6-DaHall 1-PDU-06-30-4</v>
      </c>
      <c r="K148" s="1463">
        <v>220</v>
      </c>
      <c r="L148" s="1464">
        <v>30</v>
      </c>
      <c r="M148" s="2435" t="s">
        <v>6491</v>
      </c>
      <c r="N148" s="1465">
        <v>4</v>
      </c>
      <c r="O148" s="1466">
        <v>220</v>
      </c>
      <c r="P148" s="1467">
        <v>30</v>
      </c>
      <c r="Q148" s="2441" t="s">
        <v>6501</v>
      </c>
      <c r="R148" s="1468">
        <v>4</v>
      </c>
      <c r="S148" s="3356"/>
      <c r="T148" s="3336"/>
      <c r="U148" s="3356"/>
      <c r="V148" s="3336"/>
      <c r="W148" s="3343"/>
      <c r="X148" s="3340"/>
      <c r="Y148" s="268">
        <f>SUM('6층_부하량(월간_AVG)'!L323:N323)</f>
        <v>5.2061795571902696</v>
      </c>
      <c r="Z148" s="268">
        <f>SUM('6층_부하량(월간_AVG)'!L355:N355)</f>
        <v>4.0883996243531202</v>
      </c>
      <c r="AA148" s="2452">
        <f t="shared" si="71"/>
        <v>9.2945791815433907</v>
      </c>
      <c r="AB148" s="2715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777.6</v>
      </c>
      <c r="AC148" s="2736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631.6</v>
      </c>
      <c r="AD148" s="2829">
        <f t="shared" si="64"/>
        <v>1409.2</v>
      </c>
      <c r="AE148" s="2821"/>
      <c r="AG148" s="2367">
        <f t="shared" si="44"/>
        <v>1.8940860215053763</v>
      </c>
      <c r="AH148" s="2367">
        <f t="shared" si="45"/>
        <v>0.30591397849462387</v>
      </c>
      <c r="AI148" s="123" t="str">
        <f t="shared" si="61"/>
        <v>적정함</v>
      </c>
      <c r="AJ148" t="str">
        <f t="shared" si="62"/>
        <v/>
      </c>
      <c r="AK148" t="str">
        <f t="shared" si="63"/>
        <v/>
      </c>
      <c r="AP148" s="123"/>
      <c r="AQ148" s="123"/>
      <c r="AR148" s="123"/>
      <c r="AS148" s="3084"/>
      <c r="AT148" s="123"/>
      <c r="AU148" s="123"/>
      <c r="AV148" s="3085"/>
      <c r="AW148" s="3086"/>
      <c r="AX148" s="3087"/>
      <c r="AY148" s="3088"/>
      <c r="AZ148" s="3089"/>
      <c r="BA148" s="3090"/>
      <c r="BB148" s="3091"/>
    </row>
    <row r="149" spans="1:54" ht="28.8">
      <c r="A149" s="2652" t="s">
        <v>1819</v>
      </c>
      <c r="B149" s="2653" t="s">
        <v>1820</v>
      </c>
      <c r="C149" s="2664" t="s">
        <v>9244</v>
      </c>
      <c r="D149" s="3053">
        <v>2.2000000000000002</v>
      </c>
      <c r="E149" s="250" t="s">
        <v>1821</v>
      </c>
      <c r="F149" s="250" t="s">
        <v>1822</v>
      </c>
      <c r="G149" s="2641" t="s">
        <v>1823</v>
      </c>
      <c r="H149" s="2636" t="s">
        <v>1824</v>
      </c>
      <c r="I149" s="2128" t="str">
        <f t="shared" si="68"/>
        <v>6-DaHall 1-PDU-05-30-6</v>
      </c>
      <c r="J149" s="2129" t="str">
        <f t="shared" si="69"/>
        <v>6-DaHall 1-PDU-06-30-6</v>
      </c>
      <c r="K149" s="1463">
        <v>220</v>
      </c>
      <c r="L149" s="1464">
        <v>30</v>
      </c>
      <c r="M149" s="2435" t="s">
        <v>6491</v>
      </c>
      <c r="N149" s="1465">
        <v>6</v>
      </c>
      <c r="O149" s="1466">
        <v>220</v>
      </c>
      <c r="P149" s="1467">
        <v>30</v>
      </c>
      <c r="Q149" s="2441" t="s">
        <v>6501</v>
      </c>
      <c r="R149" s="1468">
        <v>6</v>
      </c>
      <c r="S149" s="3356"/>
      <c r="T149" s="3336"/>
      <c r="U149" s="3356"/>
      <c r="V149" s="3336"/>
      <c r="W149" s="3343"/>
      <c r="X149" s="3340"/>
      <c r="Y149" s="268">
        <f>SUM('6층_부하량(월간_AVG)'!L324:N324)</f>
        <v>0.70999772128000382</v>
      </c>
      <c r="Z149" s="268">
        <f>SUM('6층_부하량(월간_AVG)'!L356:N356)</f>
        <v>0.69113561233851339</v>
      </c>
      <c r="AA149" s="2452">
        <f t="shared" si="71"/>
        <v>1.4011333336185172</v>
      </c>
      <c r="AB149" s="2715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96.6</v>
      </c>
      <c r="AC149" s="2736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92.5</v>
      </c>
      <c r="AD149" s="2829">
        <f t="shared" si="64"/>
        <v>189.1</v>
      </c>
      <c r="AE149" s="2821"/>
      <c r="AG149" s="2367">
        <f t="shared" si="44"/>
        <v>0.25416666666666665</v>
      </c>
      <c r="AH149" s="2367">
        <f t="shared" si="45"/>
        <v>1.9458333333333335</v>
      </c>
      <c r="AI149" s="123" t="str">
        <f t="shared" si="61"/>
        <v>적정함</v>
      </c>
      <c r="AJ149" t="str">
        <f t="shared" si="62"/>
        <v/>
      </c>
      <c r="AK149" t="str">
        <f t="shared" si="63"/>
        <v/>
      </c>
      <c r="AP149" s="123"/>
      <c r="AQ149" s="123"/>
      <c r="AR149" s="123"/>
      <c r="AS149" s="3084"/>
      <c r="AT149" s="123"/>
      <c r="AU149" s="123"/>
      <c r="AV149" s="3085"/>
      <c r="AW149" s="3086"/>
      <c r="AX149" s="3087"/>
      <c r="AY149" s="3088"/>
      <c r="AZ149" s="3089"/>
      <c r="BA149" s="3090"/>
      <c r="BB149" s="3091"/>
    </row>
    <row r="150" spans="1:54" ht="43.2">
      <c r="A150" s="2652" t="s">
        <v>1825</v>
      </c>
      <c r="B150" s="2653" t="s">
        <v>1826</v>
      </c>
      <c r="C150" s="2664" t="s">
        <v>9245</v>
      </c>
      <c r="D150" s="3053">
        <v>1.1000000000000001</v>
      </c>
      <c r="E150" s="250" t="s">
        <v>1827</v>
      </c>
      <c r="F150" s="250" t="s">
        <v>1828</v>
      </c>
      <c r="G150" s="2641" t="s">
        <v>1829</v>
      </c>
      <c r="H150" s="2636" t="s">
        <v>1830</v>
      </c>
      <c r="I150" s="2128" t="str">
        <f t="shared" si="68"/>
        <v>6-DaHall 1-PDU-05-30-8</v>
      </c>
      <c r="J150" s="2129" t="str">
        <f t="shared" si="69"/>
        <v>6-DaHall 1-PDU-06-30-8</v>
      </c>
      <c r="K150" s="1463">
        <v>220</v>
      </c>
      <c r="L150" s="1464">
        <v>30</v>
      </c>
      <c r="M150" s="2435" t="s">
        <v>6491</v>
      </c>
      <c r="N150" s="1465">
        <v>8</v>
      </c>
      <c r="O150" s="1466">
        <v>220</v>
      </c>
      <c r="P150" s="1467">
        <v>30</v>
      </c>
      <c r="Q150" s="2441" t="s">
        <v>6501</v>
      </c>
      <c r="R150" s="1468">
        <v>8</v>
      </c>
      <c r="S150" s="3356"/>
      <c r="T150" s="3336"/>
      <c r="U150" s="3356"/>
      <c r="V150" s="3336"/>
      <c r="W150" s="3343"/>
      <c r="X150" s="3340"/>
      <c r="Y150" s="268">
        <f>SUM('6층_부하량(월간_AVG)'!L325:N325)</f>
        <v>2.7207597848170479</v>
      </c>
      <c r="Z150" s="268">
        <f>SUM('6층_부하량(월간_AVG)'!L357:N357)</f>
        <v>3.3983052996278906</v>
      </c>
      <c r="AA150" s="2452">
        <f t="shared" si="71"/>
        <v>6.119065084444939</v>
      </c>
      <c r="AB150" s="2715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383.9</v>
      </c>
      <c r="AC150" s="2736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516.79999999999995</v>
      </c>
      <c r="AD150" s="2829">
        <f t="shared" si="64"/>
        <v>900.69999999999993</v>
      </c>
      <c r="AE150" s="2821"/>
      <c r="AG150" s="2367">
        <f t="shared" si="44"/>
        <v>1.2106182795698923</v>
      </c>
      <c r="AH150" s="2367">
        <f t="shared" si="45"/>
        <v>-0.11061827956989223</v>
      </c>
      <c r="AI150" s="123" t="str">
        <f t="shared" si="61"/>
        <v>사용초과</v>
      </c>
      <c r="AJ150" t="str">
        <f t="shared" si="62"/>
        <v>Dongyang &amp; I&amp;C Co., Ltd.</v>
      </c>
      <c r="AK150" t="str">
        <f t="shared" si="63"/>
        <v>B405</v>
      </c>
      <c r="AP150" s="123"/>
      <c r="AQ150" s="123"/>
      <c r="AR150" s="123"/>
      <c r="AS150" s="3084"/>
      <c r="AT150" s="123"/>
      <c r="AU150" s="123"/>
      <c r="AV150" s="3085"/>
      <c r="AW150" s="3086"/>
      <c r="AX150" s="3087"/>
      <c r="AY150" s="3088"/>
      <c r="AZ150" s="3089"/>
      <c r="BA150" s="3090"/>
      <c r="BB150" s="3091"/>
    </row>
    <row r="151" spans="1:54" ht="28.8">
      <c r="A151" s="2652" t="s">
        <v>1831</v>
      </c>
      <c r="B151" s="250" t="s">
        <v>1832</v>
      </c>
      <c r="C151" s="2664"/>
      <c r="D151" s="3053">
        <v>2.2000000000000002</v>
      </c>
      <c r="E151" s="250" t="s">
        <v>1833</v>
      </c>
      <c r="F151" s="250" t="s">
        <v>1834</v>
      </c>
      <c r="G151" s="2641" t="s">
        <v>1835</v>
      </c>
      <c r="H151" s="2636" t="s">
        <v>1836</v>
      </c>
      <c r="I151" s="2128" t="str">
        <f t="shared" si="68"/>
        <v>6-DaHall 1-PDU-05-30-10</v>
      </c>
      <c r="J151" s="2129" t="str">
        <f t="shared" si="69"/>
        <v>6-DaHall 1-PDU-06-30-10</v>
      </c>
      <c r="K151" s="1463">
        <v>220</v>
      </c>
      <c r="L151" s="1464">
        <v>30</v>
      </c>
      <c r="M151" s="2435" t="s">
        <v>6491</v>
      </c>
      <c r="N151" s="1465">
        <v>10</v>
      </c>
      <c r="O151" s="1466">
        <v>220</v>
      </c>
      <c r="P151" s="1467">
        <v>30</v>
      </c>
      <c r="Q151" s="2441" t="s">
        <v>6501</v>
      </c>
      <c r="R151" s="1468">
        <v>10</v>
      </c>
      <c r="S151" s="3356"/>
      <c r="T151" s="3336"/>
      <c r="U151" s="3356"/>
      <c r="V151" s="3336"/>
      <c r="W151" s="3343"/>
      <c r="X151" s="3340"/>
      <c r="Y151" s="268">
        <f>SUM('6층_부하량(월간_AVG)'!L326:N326)</f>
        <v>0.93687903773007764</v>
      </c>
      <c r="Z151" s="268">
        <f>SUM('6층_부하량(월간_AVG)'!L358:N358)</f>
        <v>0.54024132888326248</v>
      </c>
      <c r="AA151" s="2452">
        <f t="shared" si="71"/>
        <v>1.4771203666133401</v>
      </c>
      <c r="AB151" s="2715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121.9</v>
      </c>
      <c r="AC151" s="2736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71.900000000000006</v>
      </c>
      <c r="AD151" s="2829">
        <f t="shared" si="64"/>
        <v>193.8</v>
      </c>
      <c r="AE151" s="2821"/>
      <c r="AF151" s="2068" t="s">
        <v>1806</v>
      </c>
      <c r="AG151" s="2367">
        <f t="shared" si="44"/>
        <v>0.26048387096774195</v>
      </c>
      <c r="AH151" s="2367">
        <f t="shared" si="45"/>
        <v>1.9395161290322582</v>
      </c>
      <c r="AI151" s="123" t="str">
        <f t="shared" si="61"/>
        <v>적정함</v>
      </c>
      <c r="AJ151" t="str">
        <f t="shared" si="62"/>
        <v/>
      </c>
      <c r="AK151" t="str">
        <f t="shared" si="63"/>
        <v/>
      </c>
      <c r="AP151" s="123"/>
      <c r="AQ151" s="123"/>
      <c r="AR151" s="123"/>
      <c r="AS151" s="3084"/>
      <c r="AT151" s="123"/>
      <c r="AU151" s="123"/>
      <c r="AV151" s="3085"/>
      <c r="AW151" s="3086"/>
      <c r="AX151" s="3087"/>
      <c r="AY151" s="3088"/>
      <c r="AZ151" s="3089"/>
      <c r="BA151" s="3090"/>
      <c r="BB151" s="3091"/>
    </row>
    <row r="152" spans="1:54" ht="28.8">
      <c r="A152" s="2652" t="s">
        <v>379</v>
      </c>
      <c r="B152" s="2653" t="s">
        <v>1837</v>
      </c>
      <c r="C152" s="2664" t="s">
        <v>9246</v>
      </c>
      <c r="D152" s="3053">
        <v>0.55000000000000004</v>
      </c>
      <c r="E152" s="250" t="s">
        <v>1838</v>
      </c>
      <c r="F152" s="250" t="s">
        <v>1839</v>
      </c>
      <c r="G152" s="2641" t="s">
        <v>1840</v>
      </c>
      <c r="H152" s="2636" t="s">
        <v>1841</v>
      </c>
      <c r="I152" s="2128" t="str">
        <f t="shared" si="68"/>
        <v>6-DaHall 1-PDU-05-30-12</v>
      </c>
      <c r="J152" s="2129" t="str">
        <f t="shared" si="69"/>
        <v>6-DaHall 1-PDU-06-30-12</v>
      </c>
      <c r="K152" s="1463">
        <v>220</v>
      </c>
      <c r="L152" s="1464">
        <v>30</v>
      </c>
      <c r="M152" s="2435" t="s">
        <v>6491</v>
      </c>
      <c r="N152" s="1465">
        <v>12</v>
      </c>
      <c r="O152" s="1466">
        <v>220</v>
      </c>
      <c r="P152" s="1467">
        <v>30</v>
      </c>
      <c r="Q152" s="2441" t="s">
        <v>6501</v>
      </c>
      <c r="R152" s="1468">
        <v>12</v>
      </c>
      <c r="S152" s="3356"/>
      <c r="T152" s="3336"/>
      <c r="U152" s="3356"/>
      <c r="V152" s="3336"/>
      <c r="W152" s="3343"/>
      <c r="X152" s="3340"/>
      <c r="Y152" s="268">
        <f>SUM('6층_부하량(월간_AVG)'!L327:N327)</f>
        <v>1.4112190357894554</v>
      </c>
      <c r="Z152" s="268">
        <f>SUM('6층_부하량(월간_AVG)'!L359:N359)</f>
        <v>0</v>
      </c>
      <c r="AA152" s="2452">
        <f t="shared" si="71"/>
        <v>1.4112190357894554</v>
      </c>
      <c r="AB152" s="2715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211.1</v>
      </c>
      <c r="AC152" s="2736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29">
        <f t="shared" si="64"/>
        <v>211.1</v>
      </c>
      <c r="AE152" s="2821"/>
      <c r="AG152" s="2367">
        <f t="shared" si="44"/>
        <v>0.28373655913978496</v>
      </c>
      <c r="AH152" s="2367">
        <f t="shared" si="45"/>
        <v>0.26626344086021508</v>
      </c>
      <c r="AI152" s="123" t="str">
        <f t="shared" si="61"/>
        <v>적정함</v>
      </c>
      <c r="AJ152" t="str">
        <f t="shared" si="62"/>
        <v/>
      </c>
      <c r="AK152" t="str">
        <f t="shared" si="63"/>
        <v/>
      </c>
      <c r="AP152" s="123"/>
      <c r="AQ152" s="123"/>
      <c r="AR152" s="123"/>
      <c r="AS152" s="3084"/>
      <c r="AT152" s="123"/>
      <c r="AU152" s="123"/>
      <c r="AV152" s="3085"/>
      <c r="AW152" s="3086"/>
      <c r="AX152" s="3087"/>
      <c r="AY152" s="3088"/>
      <c r="AZ152" s="3089"/>
      <c r="BA152" s="3090"/>
      <c r="BB152" s="3091"/>
    </row>
    <row r="153" spans="1:54" ht="28.8">
      <c r="A153" s="2652" t="s">
        <v>1842</v>
      </c>
      <c r="B153" s="2653" t="s">
        <v>1843</v>
      </c>
      <c r="C153" s="2664" t="s">
        <v>9247</v>
      </c>
      <c r="D153" s="3053">
        <v>2.2000000000000002</v>
      </c>
      <c r="E153" s="250" t="s">
        <v>1844</v>
      </c>
      <c r="F153" s="250" t="s">
        <v>1845</v>
      </c>
      <c r="G153" s="2641" t="s">
        <v>1846</v>
      </c>
      <c r="H153" s="2636" t="s">
        <v>1847</v>
      </c>
      <c r="I153" s="2128" t="str">
        <f t="shared" si="68"/>
        <v>6-DaHall 1-PDU-05-30-14</v>
      </c>
      <c r="J153" s="2129" t="str">
        <f t="shared" si="69"/>
        <v>6-DaHall 1-PDU-06-30-14</v>
      </c>
      <c r="K153" s="1463">
        <v>220</v>
      </c>
      <c r="L153" s="1464">
        <v>30</v>
      </c>
      <c r="M153" s="2435" t="s">
        <v>6491</v>
      </c>
      <c r="N153" s="1465">
        <v>14</v>
      </c>
      <c r="O153" s="1466">
        <v>220</v>
      </c>
      <c r="P153" s="1467">
        <v>30</v>
      </c>
      <c r="Q153" s="2441" t="s">
        <v>6501</v>
      </c>
      <c r="R153" s="1468">
        <v>14</v>
      </c>
      <c r="S153" s="3356"/>
      <c r="T153" s="3336"/>
      <c r="U153" s="3356"/>
      <c r="V153" s="3336"/>
      <c r="W153" s="3343"/>
      <c r="X153" s="3340"/>
      <c r="Y153" s="268">
        <f>SUM('6층_부하량(월간_AVG)'!L328:N328)</f>
        <v>4.9087091875543019</v>
      </c>
      <c r="Z153" s="268">
        <f>SUM('6층_부하량(월간_AVG)'!L360:N360)</f>
        <v>3.2494829095244149</v>
      </c>
      <c r="AA153" s="2452">
        <f t="shared" si="71"/>
        <v>8.1581920970787163</v>
      </c>
      <c r="AB153" s="2715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774.8</v>
      </c>
      <c r="AC153" s="2736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451.2</v>
      </c>
      <c r="AD153" s="2829">
        <f t="shared" si="64"/>
        <v>1226</v>
      </c>
      <c r="AE153" s="2821"/>
      <c r="AG153" s="2367">
        <f t="shared" si="44"/>
        <v>1.6478494623655915</v>
      </c>
      <c r="AH153" s="2367">
        <f t="shared" si="45"/>
        <v>0.55215053763440869</v>
      </c>
      <c r="AI153" s="123" t="str">
        <f t="shared" si="61"/>
        <v>적정함</v>
      </c>
      <c r="AJ153" t="str">
        <f t="shared" si="62"/>
        <v/>
      </c>
      <c r="AK153" t="str">
        <f t="shared" si="63"/>
        <v/>
      </c>
      <c r="AP153" s="123"/>
      <c r="AQ153" s="123"/>
      <c r="AR153" s="123"/>
      <c r="AS153" s="3084"/>
      <c r="AT153" s="123"/>
      <c r="AU153" s="123"/>
      <c r="AV153" s="3085"/>
      <c r="AW153" s="3086"/>
      <c r="AX153" s="3087"/>
      <c r="AY153" s="3088"/>
      <c r="AZ153" s="3089"/>
      <c r="BA153" s="3090"/>
      <c r="BB153" s="3091"/>
    </row>
    <row r="154" spans="1:54" ht="28.8">
      <c r="A154" s="2652" t="s">
        <v>1848</v>
      </c>
      <c r="B154" s="2653" t="s">
        <v>1849</v>
      </c>
      <c r="C154" s="2664" t="s">
        <v>9247</v>
      </c>
      <c r="D154" s="3053">
        <v>2.2000000000000002</v>
      </c>
      <c r="E154" s="250" t="s">
        <v>1850</v>
      </c>
      <c r="F154" s="250" t="s">
        <v>1851</v>
      </c>
      <c r="G154" s="2641" t="s">
        <v>1852</v>
      </c>
      <c r="H154" s="2636" t="s">
        <v>1853</v>
      </c>
      <c r="I154" s="2128" t="str">
        <f t="shared" si="68"/>
        <v>6-DaHall 1-PDU-05-30-16</v>
      </c>
      <c r="J154" s="2129" t="str">
        <f t="shared" si="69"/>
        <v>6-DaHall 1-PDU-06-30-16</v>
      </c>
      <c r="K154" s="1463">
        <v>220</v>
      </c>
      <c r="L154" s="1464">
        <v>30</v>
      </c>
      <c r="M154" s="2435" t="s">
        <v>6491</v>
      </c>
      <c r="N154" s="1465">
        <v>16</v>
      </c>
      <c r="O154" s="1466">
        <v>220</v>
      </c>
      <c r="P154" s="1467">
        <v>30</v>
      </c>
      <c r="Q154" s="2441" t="s">
        <v>6501</v>
      </c>
      <c r="R154" s="1468">
        <v>16</v>
      </c>
      <c r="S154" s="3356"/>
      <c r="T154" s="3336"/>
      <c r="U154" s="3356"/>
      <c r="V154" s="3336"/>
      <c r="W154" s="3343"/>
      <c r="X154" s="3340"/>
      <c r="Y154" s="268">
        <f>SUM('6층_부하량(월간_AVG)'!L329:N329)</f>
        <v>3.3895303154103433</v>
      </c>
      <c r="Z154" s="268">
        <f>SUM('6층_부하량(월간_AVG)'!L361:N361)</f>
        <v>4.0690527431592294</v>
      </c>
      <c r="AA154" s="2452">
        <f t="shared" si="71"/>
        <v>7.4585830585695732</v>
      </c>
      <c r="AB154" s="2715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490.7</v>
      </c>
      <c r="AC154" s="2736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604.6</v>
      </c>
      <c r="AD154" s="2829">
        <f t="shared" si="64"/>
        <v>1095.3</v>
      </c>
      <c r="AE154" s="2821"/>
      <c r="AG154" s="2367">
        <f t="shared" ref="AG154:AG217" si="72">AD154/(24*31)</f>
        <v>1.4721774193548387</v>
      </c>
      <c r="AH154" s="2367">
        <f t="shared" ref="AH154:AH217" si="73">D154-AG154</f>
        <v>0.72782258064516148</v>
      </c>
      <c r="AI154" s="123" t="str">
        <f t="shared" si="61"/>
        <v>적정함</v>
      </c>
      <c r="AJ154" t="str">
        <f t="shared" si="62"/>
        <v/>
      </c>
      <c r="AK154" t="str">
        <f t="shared" si="63"/>
        <v/>
      </c>
      <c r="AP154" s="123"/>
      <c r="AQ154" s="123"/>
      <c r="AR154" s="123"/>
      <c r="AS154" s="3084"/>
      <c r="AT154" s="123"/>
      <c r="AU154" s="123"/>
      <c r="AV154" s="3085"/>
      <c r="AW154" s="3086"/>
      <c r="AX154" s="3087"/>
      <c r="AY154" s="3088"/>
      <c r="AZ154" s="3089"/>
      <c r="BA154" s="3090"/>
      <c r="BB154" s="3091"/>
    </row>
    <row r="155" spans="1:54" ht="28.8">
      <c r="A155" s="2652" t="s">
        <v>1854</v>
      </c>
      <c r="B155" s="250" t="s">
        <v>1855</v>
      </c>
      <c r="C155" s="2664" t="s">
        <v>1856</v>
      </c>
      <c r="D155" s="3053">
        <v>1.1000000000000001</v>
      </c>
      <c r="E155" s="2644" t="s">
        <v>1857</v>
      </c>
      <c r="F155" s="2644" t="s">
        <v>1858</v>
      </c>
      <c r="G155" s="2225" t="s">
        <v>1859</v>
      </c>
      <c r="H155" s="2226" t="s">
        <v>1860</v>
      </c>
      <c r="I155" s="2128" t="str">
        <f t="shared" si="68"/>
        <v>6-DaHall 1-PDU-01-30-43</v>
      </c>
      <c r="J155" s="2129" t="str">
        <f t="shared" si="69"/>
        <v>6-DaHall 1-PDU-02-30-43</v>
      </c>
      <c r="K155" s="1463">
        <v>220</v>
      </c>
      <c r="L155" s="1464">
        <v>30</v>
      </c>
      <c r="M155" s="2435" t="s">
        <v>6497</v>
      </c>
      <c r="N155" s="1465">
        <v>43</v>
      </c>
      <c r="O155" s="1466">
        <v>220</v>
      </c>
      <c r="P155" s="1467">
        <v>30</v>
      </c>
      <c r="Q155" s="2441" t="s">
        <v>6493</v>
      </c>
      <c r="R155" s="1468">
        <v>43</v>
      </c>
      <c r="S155" s="3350" t="s">
        <v>1861</v>
      </c>
      <c r="T155" s="3339" t="s">
        <v>1862</v>
      </c>
      <c r="U155" s="3342" t="s">
        <v>1863</v>
      </c>
      <c r="V155" s="3339" t="s">
        <v>1864</v>
      </c>
      <c r="W155" s="3343"/>
      <c r="X155" s="3340"/>
      <c r="Y155" s="268">
        <f>SUM('6층_부하량(월간_AVG)'!D223:F223)</f>
        <v>4.6055573662722669</v>
      </c>
      <c r="Z155" s="268">
        <f>SUM('6층_부하량(월간_AVG)'!D253:F253)</f>
        <v>4.4066720718272316</v>
      </c>
      <c r="AA155" s="2452">
        <f t="shared" si="71"/>
        <v>9.0122294380994994</v>
      </c>
      <c r="AB155" s="2715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732.7</v>
      </c>
      <c r="AC155" s="2846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695.9</v>
      </c>
      <c r="AD155" s="2829">
        <f t="shared" si="64"/>
        <v>1428.6</v>
      </c>
      <c r="AE155" s="2475" t="s">
        <v>1865</v>
      </c>
      <c r="AG155" s="2367">
        <f t="shared" si="72"/>
        <v>1.9201612903225804</v>
      </c>
      <c r="AH155" s="2367">
        <f t="shared" si="73"/>
        <v>-0.82016129032258034</v>
      </c>
      <c r="AI155" s="123" t="str">
        <f t="shared" si="61"/>
        <v>사용초과</v>
      </c>
      <c r="AJ155" t="str">
        <f t="shared" si="62"/>
        <v>Enei</v>
      </c>
      <c r="AK155" t="str">
        <f t="shared" si="63"/>
        <v>B410</v>
      </c>
      <c r="AP155" s="123"/>
      <c r="AQ155" s="123"/>
      <c r="AR155" s="123"/>
      <c r="AS155" s="3084"/>
      <c r="AT155" s="123"/>
      <c r="AU155" s="123"/>
      <c r="AV155" s="3085"/>
      <c r="AW155" s="3086"/>
      <c r="AX155" s="3087"/>
      <c r="AY155" s="3088"/>
      <c r="AZ155" s="3089"/>
      <c r="BA155" s="3090"/>
      <c r="BB155" s="3091"/>
    </row>
    <row r="156" spans="1:54" ht="29.4" thickBot="1">
      <c r="A156" s="2660" t="s">
        <v>1866</v>
      </c>
      <c r="B156" s="2661"/>
      <c r="C156" s="2688" t="s">
        <v>1856</v>
      </c>
      <c r="D156" s="3053">
        <v>2.2000000000000002</v>
      </c>
      <c r="E156" s="2661"/>
      <c r="F156" s="2661"/>
      <c r="G156" s="2225" t="s">
        <v>1867</v>
      </c>
      <c r="H156" s="2226" t="s">
        <v>1868</v>
      </c>
      <c r="I156" s="2128" t="str">
        <f t="shared" si="68"/>
        <v>6-DaHall 1-PDU-01-30-42</v>
      </c>
      <c r="J156" s="2129" t="str">
        <f t="shared" si="69"/>
        <v>6-DaHall 1-PDU-02-30-42</v>
      </c>
      <c r="K156" s="1463">
        <v>220</v>
      </c>
      <c r="L156" s="1464">
        <v>30</v>
      </c>
      <c r="M156" s="2435" t="s">
        <v>6497</v>
      </c>
      <c r="N156" s="1465">
        <v>42</v>
      </c>
      <c r="O156" s="1466">
        <v>220</v>
      </c>
      <c r="P156" s="1467">
        <v>30</v>
      </c>
      <c r="Q156" s="2441" t="s">
        <v>6493</v>
      </c>
      <c r="R156" s="1468">
        <v>42</v>
      </c>
      <c r="S156" s="3352"/>
      <c r="T156" s="3341"/>
      <c r="U156" s="3344"/>
      <c r="V156" s="3341"/>
      <c r="W156" s="3344"/>
      <c r="X156" s="3341"/>
      <c r="Y156" s="330">
        <f>SUM('6층_부하량(월간_AVG)'!L222:N222)</f>
        <v>3.9365864594451963</v>
      </c>
      <c r="Z156" s="330">
        <f>SUM('6층_부하량(월간_AVG)'!L252:N252)</f>
        <v>4.0808435834333832</v>
      </c>
      <c r="AA156" s="2452">
        <f t="shared" si="71"/>
        <v>8.0174300428785799</v>
      </c>
      <c r="AB156" s="2715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624.5</v>
      </c>
      <c r="AC156" s="2846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638.79999999999995</v>
      </c>
      <c r="AD156" s="2851">
        <f t="shared" si="64"/>
        <v>1263.3</v>
      </c>
      <c r="AE156" s="2473" t="s">
        <v>1869</v>
      </c>
      <c r="AG156" s="2367">
        <f t="shared" si="72"/>
        <v>1.6979838709677419</v>
      </c>
      <c r="AH156" s="2367">
        <f t="shared" si="73"/>
        <v>0.50201612903225823</v>
      </c>
      <c r="AI156" s="123" t="str">
        <f t="shared" si="61"/>
        <v>적정함</v>
      </c>
      <c r="AJ156" t="str">
        <f t="shared" si="62"/>
        <v/>
      </c>
      <c r="AK156" t="str">
        <f t="shared" si="63"/>
        <v/>
      </c>
      <c r="AP156" s="123"/>
      <c r="AQ156" s="123"/>
      <c r="AR156" s="123"/>
      <c r="AS156" s="3084"/>
      <c r="AT156" s="123"/>
      <c r="AU156" s="123"/>
      <c r="AV156" s="3085"/>
      <c r="AW156" s="3086"/>
      <c r="AX156" s="3087"/>
      <c r="AY156" s="3088"/>
      <c r="AZ156" s="3089"/>
      <c r="BA156" s="3090"/>
      <c r="BB156" s="3091"/>
    </row>
    <row r="157" spans="1:54" ht="15" thickTop="1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55"/>
      <c r="AB157" s="2826"/>
      <c r="AC157" s="2827"/>
      <c r="AD157" s="2835">
        <f t="shared" si="64"/>
        <v>0</v>
      </c>
      <c r="AE157" s="2828" t="s">
        <v>1265</v>
      </c>
      <c r="AG157" s="2367">
        <f t="shared" si="72"/>
        <v>0</v>
      </c>
      <c r="AH157" s="2367">
        <f t="shared" si="73"/>
        <v>0</v>
      </c>
      <c r="AI157" s="123" t="str">
        <f t="shared" si="61"/>
        <v>무부하 랙</v>
      </c>
      <c r="AJ157" t="str">
        <f t="shared" si="62"/>
        <v/>
      </c>
      <c r="AK157" t="str">
        <f t="shared" si="63"/>
        <v/>
      </c>
      <c r="AP157" s="123"/>
      <c r="AQ157" s="123"/>
      <c r="AR157" s="123"/>
      <c r="AS157" s="3084"/>
      <c r="AT157" s="123"/>
      <c r="AU157" s="123"/>
      <c r="AV157" s="3085"/>
      <c r="AW157" s="3086"/>
      <c r="AX157" s="3087"/>
      <c r="AY157" s="3088"/>
      <c r="AZ157" s="3089"/>
      <c r="BA157" s="3090"/>
      <c r="BB157" s="3091"/>
    </row>
    <row r="158" spans="1:54" ht="28.8">
      <c r="A158" s="2652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41" t="s">
        <v>1579</v>
      </c>
      <c r="H158" s="2636" t="s">
        <v>1580</v>
      </c>
      <c r="I158" s="2128" t="str">
        <f t="shared" ref="I158:I166" si="74">"6-DaHall 1-PDU-"&amp;M158&amp;"-"&amp;L158&amp;"-"&amp;N158</f>
        <v>6-DaHall 1-PDU-05-30-38</v>
      </c>
      <c r="J158" s="2129" t="str">
        <f t="shared" ref="J158:J166" si="75">"6-DaHall 1-PDU-"&amp;Q158&amp;"-"&amp;P158&amp;"-"&amp;R158</f>
        <v>6-DaHall 1-PDU-06-30-38</v>
      </c>
      <c r="K158" s="1477">
        <v>220</v>
      </c>
      <c r="L158" s="1478">
        <v>30</v>
      </c>
      <c r="M158" s="2435" t="s">
        <v>6491</v>
      </c>
      <c r="N158" s="1465">
        <v>38</v>
      </c>
      <c r="O158" s="1469">
        <v>220</v>
      </c>
      <c r="P158" s="1470">
        <v>30</v>
      </c>
      <c r="Q158" s="2441" t="s">
        <v>6501</v>
      </c>
      <c r="R158" s="1468">
        <v>38</v>
      </c>
      <c r="S158" s="3356" t="s">
        <v>1581</v>
      </c>
      <c r="T158" s="3336" t="s">
        <v>1582</v>
      </c>
      <c r="U158" s="3356" t="s">
        <v>1583</v>
      </c>
      <c r="V158" s="3336" t="s">
        <v>1584</v>
      </c>
      <c r="W158" s="3356" t="s">
        <v>1276</v>
      </c>
      <c r="X158" s="3336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52">
        <f t="shared" ref="AA158:AA166" si="76">SUM(Y158:Z158)</f>
        <v>0</v>
      </c>
      <c r="AB158" s="2715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36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29">
        <f t="shared" si="64"/>
        <v>0</v>
      </c>
      <c r="AE158" s="2475" t="s">
        <v>1585</v>
      </c>
      <c r="AG158" s="2367">
        <f t="shared" si="72"/>
        <v>0</v>
      </c>
      <c r="AH158" s="2367">
        <f t="shared" si="73"/>
        <v>0</v>
      </c>
      <c r="AI158" s="123" t="str">
        <f t="shared" si="61"/>
        <v>무부하 랙</v>
      </c>
      <c r="AJ158" t="str">
        <f t="shared" si="62"/>
        <v/>
      </c>
      <c r="AK158" t="str">
        <f t="shared" si="63"/>
        <v/>
      </c>
      <c r="AP158" s="123"/>
      <c r="AQ158" s="123"/>
      <c r="AR158" s="123"/>
      <c r="AS158" s="3084"/>
      <c r="AT158" s="123"/>
      <c r="AU158" s="123"/>
      <c r="AV158" s="3085"/>
      <c r="AW158" s="3086"/>
      <c r="AX158" s="3087"/>
      <c r="AY158" s="3088"/>
      <c r="AZ158" s="3089"/>
      <c r="BA158" s="3090"/>
      <c r="BB158" s="3091"/>
    </row>
    <row r="159" spans="1:54" ht="28.8">
      <c r="A159" s="2652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41" t="s">
        <v>1590</v>
      </c>
      <c r="H159" s="2636" t="s">
        <v>1591</v>
      </c>
      <c r="I159" s="2128" t="str">
        <f t="shared" si="74"/>
        <v>6-DaHall 1-PDU-05-30-40</v>
      </c>
      <c r="J159" s="2129" t="str">
        <f t="shared" si="75"/>
        <v>6-DaHall 1-PDU-06-30-40</v>
      </c>
      <c r="K159" s="1477">
        <v>220</v>
      </c>
      <c r="L159" s="1478">
        <v>30</v>
      </c>
      <c r="M159" s="2435" t="s">
        <v>6491</v>
      </c>
      <c r="N159" s="1465">
        <v>40</v>
      </c>
      <c r="O159" s="1469">
        <v>220</v>
      </c>
      <c r="P159" s="1470">
        <v>30</v>
      </c>
      <c r="Q159" s="2441" t="s">
        <v>6501</v>
      </c>
      <c r="R159" s="1468">
        <v>40</v>
      </c>
      <c r="S159" s="3364"/>
      <c r="T159" s="3365"/>
      <c r="U159" s="3364"/>
      <c r="V159" s="3365"/>
      <c r="W159" s="3364"/>
      <c r="X159" s="3365"/>
      <c r="Y159" s="268">
        <f>SUM('6층_부하량(월간_AVG)'!L341:N341)</f>
        <v>0</v>
      </c>
      <c r="Z159" s="268">
        <f>SUM('6층_부하량(월간_AVG)'!L373:N373)</f>
        <v>0</v>
      </c>
      <c r="AA159" s="2452">
        <f t="shared" si="76"/>
        <v>0</v>
      </c>
      <c r="AB159" s="2715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36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29">
        <f t="shared" si="64"/>
        <v>0</v>
      </c>
      <c r="AE159" s="2475" t="s">
        <v>1265</v>
      </c>
      <c r="AG159" s="2367">
        <f t="shared" si="72"/>
        <v>0</v>
      </c>
      <c r="AH159" s="2367">
        <f t="shared" si="73"/>
        <v>0</v>
      </c>
      <c r="AI159" s="123" t="str">
        <f t="shared" si="61"/>
        <v>무부하 랙</v>
      </c>
      <c r="AJ159" t="str">
        <f t="shared" si="62"/>
        <v/>
      </c>
      <c r="AK159" t="str">
        <f t="shared" si="63"/>
        <v/>
      </c>
      <c r="AP159" s="123"/>
      <c r="AQ159" s="123"/>
      <c r="AR159" s="123"/>
      <c r="AS159" s="3084"/>
      <c r="AT159" s="123"/>
      <c r="AU159" s="123"/>
      <c r="AV159" s="3085"/>
      <c r="AW159" s="3086"/>
      <c r="AX159" s="3087"/>
      <c r="AY159" s="3088"/>
      <c r="AZ159" s="3089"/>
      <c r="BA159" s="3090"/>
      <c r="BB159" s="3091"/>
    </row>
    <row r="160" spans="1:54" ht="28.8">
      <c r="A160" s="2652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41" t="s">
        <v>1596</v>
      </c>
      <c r="H160" s="2636" t="s">
        <v>1597</v>
      </c>
      <c r="I160" s="2128" t="str">
        <f t="shared" si="74"/>
        <v>6-DaHall 1-PDU-05-30-42</v>
      </c>
      <c r="J160" s="2129" t="str">
        <f t="shared" si="75"/>
        <v>6-DaHall 1-PDU-06-30-42</v>
      </c>
      <c r="K160" s="1477">
        <v>220</v>
      </c>
      <c r="L160" s="1478">
        <v>30</v>
      </c>
      <c r="M160" s="2435" t="s">
        <v>6491</v>
      </c>
      <c r="N160" s="1465">
        <v>42</v>
      </c>
      <c r="O160" s="1469">
        <v>220</v>
      </c>
      <c r="P160" s="1470">
        <v>30</v>
      </c>
      <c r="Q160" s="2441" t="s">
        <v>6501</v>
      </c>
      <c r="R160" s="1468">
        <v>42</v>
      </c>
      <c r="S160" s="3364"/>
      <c r="T160" s="3365"/>
      <c r="U160" s="3364"/>
      <c r="V160" s="3365"/>
      <c r="W160" s="3364"/>
      <c r="X160" s="3365"/>
      <c r="Y160" s="268">
        <f>SUM('6층_부하량(월간_AVG)'!L342:N342)</f>
        <v>0</v>
      </c>
      <c r="Z160" s="268">
        <f>SUM('6층_부하량(월간_AVG)'!L374:N374)</f>
        <v>0</v>
      </c>
      <c r="AA160" s="2452">
        <f t="shared" si="76"/>
        <v>0</v>
      </c>
      <c r="AB160" s="2715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36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29">
        <f t="shared" si="64"/>
        <v>0</v>
      </c>
      <c r="AE160" s="2475" t="s">
        <v>1265</v>
      </c>
      <c r="AG160" s="2367">
        <f t="shared" si="72"/>
        <v>0</v>
      </c>
      <c r="AH160" s="2367">
        <f t="shared" si="73"/>
        <v>0</v>
      </c>
      <c r="AI160" s="123" t="str">
        <f t="shared" si="61"/>
        <v>무부하 랙</v>
      </c>
      <c r="AJ160" t="str">
        <f t="shared" si="62"/>
        <v/>
      </c>
      <c r="AK160" t="str">
        <f t="shared" si="63"/>
        <v/>
      </c>
      <c r="AP160" s="123"/>
      <c r="AQ160" s="123"/>
      <c r="AR160" s="123"/>
      <c r="AS160" s="3084"/>
      <c r="AT160" s="123"/>
      <c r="AU160" s="123"/>
      <c r="AV160" s="3085"/>
      <c r="AW160" s="3086"/>
      <c r="AX160" s="3087"/>
      <c r="AY160" s="3088"/>
      <c r="AZ160" s="3089"/>
      <c r="BA160" s="3090"/>
      <c r="BB160" s="3091"/>
    </row>
    <row r="161" spans="1:54" ht="28.8">
      <c r="A161" s="2652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41" t="s">
        <v>1602</v>
      </c>
      <c r="H161" s="2636" t="s">
        <v>1603</v>
      </c>
      <c r="I161" s="2128" t="str">
        <f t="shared" si="74"/>
        <v>6-DaHall 1-PDU-05-30-44</v>
      </c>
      <c r="J161" s="2129" t="str">
        <f t="shared" si="75"/>
        <v>6-DaHall 1-PDU-06-30-44</v>
      </c>
      <c r="K161" s="1477">
        <v>220</v>
      </c>
      <c r="L161" s="1478">
        <v>30</v>
      </c>
      <c r="M161" s="2435" t="s">
        <v>6491</v>
      </c>
      <c r="N161" s="1465">
        <v>44</v>
      </c>
      <c r="O161" s="1469">
        <v>220</v>
      </c>
      <c r="P161" s="1470">
        <v>30</v>
      </c>
      <c r="Q161" s="2441" t="s">
        <v>6501</v>
      </c>
      <c r="R161" s="1468">
        <v>44</v>
      </c>
      <c r="S161" s="3364"/>
      <c r="T161" s="3365"/>
      <c r="U161" s="3364"/>
      <c r="V161" s="3365"/>
      <c r="W161" s="3364"/>
      <c r="X161" s="3365"/>
      <c r="Y161" s="268">
        <f>SUM('6층_부하량(월간_AVG)'!L343:N343)</f>
        <v>0</v>
      </c>
      <c r="Z161" s="268">
        <f>SUM('6층_부하량(월간_AVG)'!L375:N375)</f>
        <v>0</v>
      </c>
      <c r="AA161" s="2452">
        <f t="shared" si="76"/>
        <v>0</v>
      </c>
      <c r="AB161" s="2715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36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29">
        <f t="shared" si="64"/>
        <v>0</v>
      </c>
      <c r="AE161" s="2475" t="s">
        <v>1265</v>
      </c>
      <c r="AG161" s="2367">
        <f t="shared" si="72"/>
        <v>0</v>
      </c>
      <c r="AH161" s="2367">
        <f t="shared" si="73"/>
        <v>0</v>
      </c>
      <c r="AI161" s="123" t="str">
        <f t="shared" si="61"/>
        <v>무부하 랙</v>
      </c>
      <c r="AJ161" t="str">
        <f t="shared" si="62"/>
        <v/>
      </c>
      <c r="AK161" t="str">
        <f t="shared" si="63"/>
        <v/>
      </c>
      <c r="AP161" s="123"/>
      <c r="AQ161" s="123"/>
      <c r="AR161" s="123"/>
      <c r="AS161" s="3084"/>
      <c r="AT161" s="123"/>
      <c r="AU161" s="123"/>
      <c r="AV161" s="3085"/>
      <c r="AW161" s="3086"/>
      <c r="AX161" s="3087"/>
      <c r="AY161" s="3088"/>
      <c r="AZ161" s="3089"/>
      <c r="BA161" s="3090"/>
      <c r="BB161" s="3091"/>
    </row>
    <row r="162" spans="1:54" ht="28.8">
      <c r="A162" s="2652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41" t="s">
        <v>1608</v>
      </c>
      <c r="H162" s="2636" t="s">
        <v>1609</v>
      </c>
      <c r="I162" s="2128" t="str">
        <f t="shared" si="74"/>
        <v>6-DaHall 1-PDU-05-30-46</v>
      </c>
      <c r="J162" s="2129" t="str">
        <f t="shared" si="75"/>
        <v>6-DaHall 1-PDU-06-30-46</v>
      </c>
      <c r="K162" s="1477">
        <v>220</v>
      </c>
      <c r="L162" s="1478">
        <v>30</v>
      </c>
      <c r="M162" s="2435" t="s">
        <v>6491</v>
      </c>
      <c r="N162" s="1465">
        <v>46</v>
      </c>
      <c r="O162" s="1469">
        <v>220</v>
      </c>
      <c r="P162" s="1470">
        <v>30</v>
      </c>
      <c r="Q162" s="2441" t="s">
        <v>6501</v>
      </c>
      <c r="R162" s="1468">
        <v>46</v>
      </c>
      <c r="S162" s="3364"/>
      <c r="T162" s="3365"/>
      <c r="U162" s="3364"/>
      <c r="V162" s="3365"/>
      <c r="W162" s="3364"/>
      <c r="X162" s="3365"/>
      <c r="Y162" s="268">
        <f>SUM('6층_부하량(월간_AVG)'!L344:N344)</f>
        <v>0</v>
      </c>
      <c r="Z162" s="268">
        <f>SUM('6층_부하량(월간_AVG)'!L376:N376)</f>
        <v>0</v>
      </c>
      <c r="AA162" s="2452">
        <f t="shared" si="76"/>
        <v>0</v>
      </c>
      <c r="AB162" s="2841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36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29">
        <f t="shared" si="64"/>
        <v>0</v>
      </c>
      <c r="AE162" s="2475" t="s">
        <v>1265</v>
      </c>
      <c r="AG162" s="2367">
        <f t="shared" si="72"/>
        <v>0</v>
      </c>
      <c r="AH162" s="2367">
        <f t="shared" si="73"/>
        <v>0</v>
      </c>
      <c r="AI162" s="123" t="str">
        <f t="shared" si="61"/>
        <v>무부하 랙</v>
      </c>
      <c r="AJ162" t="str">
        <f t="shared" si="62"/>
        <v/>
      </c>
      <c r="AK162" t="str">
        <f t="shared" si="63"/>
        <v/>
      </c>
      <c r="AP162" s="123"/>
      <c r="AQ162" s="123"/>
      <c r="AR162" s="123"/>
      <c r="AS162" s="3084"/>
      <c r="AT162" s="123"/>
      <c r="AU162" s="123"/>
      <c r="AV162" s="3085"/>
      <c r="AW162" s="3086"/>
      <c r="AX162" s="3087"/>
      <c r="AY162" s="3088"/>
      <c r="AZ162" s="3089"/>
      <c r="BA162" s="3090"/>
      <c r="BB162" s="3091"/>
    </row>
    <row r="163" spans="1:54" ht="28.8">
      <c r="A163" s="2652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41" t="s">
        <v>1614</v>
      </c>
      <c r="H163" s="2636" t="s">
        <v>1615</v>
      </c>
      <c r="I163" s="2128" t="str">
        <f t="shared" si="74"/>
        <v>6-DaHall 1-PDU-13-30-1</v>
      </c>
      <c r="J163" s="2129" t="str">
        <f t="shared" si="75"/>
        <v>6-DaHall 1-PDU-14-30-1</v>
      </c>
      <c r="K163" s="1477">
        <v>220</v>
      </c>
      <c r="L163" s="1478">
        <v>30</v>
      </c>
      <c r="M163" s="2435" t="s">
        <v>6542</v>
      </c>
      <c r="N163" s="1465">
        <v>1</v>
      </c>
      <c r="O163" s="1469">
        <v>220</v>
      </c>
      <c r="P163" s="1470">
        <v>30</v>
      </c>
      <c r="Q163" s="2441" t="s">
        <v>6549</v>
      </c>
      <c r="R163" s="1468">
        <v>1</v>
      </c>
      <c r="S163" s="3356" t="s">
        <v>1405</v>
      </c>
      <c r="T163" s="3336" t="s">
        <v>1406</v>
      </c>
      <c r="U163" s="3356" t="s">
        <v>1407</v>
      </c>
      <c r="V163" s="3336" t="s">
        <v>1408</v>
      </c>
      <c r="W163" s="3364"/>
      <c r="X163" s="3365"/>
      <c r="Y163" s="268">
        <f>SUM('6층_부하량(월간_AVG)'!D20:F20)</f>
        <v>0</v>
      </c>
      <c r="Z163" s="268">
        <f>SUM('6층_부하량(월간_AVG)'!D52:F52)</f>
        <v>0</v>
      </c>
      <c r="AA163" s="2452">
        <f t="shared" si="76"/>
        <v>0</v>
      </c>
      <c r="AB163" s="2715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36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29">
        <f t="shared" si="64"/>
        <v>0</v>
      </c>
      <c r="AE163" s="2475" t="s">
        <v>1265</v>
      </c>
      <c r="AG163" s="2367">
        <f t="shared" si="72"/>
        <v>0</v>
      </c>
      <c r="AH163" s="2367">
        <f t="shared" si="73"/>
        <v>0</v>
      </c>
      <c r="AI163" s="123" t="str">
        <f t="shared" si="61"/>
        <v>무부하 랙</v>
      </c>
      <c r="AJ163" t="str">
        <f t="shared" si="62"/>
        <v/>
      </c>
      <c r="AK163" t="str">
        <f t="shared" si="63"/>
        <v/>
      </c>
      <c r="AP163" s="123"/>
      <c r="AQ163" s="123"/>
      <c r="AR163" s="123"/>
      <c r="AS163" s="3084"/>
      <c r="AT163" s="123"/>
      <c r="AU163" s="123"/>
      <c r="AV163" s="3085"/>
      <c r="AW163" s="3086"/>
      <c r="AX163" s="3087"/>
      <c r="AY163" s="3088"/>
      <c r="AZ163" s="3089"/>
      <c r="BA163" s="3090"/>
      <c r="BB163" s="3091"/>
    </row>
    <row r="164" spans="1:54" ht="28.8">
      <c r="A164" s="2652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41" t="s">
        <v>1619</v>
      </c>
      <c r="H164" s="2636" t="s">
        <v>1620</v>
      </c>
      <c r="I164" s="2128" t="str">
        <f t="shared" si="74"/>
        <v>6-DaHall 1-PDU-13-30-3</v>
      </c>
      <c r="J164" s="2129" t="str">
        <f t="shared" si="75"/>
        <v>6-DaHall 1-PDU-14-30-3</v>
      </c>
      <c r="K164" s="1477">
        <v>220</v>
      </c>
      <c r="L164" s="1478">
        <v>30</v>
      </c>
      <c r="M164" s="2435" t="s">
        <v>6542</v>
      </c>
      <c r="N164" s="1465">
        <v>3</v>
      </c>
      <c r="O164" s="1469">
        <v>220</v>
      </c>
      <c r="P164" s="1470">
        <v>30</v>
      </c>
      <c r="Q164" s="2441" t="s">
        <v>6549</v>
      </c>
      <c r="R164" s="1468">
        <v>3</v>
      </c>
      <c r="S164" s="3364"/>
      <c r="T164" s="3365"/>
      <c r="U164" s="3364"/>
      <c r="V164" s="3365"/>
      <c r="W164" s="3364"/>
      <c r="X164" s="3365"/>
      <c r="Y164" s="268">
        <f>SUM('6층_부하량(월간_AVG)'!D21:F21)</f>
        <v>0</v>
      </c>
      <c r="Z164" s="268">
        <f>SUM('6층_부하량(월간_AVG)'!D53:F53)</f>
        <v>0</v>
      </c>
      <c r="AA164" s="2452">
        <f t="shared" si="76"/>
        <v>0</v>
      </c>
      <c r="AB164" s="2715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36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29">
        <f t="shared" si="64"/>
        <v>0</v>
      </c>
      <c r="AE164" s="2475" t="s">
        <v>1265</v>
      </c>
      <c r="AG164" s="2367">
        <f t="shared" si="72"/>
        <v>0</v>
      </c>
      <c r="AH164" s="2367">
        <f t="shared" si="73"/>
        <v>0</v>
      </c>
      <c r="AI164" s="123" t="str">
        <f t="shared" si="61"/>
        <v>무부하 랙</v>
      </c>
      <c r="AJ164" t="str">
        <f t="shared" si="62"/>
        <v/>
      </c>
      <c r="AK164" t="str">
        <f t="shared" si="63"/>
        <v/>
      </c>
      <c r="AP164" s="123"/>
      <c r="AQ164" s="123"/>
      <c r="AR164" s="123"/>
      <c r="AS164" s="3084"/>
      <c r="AT164" s="123"/>
      <c r="AU164" s="123"/>
      <c r="AV164" s="3085"/>
      <c r="AW164" s="3086"/>
      <c r="AX164" s="3087"/>
      <c r="AY164" s="3088"/>
      <c r="AZ164" s="3089"/>
      <c r="BA164" s="3090"/>
      <c r="BB164" s="3091"/>
    </row>
    <row r="165" spans="1:54" ht="28.8">
      <c r="A165" s="2652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41" t="s">
        <v>1624</v>
      </c>
      <c r="H165" s="2636" t="s">
        <v>1625</v>
      </c>
      <c r="I165" s="2128" t="str">
        <f t="shared" si="74"/>
        <v>6-DaHall 1-PDU-13-30-5</v>
      </c>
      <c r="J165" s="2129" t="str">
        <f t="shared" si="75"/>
        <v>6-DaHall 1-PDU-14-30-5</v>
      </c>
      <c r="K165" s="1477">
        <v>220</v>
      </c>
      <c r="L165" s="1478">
        <v>30</v>
      </c>
      <c r="M165" s="2435" t="s">
        <v>6542</v>
      </c>
      <c r="N165" s="1465">
        <v>5</v>
      </c>
      <c r="O165" s="1469">
        <v>220</v>
      </c>
      <c r="P165" s="1470">
        <v>30</v>
      </c>
      <c r="Q165" s="2441" t="s">
        <v>6549</v>
      </c>
      <c r="R165" s="1468">
        <v>5</v>
      </c>
      <c r="S165" s="3364"/>
      <c r="T165" s="3365"/>
      <c r="U165" s="3364"/>
      <c r="V165" s="3365"/>
      <c r="W165" s="3364"/>
      <c r="X165" s="3365"/>
      <c r="Y165" s="268">
        <f>SUM('6층_부하량(월간_AVG)'!D22:F22)</f>
        <v>0</v>
      </c>
      <c r="Z165" s="268">
        <f>SUM('6층_부하량(월간_AVG)'!D54:F54)</f>
        <v>0</v>
      </c>
      <c r="AA165" s="2452">
        <f t="shared" si="76"/>
        <v>0</v>
      </c>
      <c r="AB165" s="2715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36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29">
        <f t="shared" si="64"/>
        <v>0</v>
      </c>
      <c r="AE165" s="2475" t="s">
        <v>1265</v>
      </c>
      <c r="AG165" s="2367">
        <f t="shared" si="72"/>
        <v>0</v>
      </c>
      <c r="AH165" s="2367">
        <f t="shared" si="73"/>
        <v>0</v>
      </c>
      <c r="AI165" s="123" t="str">
        <f t="shared" si="61"/>
        <v>무부하 랙</v>
      </c>
      <c r="AJ165" t="str">
        <f t="shared" si="62"/>
        <v/>
      </c>
      <c r="AK165" t="str">
        <f t="shared" si="63"/>
        <v/>
      </c>
      <c r="AP165" s="123"/>
      <c r="AQ165" s="123"/>
      <c r="AR165" s="123"/>
      <c r="AS165" s="3084"/>
      <c r="AT165" s="123"/>
      <c r="AU165" s="123"/>
      <c r="AV165" s="3085"/>
      <c r="AW165" s="3086"/>
      <c r="AX165" s="3087"/>
      <c r="AY165" s="3088"/>
      <c r="AZ165" s="3089"/>
      <c r="BA165" s="3090"/>
      <c r="BB165" s="3091"/>
    </row>
    <row r="166" spans="1:54" ht="28.8">
      <c r="A166" s="2652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41" t="s">
        <v>1629</v>
      </c>
      <c r="H166" s="2636" t="s">
        <v>1630</v>
      </c>
      <c r="I166" s="2128" t="str">
        <f t="shared" si="74"/>
        <v>6-DaHall 1-PDU-13-30-7</v>
      </c>
      <c r="J166" s="2129" t="str">
        <f t="shared" si="75"/>
        <v>6-DaHall 1-PDU-14-30-7</v>
      </c>
      <c r="K166" s="1477">
        <v>220</v>
      </c>
      <c r="L166" s="1478">
        <v>30</v>
      </c>
      <c r="M166" s="2435" t="s">
        <v>6542</v>
      </c>
      <c r="N166" s="1465">
        <v>7</v>
      </c>
      <c r="O166" s="1469">
        <v>220</v>
      </c>
      <c r="P166" s="1470">
        <v>30</v>
      </c>
      <c r="Q166" s="2441" t="s">
        <v>6549</v>
      </c>
      <c r="R166" s="1468">
        <v>7</v>
      </c>
      <c r="S166" s="3364"/>
      <c r="T166" s="3365"/>
      <c r="U166" s="3364"/>
      <c r="V166" s="3365"/>
      <c r="W166" s="3364"/>
      <c r="X166" s="3365"/>
      <c r="Y166" s="268">
        <f>SUM('6층_부하량(월간_AVG)'!D23:F23)</f>
        <v>0</v>
      </c>
      <c r="Z166" s="268">
        <f>SUM('6층_부하량(월간_AVG)'!D55:F55)</f>
        <v>0</v>
      </c>
      <c r="AA166" s="2452">
        <f t="shared" si="76"/>
        <v>0</v>
      </c>
      <c r="AB166" s="2715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36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29">
        <f t="shared" si="64"/>
        <v>0</v>
      </c>
      <c r="AE166" s="2475" t="s">
        <v>1265</v>
      </c>
      <c r="AG166" s="2367">
        <f t="shared" si="72"/>
        <v>0</v>
      </c>
      <c r="AH166" s="2367">
        <f t="shared" si="73"/>
        <v>0</v>
      </c>
      <c r="AI166" s="123" t="str">
        <f t="shared" si="61"/>
        <v>무부하 랙</v>
      </c>
      <c r="AJ166" t="str">
        <f t="shared" si="62"/>
        <v/>
      </c>
      <c r="AK166" t="str">
        <f t="shared" si="63"/>
        <v/>
      </c>
      <c r="AP166" s="123"/>
      <c r="AQ166" s="123"/>
      <c r="AR166" s="123"/>
      <c r="AS166" s="3084"/>
      <c r="AT166" s="123"/>
      <c r="AU166" s="123"/>
      <c r="AV166" s="3085"/>
      <c r="AW166" s="3086"/>
      <c r="AX166" s="3087"/>
      <c r="AY166" s="3088"/>
      <c r="AZ166" s="3089"/>
      <c r="BA166" s="3090"/>
      <c r="BB166" s="3091"/>
    </row>
    <row r="167" spans="1:54" ht="15" thickBot="1">
      <c r="A167" s="2660" t="s">
        <v>1631</v>
      </c>
      <c r="B167" s="839"/>
      <c r="C167" s="839"/>
      <c r="D167" s="839"/>
      <c r="E167" s="839"/>
      <c r="F167" s="839"/>
      <c r="G167" s="2709"/>
      <c r="H167" s="2692"/>
      <c r="I167" s="2133"/>
      <c r="J167" s="2134"/>
      <c r="K167" s="1480"/>
      <c r="L167" s="1481"/>
      <c r="M167" s="2709"/>
      <c r="N167" s="1482"/>
      <c r="O167" s="1483"/>
      <c r="P167" s="1484"/>
      <c r="Q167" s="2692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56"/>
      <c r="AB167" s="2842"/>
      <c r="AC167" s="2843"/>
      <c r="AD167" s="2844">
        <f t="shared" si="64"/>
        <v>0</v>
      </c>
      <c r="AE167" s="2845" t="s">
        <v>1265</v>
      </c>
      <c r="AG167" s="2367">
        <f t="shared" si="72"/>
        <v>0</v>
      </c>
      <c r="AH167" s="2367">
        <f t="shared" si="73"/>
        <v>0</v>
      </c>
      <c r="AI167" s="123" t="str">
        <f t="shared" si="61"/>
        <v>무부하 랙</v>
      </c>
      <c r="AJ167" t="str">
        <f t="shared" si="62"/>
        <v/>
      </c>
      <c r="AK167" t="str">
        <f t="shared" si="63"/>
        <v/>
      </c>
      <c r="AP167" s="123"/>
      <c r="AQ167" s="123"/>
      <c r="AR167" s="123"/>
      <c r="AS167" s="3084"/>
      <c r="AT167" s="123"/>
      <c r="AU167" s="123"/>
      <c r="AV167" s="3085"/>
      <c r="AW167" s="3086"/>
      <c r="AX167" s="3087"/>
      <c r="AY167" s="3088"/>
      <c r="AZ167" s="3089"/>
      <c r="BA167" s="3090"/>
      <c r="BB167" s="3091"/>
    </row>
    <row r="168" spans="1:54" ht="15" thickTop="1">
      <c r="A168" s="1084" t="s">
        <v>1519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55"/>
      <c r="AB168" s="2826"/>
      <c r="AC168" s="2827"/>
      <c r="AD168" s="2835">
        <f t="shared" si="64"/>
        <v>0</v>
      </c>
      <c r="AE168" s="2828" t="s">
        <v>1265</v>
      </c>
      <c r="AG168" s="2367">
        <f t="shared" si="72"/>
        <v>0</v>
      </c>
      <c r="AH168" s="2367">
        <f t="shared" si="73"/>
        <v>0</v>
      </c>
      <c r="AI168" s="123" t="str">
        <f t="shared" si="61"/>
        <v>무부하 랙</v>
      </c>
      <c r="AJ168" t="str">
        <f t="shared" si="62"/>
        <v/>
      </c>
      <c r="AK168" t="str">
        <f t="shared" si="63"/>
        <v/>
      </c>
      <c r="AP168" s="123"/>
      <c r="AQ168" s="123"/>
      <c r="AR168" s="123"/>
      <c r="AS168" s="3084"/>
      <c r="AT168" s="123"/>
      <c r="AU168" s="123"/>
      <c r="AV168" s="3085"/>
      <c r="AW168" s="3086"/>
      <c r="AX168" s="3087"/>
      <c r="AY168" s="3088"/>
      <c r="AZ168" s="3089"/>
      <c r="BA168" s="3090"/>
      <c r="BB168" s="3091"/>
    </row>
    <row r="169" spans="1:54" ht="43.2">
      <c r="A169" s="2652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41" t="s">
        <v>1524</v>
      </c>
      <c r="H169" s="2636" t="s">
        <v>1525</v>
      </c>
      <c r="I169" s="2128" t="str">
        <f t="shared" ref="I169:I177" si="77">"6-DaHall 1-PDU-"&amp;M169&amp;"-"&amp;L169&amp;"-"&amp;N169</f>
        <v>6-DaHall 1-PDU-13-30-52</v>
      </c>
      <c r="J169" s="2129" t="str">
        <f t="shared" ref="J169:J177" si="78">"6-DaHall 1-PDU-"&amp;Q169&amp;"-"&amp;P169&amp;"-"&amp;R169</f>
        <v>6-DaHall 1-PDU-14-30-52</v>
      </c>
      <c r="K169" s="1477">
        <v>220</v>
      </c>
      <c r="L169" s="1478">
        <v>30</v>
      </c>
      <c r="M169" s="2435" t="s">
        <v>6542</v>
      </c>
      <c r="N169" s="1465">
        <v>52</v>
      </c>
      <c r="O169" s="1469">
        <v>220</v>
      </c>
      <c r="P169" s="1470">
        <v>30</v>
      </c>
      <c r="Q169" s="2441" t="s">
        <v>6549</v>
      </c>
      <c r="R169" s="1468">
        <v>52</v>
      </c>
      <c r="S169" s="2641" t="s">
        <v>1405</v>
      </c>
      <c r="T169" s="2636" t="s">
        <v>1406</v>
      </c>
      <c r="U169" s="2641" t="s">
        <v>1407</v>
      </c>
      <c r="V169" s="2636" t="s">
        <v>1408</v>
      </c>
      <c r="W169" s="3356" t="s">
        <v>1276</v>
      </c>
      <c r="X169" s="3336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52">
        <f t="shared" ref="AA169:AA174" si="79">SUM(Y169:Z169)</f>
        <v>0</v>
      </c>
      <c r="AB169" s="2715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36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29">
        <f t="shared" si="64"/>
        <v>0</v>
      </c>
      <c r="AE169" s="2822"/>
      <c r="AG169" s="2367">
        <f t="shared" si="72"/>
        <v>0</v>
      </c>
      <c r="AH169" s="2367">
        <f t="shared" si="73"/>
        <v>0</v>
      </c>
      <c r="AI169" s="123" t="str">
        <f t="shared" si="61"/>
        <v>무부하 랙</v>
      </c>
      <c r="AJ169" t="str">
        <f t="shared" si="62"/>
        <v/>
      </c>
      <c r="AK169" t="str">
        <f t="shared" si="63"/>
        <v/>
      </c>
      <c r="AP169" s="123"/>
      <c r="AQ169" s="123"/>
      <c r="AR169" s="123"/>
      <c r="AS169" s="3084"/>
      <c r="AT169" s="123"/>
      <c r="AU169" s="123"/>
      <c r="AV169" s="3085"/>
      <c r="AW169" s="3086"/>
      <c r="AX169" s="3087"/>
      <c r="AY169" s="3088"/>
      <c r="AZ169" s="3089"/>
      <c r="BA169" s="3090"/>
      <c r="BB169" s="3091"/>
    </row>
    <row r="170" spans="1:54" ht="28.8">
      <c r="A170" s="2652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41" t="s">
        <v>1530</v>
      </c>
      <c r="H170" s="2636" t="s">
        <v>1531</v>
      </c>
      <c r="I170" s="2128" t="str">
        <f t="shared" si="77"/>
        <v>6-DaHall 1-PDU-11-30-3</v>
      </c>
      <c r="J170" s="2129" t="str">
        <f t="shared" si="78"/>
        <v>6-DaHall 1-PDU-12-30-3</v>
      </c>
      <c r="K170" s="1463">
        <v>220</v>
      </c>
      <c r="L170" s="1464">
        <v>30</v>
      </c>
      <c r="M170" s="2435" t="s">
        <v>6541</v>
      </c>
      <c r="N170" s="1465">
        <v>3</v>
      </c>
      <c r="O170" s="1466">
        <v>220</v>
      </c>
      <c r="P170" s="1467">
        <v>30</v>
      </c>
      <c r="Q170" s="2441" t="s">
        <v>6548</v>
      </c>
      <c r="R170" s="1468">
        <v>3</v>
      </c>
      <c r="S170" s="3356" t="s">
        <v>1462</v>
      </c>
      <c r="T170" s="3336" t="s">
        <v>1463</v>
      </c>
      <c r="U170" s="3356" t="s">
        <v>1464</v>
      </c>
      <c r="V170" s="3336" t="s">
        <v>1465</v>
      </c>
      <c r="W170" s="3364"/>
      <c r="X170" s="3365"/>
      <c r="Y170" s="268">
        <f>SUM('6층_부하량(월간_AVG)'!D145:F145)</f>
        <v>0</v>
      </c>
      <c r="Z170" s="268">
        <f>SUM('6층_부하량(월간_AVG)'!D174:F174)</f>
        <v>0</v>
      </c>
      <c r="AA170" s="2452">
        <f t="shared" si="79"/>
        <v>0</v>
      </c>
      <c r="AB170" s="2715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36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29">
        <f t="shared" si="64"/>
        <v>0</v>
      </c>
      <c r="AE170" s="2821" t="s">
        <v>1532</v>
      </c>
      <c r="AG170" s="2367">
        <f t="shared" si="72"/>
        <v>0</v>
      </c>
      <c r="AH170" s="2367">
        <f t="shared" si="73"/>
        <v>0</v>
      </c>
      <c r="AI170" s="123" t="str">
        <f t="shared" si="61"/>
        <v>무부하 랙</v>
      </c>
      <c r="AJ170" t="str">
        <f t="shared" si="62"/>
        <v/>
      </c>
      <c r="AK170" t="str">
        <f t="shared" si="63"/>
        <v/>
      </c>
      <c r="AP170" s="123"/>
      <c r="AQ170" s="123"/>
      <c r="AR170" s="123"/>
      <c r="AS170" s="3084"/>
      <c r="AT170" s="123"/>
      <c r="AU170" s="123"/>
      <c r="AV170" s="3085"/>
      <c r="AW170" s="3086"/>
      <c r="AX170" s="3087"/>
      <c r="AY170" s="3088"/>
      <c r="AZ170" s="3089"/>
      <c r="BA170" s="3090"/>
      <c r="BB170" s="3091"/>
    </row>
    <row r="171" spans="1:54" ht="28.8">
      <c r="A171" s="2652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41" t="s">
        <v>1537</v>
      </c>
      <c r="H171" s="2636" t="s">
        <v>1538</v>
      </c>
      <c r="I171" s="2128" t="str">
        <f t="shared" si="77"/>
        <v>6-DaHall 1-PDU-11-30-5</v>
      </c>
      <c r="J171" s="2129" t="str">
        <f t="shared" si="78"/>
        <v>6-DaHall 1-PDU-12-30-5</v>
      </c>
      <c r="K171" s="1463">
        <v>220</v>
      </c>
      <c r="L171" s="1464">
        <v>30</v>
      </c>
      <c r="M171" s="2435" t="s">
        <v>6541</v>
      </c>
      <c r="N171" s="1465">
        <v>5</v>
      </c>
      <c r="O171" s="1466">
        <v>220</v>
      </c>
      <c r="P171" s="1467">
        <v>30</v>
      </c>
      <c r="Q171" s="2441" t="s">
        <v>6548</v>
      </c>
      <c r="R171" s="1468">
        <v>5</v>
      </c>
      <c r="S171" s="3364"/>
      <c r="T171" s="3365"/>
      <c r="U171" s="3356"/>
      <c r="V171" s="3365"/>
      <c r="W171" s="3364"/>
      <c r="X171" s="3365"/>
      <c r="Y171" s="268">
        <f>SUM('6층_부하량(월간_AVG)'!D146:F146)</f>
        <v>0</v>
      </c>
      <c r="Z171" s="268">
        <f>SUM('6층_부하량(월간_AVG)'!D175:F175)</f>
        <v>0</v>
      </c>
      <c r="AA171" s="2452">
        <f t="shared" si="79"/>
        <v>0</v>
      </c>
      <c r="AB171" s="2715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36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29">
        <f t="shared" si="64"/>
        <v>0</v>
      </c>
      <c r="AE171" s="2821"/>
      <c r="AG171" s="2367">
        <f t="shared" si="72"/>
        <v>0</v>
      </c>
      <c r="AH171" s="2367">
        <f t="shared" si="73"/>
        <v>0</v>
      </c>
      <c r="AI171" s="123" t="str">
        <f t="shared" si="61"/>
        <v>무부하 랙</v>
      </c>
      <c r="AJ171" t="str">
        <f t="shared" si="62"/>
        <v/>
      </c>
      <c r="AK171" t="str">
        <f t="shared" si="63"/>
        <v/>
      </c>
      <c r="AP171" s="123"/>
      <c r="AQ171" s="123"/>
      <c r="AR171" s="123"/>
      <c r="AS171" s="3084"/>
      <c r="AT171" s="123"/>
      <c r="AU171" s="123"/>
      <c r="AV171" s="3085"/>
      <c r="AW171" s="3086"/>
      <c r="AX171" s="3087"/>
      <c r="AY171" s="3088"/>
      <c r="AZ171" s="3089"/>
      <c r="BA171" s="3090"/>
      <c r="BB171" s="3091"/>
    </row>
    <row r="172" spans="1:54" ht="28.8">
      <c r="A172" s="2652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41" t="s">
        <v>1543</v>
      </c>
      <c r="H172" s="2636" t="s">
        <v>1544</v>
      </c>
      <c r="I172" s="2128" t="str">
        <f t="shared" si="77"/>
        <v>6-DaHall 1-PDU-11-30-7</v>
      </c>
      <c r="J172" s="2129" t="str">
        <f t="shared" si="78"/>
        <v>6-DaHall 1-PDU-12-30-7</v>
      </c>
      <c r="K172" s="1463">
        <v>220</v>
      </c>
      <c r="L172" s="1464">
        <v>30</v>
      </c>
      <c r="M172" s="2435" t="s">
        <v>6541</v>
      </c>
      <c r="N172" s="1465">
        <v>7</v>
      </c>
      <c r="O172" s="1466">
        <v>220</v>
      </c>
      <c r="P172" s="1467">
        <v>30</v>
      </c>
      <c r="Q172" s="2441" t="s">
        <v>6548</v>
      </c>
      <c r="R172" s="1468">
        <v>7</v>
      </c>
      <c r="S172" s="3364"/>
      <c r="T172" s="3365"/>
      <c r="U172" s="3356"/>
      <c r="V172" s="3365"/>
      <c r="W172" s="3364"/>
      <c r="X172" s="3365"/>
      <c r="Y172" s="268">
        <f>SUM('6층_부하량(월간_AVG)'!D147:F147)</f>
        <v>0</v>
      </c>
      <c r="Z172" s="268">
        <f>SUM('6층_부하량(월간_AVG)'!D176:F176)</f>
        <v>0</v>
      </c>
      <c r="AA172" s="2452">
        <f t="shared" si="79"/>
        <v>0</v>
      </c>
      <c r="AB172" s="2715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36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29">
        <f t="shared" si="64"/>
        <v>0</v>
      </c>
      <c r="AE172" s="2821"/>
      <c r="AG172" s="2367">
        <f t="shared" si="72"/>
        <v>0</v>
      </c>
      <c r="AH172" s="2367">
        <f t="shared" si="73"/>
        <v>0</v>
      </c>
      <c r="AI172" s="123" t="str">
        <f t="shared" si="61"/>
        <v>무부하 랙</v>
      </c>
      <c r="AJ172" t="str">
        <f t="shared" si="62"/>
        <v/>
      </c>
      <c r="AK172" t="str">
        <f t="shared" si="63"/>
        <v/>
      </c>
      <c r="AP172" s="123"/>
      <c r="AQ172" s="123"/>
      <c r="AR172" s="123"/>
      <c r="AS172" s="3084"/>
      <c r="AT172" s="123"/>
      <c r="AU172" s="123"/>
      <c r="AV172" s="3085"/>
      <c r="AW172" s="3086"/>
      <c r="AX172" s="3087"/>
      <c r="AY172" s="3088"/>
      <c r="AZ172" s="3089"/>
      <c r="BA172" s="3090"/>
      <c r="BB172" s="3091"/>
    </row>
    <row r="173" spans="1:54" ht="28.8">
      <c r="A173" s="2652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41" t="s">
        <v>1549</v>
      </c>
      <c r="H173" s="2636" t="s">
        <v>1550</v>
      </c>
      <c r="I173" s="2128" t="str">
        <f t="shared" si="77"/>
        <v>6-DaHall 1-PDU-11-30-9</v>
      </c>
      <c r="J173" s="2129" t="str">
        <f t="shared" si="78"/>
        <v>6-DaHall 1-PDU-12-30-9</v>
      </c>
      <c r="K173" s="1463">
        <v>220</v>
      </c>
      <c r="L173" s="1464">
        <v>30</v>
      </c>
      <c r="M173" s="2435" t="s">
        <v>6541</v>
      </c>
      <c r="N173" s="1465">
        <v>9</v>
      </c>
      <c r="O173" s="1466">
        <v>220</v>
      </c>
      <c r="P173" s="1467">
        <v>30</v>
      </c>
      <c r="Q173" s="2441" t="s">
        <v>6548</v>
      </c>
      <c r="R173" s="1468">
        <v>9</v>
      </c>
      <c r="S173" s="3364"/>
      <c r="T173" s="3365"/>
      <c r="U173" s="3356"/>
      <c r="V173" s="3365"/>
      <c r="W173" s="3364"/>
      <c r="X173" s="3365"/>
      <c r="Y173" s="268">
        <f>SUM('6층_부하량(월간_AVG)'!D148:F148)</f>
        <v>0</v>
      </c>
      <c r="Z173" s="268">
        <f>SUM('6층_부하량(월간_AVG)'!D177:F177)</f>
        <v>0</v>
      </c>
      <c r="AA173" s="2452">
        <f t="shared" si="79"/>
        <v>0</v>
      </c>
      <c r="AB173" s="2715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36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29">
        <f t="shared" si="64"/>
        <v>0</v>
      </c>
      <c r="AE173" s="2821" t="s">
        <v>1375</v>
      </c>
      <c r="AG173" s="2367">
        <f t="shared" si="72"/>
        <v>0</v>
      </c>
      <c r="AH173" s="2367">
        <f t="shared" si="73"/>
        <v>0</v>
      </c>
      <c r="AI173" s="123" t="str">
        <f t="shared" si="61"/>
        <v>무부하 랙</v>
      </c>
      <c r="AJ173" t="str">
        <f t="shared" si="62"/>
        <v/>
      </c>
      <c r="AK173" t="str">
        <f t="shared" si="63"/>
        <v/>
      </c>
      <c r="AP173" s="123"/>
      <c r="AQ173" s="123"/>
      <c r="AR173" s="123"/>
      <c r="AS173" s="3084"/>
      <c r="AT173" s="123"/>
      <c r="AU173" s="123"/>
      <c r="AV173" s="3085"/>
      <c r="AW173" s="3086"/>
      <c r="AX173" s="3087"/>
      <c r="AY173" s="3088"/>
      <c r="AZ173" s="3089"/>
      <c r="BA173" s="3090"/>
      <c r="BB173" s="3091"/>
    </row>
    <row r="174" spans="1:54" ht="27.75" customHeight="1">
      <c r="A174" s="2652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41" t="s">
        <v>1555</v>
      </c>
      <c r="H174" s="2636" t="s">
        <v>1556</v>
      </c>
      <c r="I174" s="2128" t="str">
        <f t="shared" si="77"/>
        <v>6-DaHall 1-PDU-11-30-11</v>
      </c>
      <c r="J174" s="2129" t="str">
        <f t="shared" si="78"/>
        <v>6-DaHall 1-PDU-12-30-11</v>
      </c>
      <c r="K174" s="1463">
        <v>220</v>
      </c>
      <c r="L174" s="1464">
        <v>30</v>
      </c>
      <c r="M174" s="2435" t="s">
        <v>6541</v>
      </c>
      <c r="N174" s="1465">
        <v>11</v>
      </c>
      <c r="O174" s="1466">
        <v>220</v>
      </c>
      <c r="P174" s="1467">
        <v>30</v>
      </c>
      <c r="Q174" s="2441" t="s">
        <v>6548</v>
      </c>
      <c r="R174" s="1468">
        <v>11</v>
      </c>
      <c r="S174" s="3364"/>
      <c r="T174" s="3365"/>
      <c r="U174" s="3356"/>
      <c r="V174" s="3365"/>
      <c r="W174" s="3364"/>
      <c r="X174" s="3365"/>
      <c r="Y174" s="268">
        <f>SUM('6층_부하량(월간_AVG)'!D149:F149)</f>
        <v>0</v>
      </c>
      <c r="Z174" s="268">
        <f>SUM('6층_부하량(월간_AVG)'!D178:F178)</f>
        <v>0</v>
      </c>
      <c r="AA174" s="2452">
        <f t="shared" si="79"/>
        <v>0</v>
      </c>
      <c r="AB174" s="2715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36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29">
        <f t="shared" si="64"/>
        <v>0</v>
      </c>
      <c r="AE174" s="2821" t="s">
        <v>1375</v>
      </c>
      <c r="AG174" s="2367">
        <f t="shared" si="72"/>
        <v>0</v>
      </c>
      <c r="AH174" s="2367">
        <f t="shared" si="73"/>
        <v>0</v>
      </c>
      <c r="AI174" s="123" t="str">
        <f t="shared" si="61"/>
        <v>무부하 랙</v>
      </c>
      <c r="AJ174" t="str">
        <f t="shared" si="62"/>
        <v/>
      </c>
      <c r="AK174" t="str">
        <f t="shared" si="63"/>
        <v/>
      </c>
      <c r="AP174" s="123"/>
      <c r="AQ174" s="123"/>
      <c r="AR174" s="123"/>
      <c r="AS174" s="3084"/>
      <c r="AT174" s="123"/>
      <c r="AU174" s="123"/>
      <c r="AV174" s="3085"/>
      <c r="AW174" s="3086"/>
      <c r="AX174" s="3087"/>
      <c r="AY174" s="3088"/>
      <c r="AZ174" s="3089"/>
      <c r="BA174" s="3090"/>
      <c r="BB174" s="3091"/>
    </row>
    <row r="175" spans="1:54" ht="27.75" customHeight="1">
      <c r="A175" s="2652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41" t="s">
        <v>1561</v>
      </c>
      <c r="H175" s="2641" t="s">
        <v>1562</v>
      </c>
      <c r="I175" s="2128" t="str">
        <f t="shared" si="77"/>
        <v>6-DaHall 1-PDU-11-30-13</v>
      </c>
      <c r="J175" s="2132" t="str">
        <f t="shared" si="78"/>
        <v>6-DaHall 1-PDU-09-30-31</v>
      </c>
      <c r="K175" s="1463">
        <v>220</v>
      </c>
      <c r="L175" s="1464">
        <v>30</v>
      </c>
      <c r="M175" s="2435" t="s">
        <v>6541</v>
      </c>
      <c r="N175" s="1465">
        <v>13</v>
      </c>
      <c r="O175" s="1479">
        <v>220</v>
      </c>
      <c r="P175" s="1464">
        <v>30</v>
      </c>
      <c r="Q175" s="2435" t="s">
        <v>6584</v>
      </c>
      <c r="R175" s="1465">
        <v>31</v>
      </c>
      <c r="S175" s="3364"/>
      <c r="T175" s="2641" t="s">
        <v>1272</v>
      </c>
      <c r="U175" s="3356"/>
      <c r="V175" s="2641" t="s">
        <v>1274</v>
      </c>
      <c r="W175" s="3364"/>
      <c r="X175" s="2641" t="s">
        <v>1276</v>
      </c>
      <c r="Y175" s="268">
        <f>SUM('6층_부하량(월간_AVG)'!D150:F150)</f>
        <v>0</v>
      </c>
      <c r="Z175" s="1403">
        <f>SUM('6층_부하량(월간_AVG)'!D99:F99)</f>
        <v>0</v>
      </c>
      <c r="AA175" s="2452">
        <f t="shared" ref="AA175:AA177" si="80">SUM(Y175:Z175)</f>
        <v>0</v>
      </c>
      <c r="AB175" s="2715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36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29">
        <f t="shared" si="64"/>
        <v>0</v>
      </c>
      <c r="AE175" s="2822" t="s">
        <v>1375</v>
      </c>
      <c r="AG175" s="2367">
        <f t="shared" si="72"/>
        <v>0</v>
      </c>
      <c r="AH175" s="2367">
        <f t="shared" si="73"/>
        <v>0</v>
      </c>
      <c r="AI175" s="123" t="str">
        <f t="shared" si="61"/>
        <v>무부하 랙</v>
      </c>
      <c r="AJ175" t="str">
        <f t="shared" si="62"/>
        <v/>
      </c>
      <c r="AK175" t="str">
        <f t="shared" si="63"/>
        <v/>
      </c>
      <c r="AP175" s="123"/>
      <c r="AQ175" s="123"/>
      <c r="AR175" s="123"/>
      <c r="AS175" s="3084"/>
      <c r="AT175" s="123"/>
      <c r="AU175" s="123"/>
      <c r="AV175" s="3085"/>
      <c r="AW175" s="3086"/>
      <c r="AX175" s="3087"/>
      <c r="AY175" s="3088"/>
      <c r="AZ175" s="3089"/>
      <c r="BA175" s="3090"/>
      <c r="BB175" s="3091"/>
    </row>
    <row r="176" spans="1:54" ht="27.75" customHeight="1">
      <c r="A176" s="2652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41" t="s">
        <v>1567</v>
      </c>
      <c r="H176" s="2636" t="s">
        <v>1568</v>
      </c>
      <c r="I176" s="2128" t="str">
        <f t="shared" si="77"/>
        <v>6-DaHall 1-PDU-11-30-15</v>
      </c>
      <c r="J176" s="2129" t="str">
        <f t="shared" si="78"/>
        <v>6-DaHall 1-PDU-12-30-15</v>
      </c>
      <c r="K176" s="1463">
        <v>220</v>
      </c>
      <c r="L176" s="1464">
        <v>30</v>
      </c>
      <c r="M176" s="2435" t="s">
        <v>6541</v>
      </c>
      <c r="N176" s="1465">
        <v>15</v>
      </c>
      <c r="O176" s="1466">
        <v>220</v>
      </c>
      <c r="P176" s="1467">
        <v>30</v>
      </c>
      <c r="Q176" s="2441" t="s">
        <v>6548</v>
      </c>
      <c r="R176" s="1468">
        <v>15</v>
      </c>
      <c r="S176" s="3364"/>
      <c r="T176" s="3336" t="s">
        <v>1463</v>
      </c>
      <c r="U176" s="3356"/>
      <c r="V176" s="3336" t="s">
        <v>1465</v>
      </c>
      <c r="W176" s="3364"/>
      <c r="X176" s="3336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52">
        <f t="shared" si="80"/>
        <v>0</v>
      </c>
      <c r="AB176" s="2715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36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29">
        <f t="shared" si="64"/>
        <v>0</v>
      </c>
      <c r="AE176" s="2821" t="s">
        <v>1375</v>
      </c>
      <c r="AG176" s="2367">
        <f t="shared" si="72"/>
        <v>0</v>
      </c>
      <c r="AH176" s="2367">
        <f t="shared" si="73"/>
        <v>0</v>
      </c>
      <c r="AI176" s="123" t="str">
        <f t="shared" si="61"/>
        <v>무부하 랙</v>
      </c>
      <c r="AJ176" t="str">
        <f t="shared" si="62"/>
        <v/>
      </c>
      <c r="AK176" t="str">
        <f t="shared" si="63"/>
        <v/>
      </c>
      <c r="AP176" s="123"/>
      <c r="AQ176" s="123"/>
      <c r="AR176" s="123"/>
      <c r="AS176" s="3084"/>
      <c r="AT176" s="123"/>
      <c r="AU176" s="123"/>
      <c r="AV176" s="3085"/>
      <c r="AW176" s="3086"/>
      <c r="AX176" s="3087"/>
      <c r="AY176" s="3088"/>
      <c r="AZ176" s="3089"/>
      <c r="BA176" s="3090"/>
      <c r="BB176" s="3091"/>
    </row>
    <row r="177" spans="1:54" ht="27.75" customHeight="1" thickBot="1">
      <c r="A177" s="2660" t="s">
        <v>1569</v>
      </c>
      <c r="B177" s="2661" t="s">
        <v>1570</v>
      </c>
      <c r="C177" s="2661"/>
      <c r="D177" s="2661"/>
      <c r="E177" s="2661" t="s">
        <v>1571</v>
      </c>
      <c r="F177" s="2661" t="s">
        <v>1572</v>
      </c>
      <c r="G177" s="2643" t="s">
        <v>1573</v>
      </c>
      <c r="H177" s="2637" t="s">
        <v>1574</v>
      </c>
      <c r="I177" s="2130" t="str">
        <f t="shared" si="77"/>
        <v>6-DaHall 1-PDU-11-30-17</v>
      </c>
      <c r="J177" s="2131" t="str">
        <f t="shared" si="78"/>
        <v>6-DaHall 1-PDU-12-30-17</v>
      </c>
      <c r="K177" s="1471">
        <v>220</v>
      </c>
      <c r="L177" s="1472">
        <v>30</v>
      </c>
      <c r="M177" s="2438" t="s">
        <v>6541</v>
      </c>
      <c r="N177" s="1473">
        <v>17</v>
      </c>
      <c r="O177" s="1474">
        <v>220</v>
      </c>
      <c r="P177" s="1475">
        <v>30</v>
      </c>
      <c r="Q177" s="2444" t="s">
        <v>6548</v>
      </c>
      <c r="R177" s="1476">
        <v>17</v>
      </c>
      <c r="S177" s="3372"/>
      <c r="T177" s="3371"/>
      <c r="U177" s="3357"/>
      <c r="V177" s="3371"/>
      <c r="W177" s="3372"/>
      <c r="X177" s="3371"/>
      <c r="Y177" s="330">
        <f>SUM('6층_부하량(월간_AVG)'!D152:F152)</f>
        <v>0</v>
      </c>
      <c r="Z177" s="330">
        <f>SUM('6층_부하량(월간_AVG)'!D181:F181)</f>
        <v>0</v>
      </c>
      <c r="AA177" s="2453">
        <f t="shared" si="80"/>
        <v>0</v>
      </c>
      <c r="AB177" s="2715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33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34">
        <f t="shared" si="64"/>
        <v>0</v>
      </c>
      <c r="AE177" s="2823"/>
      <c r="AG177" s="2367">
        <f t="shared" si="72"/>
        <v>0</v>
      </c>
      <c r="AH177" s="2367">
        <f t="shared" si="73"/>
        <v>0</v>
      </c>
      <c r="AI177" s="123" t="str">
        <f t="shared" si="61"/>
        <v>무부하 랙</v>
      </c>
      <c r="AJ177" t="str">
        <f t="shared" si="62"/>
        <v/>
      </c>
      <c r="AK177" t="str">
        <f t="shared" si="63"/>
        <v/>
      </c>
      <c r="AP177" s="123"/>
      <c r="AQ177" s="123"/>
      <c r="AR177" s="123"/>
      <c r="AS177" s="3084"/>
      <c r="AT177" s="123"/>
      <c r="AU177" s="123"/>
      <c r="AV177" s="3085"/>
      <c r="AW177" s="3086"/>
      <c r="AX177" s="3087"/>
      <c r="AY177" s="3088"/>
      <c r="AZ177" s="3089"/>
      <c r="BA177" s="3090"/>
      <c r="BB177" s="3091"/>
    </row>
    <row r="178" spans="1:54" ht="15" thickTop="1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55"/>
      <c r="AB178" s="2826"/>
      <c r="AC178" s="2827"/>
      <c r="AD178" s="2835">
        <f t="shared" si="64"/>
        <v>0</v>
      </c>
      <c r="AE178" s="2828" t="s">
        <v>1265</v>
      </c>
      <c r="AG178" s="2367">
        <f t="shared" si="72"/>
        <v>0</v>
      </c>
      <c r="AH178" s="2367">
        <f t="shared" si="73"/>
        <v>0</v>
      </c>
      <c r="AI178" s="123" t="str">
        <f t="shared" si="61"/>
        <v>무부하 랙</v>
      </c>
      <c r="AJ178" t="str">
        <f t="shared" si="62"/>
        <v/>
      </c>
      <c r="AK178" t="str">
        <f t="shared" si="63"/>
        <v/>
      </c>
      <c r="AP178" s="123"/>
      <c r="AQ178" s="123"/>
      <c r="AR178" s="123"/>
      <c r="AS178" s="3084"/>
      <c r="AT178" s="123"/>
      <c r="AU178" s="123"/>
      <c r="AV178" s="3085"/>
      <c r="AW178" s="3086"/>
      <c r="AX178" s="3087"/>
      <c r="AY178" s="3088"/>
      <c r="AZ178" s="3089"/>
      <c r="BA178" s="3090"/>
      <c r="BB178" s="3091"/>
    </row>
    <row r="179" spans="1:54" ht="27.75" customHeight="1">
      <c r="A179" s="2652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41" t="s">
        <v>1460</v>
      </c>
      <c r="H179" s="2636" t="s">
        <v>1461</v>
      </c>
      <c r="I179" s="2128" t="str">
        <f t="shared" ref="I179:I187" si="81">"6-DaHall 1-PDU-"&amp;M179&amp;"-"&amp;L179&amp;"-"&amp;N179</f>
        <v>6-DaHall 1-PDU-11-30-2</v>
      </c>
      <c r="J179" s="2129" t="str">
        <f t="shared" ref="J179:J187" si="82">"6-DaHall 1-PDU-"&amp;Q179&amp;"-"&amp;P179&amp;"-"&amp;R179</f>
        <v>6-DaHall 1-PDU-12-30-2</v>
      </c>
      <c r="K179" s="1463">
        <v>220</v>
      </c>
      <c r="L179" s="1464">
        <v>30</v>
      </c>
      <c r="M179" s="2435" t="s">
        <v>6541</v>
      </c>
      <c r="N179" s="1465">
        <v>2</v>
      </c>
      <c r="O179" s="1466">
        <v>220</v>
      </c>
      <c r="P179" s="1467">
        <v>30</v>
      </c>
      <c r="Q179" s="2441" t="s">
        <v>6548</v>
      </c>
      <c r="R179" s="1468">
        <v>2</v>
      </c>
      <c r="S179" s="3356" t="s">
        <v>1462</v>
      </c>
      <c r="T179" s="3336" t="s">
        <v>1463</v>
      </c>
      <c r="U179" s="3356" t="s">
        <v>1464</v>
      </c>
      <c r="V179" s="3336" t="s">
        <v>1465</v>
      </c>
      <c r="W179" s="3356" t="s">
        <v>1276</v>
      </c>
      <c r="X179" s="3336" t="s">
        <v>1277</v>
      </c>
      <c r="Y179" s="1402">
        <f>SUM('6층_부하량(월간_AVG)'!L144:N144)</f>
        <v>0</v>
      </c>
      <c r="Z179" s="1402">
        <f>SUM('6층_부하량(월간_AVG)'!L173:N173)</f>
        <v>0</v>
      </c>
      <c r="AA179" s="2451">
        <f t="shared" ref="AA179:AA187" si="83">SUM(Y179:Z179)</f>
        <v>0</v>
      </c>
      <c r="AB179" s="2840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36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29">
        <f t="shared" si="64"/>
        <v>0</v>
      </c>
      <c r="AE179" s="2821" t="s">
        <v>1466</v>
      </c>
      <c r="AG179" s="2367">
        <f t="shared" si="72"/>
        <v>0</v>
      </c>
      <c r="AH179" s="2367">
        <f t="shared" si="73"/>
        <v>0</v>
      </c>
      <c r="AI179" s="123" t="str">
        <f t="shared" si="61"/>
        <v>무부하 랙</v>
      </c>
      <c r="AJ179" t="str">
        <f t="shared" si="62"/>
        <v/>
      </c>
      <c r="AK179" t="str">
        <f t="shared" si="63"/>
        <v/>
      </c>
      <c r="AP179" s="123"/>
      <c r="AQ179" s="123"/>
      <c r="AR179" s="123"/>
      <c r="AS179" s="3084"/>
      <c r="AT179" s="123"/>
      <c r="AU179" s="123"/>
      <c r="AV179" s="3085"/>
      <c r="AW179" s="3086"/>
      <c r="AX179" s="3087"/>
      <c r="AY179" s="3088"/>
      <c r="AZ179" s="3089"/>
      <c r="BA179" s="3090"/>
      <c r="BB179" s="3091"/>
    </row>
    <row r="180" spans="1:54" ht="27.75" customHeight="1">
      <c r="A180" s="2652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41" t="s">
        <v>1471</v>
      </c>
      <c r="H180" s="2636" t="s">
        <v>1472</v>
      </c>
      <c r="I180" s="2128" t="str">
        <f t="shared" si="81"/>
        <v>6-DaHall 1-PDU-11-30-4</v>
      </c>
      <c r="J180" s="2129" t="str">
        <f t="shared" si="82"/>
        <v>6-DaHall 1-PDU-12-30-4</v>
      </c>
      <c r="K180" s="1463">
        <v>220</v>
      </c>
      <c r="L180" s="1464">
        <v>30</v>
      </c>
      <c r="M180" s="2435" t="s">
        <v>6541</v>
      </c>
      <c r="N180" s="1465">
        <v>4</v>
      </c>
      <c r="O180" s="1466">
        <v>220</v>
      </c>
      <c r="P180" s="1467">
        <v>30</v>
      </c>
      <c r="Q180" s="2441" t="s">
        <v>6548</v>
      </c>
      <c r="R180" s="1468">
        <v>4</v>
      </c>
      <c r="S180" s="3364"/>
      <c r="T180" s="3336"/>
      <c r="U180" s="3364"/>
      <c r="V180" s="3336"/>
      <c r="W180" s="3364"/>
      <c r="X180" s="3365"/>
      <c r="Y180" s="1402">
        <f>SUM('6층_부하량(월간_AVG)'!L145:N145)</f>
        <v>0</v>
      </c>
      <c r="Z180" s="1402">
        <f>SUM('6층_부하량(월간_AVG)'!L174:N174)</f>
        <v>0</v>
      </c>
      <c r="AA180" s="2451">
        <f t="shared" si="83"/>
        <v>0</v>
      </c>
      <c r="AB180" s="2840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36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29">
        <f t="shared" si="64"/>
        <v>0</v>
      </c>
      <c r="AE180" s="2821" t="s">
        <v>1473</v>
      </c>
      <c r="AG180" s="2367">
        <f t="shared" si="72"/>
        <v>0</v>
      </c>
      <c r="AH180" s="2367">
        <f t="shared" si="73"/>
        <v>0</v>
      </c>
      <c r="AI180" s="123" t="str">
        <f t="shared" si="61"/>
        <v>무부하 랙</v>
      </c>
      <c r="AJ180" t="str">
        <f t="shared" si="62"/>
        <v/>
      </c>
      <c r="AK180" t="str">
        <f t="shared" si="63"/>
        <v/>
      </c>
      <c r="AP180" s="123"/>
      <c r="AQ180" s="123"/>
      <c r="AR180" s="123"/>
      <c r="AS180" s="3084"/>
      <c r="AT180" s="123"/>
      <c r="AU180" s="123"/>
      <c r="AV180" s="3085"/>
      <c r="AW180" s="3086"/>
      <c r="AX180" s="3087"/>
      <c r="AY180" s="3088"/>
      <c r="AZ180" s="3089"/>
      <c r="BA180" s="3090"/>
      <c r="BB180" s="3091"/>
    </row>
    <row r="181" spans="1:54" ht="27.75" customHeight="1">
      <c r="A181" s="2652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41" t="s">
        <v>1478</v>
      </c>
      <c r="H181" s="2636" t="s">
        <v>1479</v>
      </c>
      <c r="I181" s="2128" t="str">
        <f t="shared" si="81"/>
        <v>6-DaHall 1-PDU-11-30-6</v>
      </c>
      <c r="J181" s="2129" t="str">
        <f t="shared" si="82"/>
        <v>6-DaHall 1-PDU-12-30-6</v>
      </c>
      <c r="K181" s="1463">
        <v>220</v>
      </c>
      <c r="L181" s="1464">
        <v>30</v>
      </c>
      <c r="M181" s="2435" t="s">
        <v>6541</v>
      </c>
      <c r="N181" s="1465">
        <v>6</v>
      </c>
      <c r="O181" s="1466">
        <v>220</v>
      </c>
      <c r="P181" s="1467">
        <v>30</v>
      </c>
      <c r="Q181" s="2441" t="s">
        <v>6548</v>
      </c>
      <c r="R181" s="1468">
        <v>6</v>
      </c>
      <c r="S181" s="3364"/>
      <c r="T181" s="3336"/>
      <c r="U181" s="3364"/>
      <c r="V181" s="3336"/>
      <c r="W181" s="3364"/>
      <c r="X181" s="3365"/>
      <c r="Y181" s="1402">
        <f>SUM('6층_부하량(월간_AVG)'!L146:N146)</f>
        <v>0</v>
      </c>
      <c r="Z181" s="1402">
        <f>SUM('6층_부하량(월간_AVG)'!L175:N175)</f>
        <v>0</v>
      </c>
      <c r="AA181" s="2451">
        <f t="shared" si="83"/>
        <v>0</v>
      </c>
      <c r="AB181" s="2840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36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29">
        <f t="shared" si="64"/>
        <v>0</v>
      </c>
      <c r="AE181" s="2821" t="s">
        <v>1473</v>
      </c>
      <c r="AG181" s="2367">
        <f t="shared" si="72"/>
        <v>0</v>
      </c>
      <c r="AH181" s="2367">
        <f t="shared" si="73"/>
        <v>0</v>
      </c>
      <c r="AI181" s="123" t="str">
        <f t="shared" si="61"/>
        <v>무부하 랙</v>
      </c>
      <c r="AJ181" t="str">
        <f t="shared" si="62"/>
        <v/>
      </c>
      <c r="AK181" t="str">
        <f t="shared" si="63"/>
        <v/>
      </c>
      <c r="AP181" s="123"/>
      <c r="AQ181" s="123"/>
      <c r="AR181" s="123"/>
      <c r="AS181" s="3084"/>
      <c r="AT181" s="123"/>
      <c r="AU181" s="123"/>
      <c r="AV181" s="3085"/>
      <c r="AW181" s="3086"/>
      <c r="AX181" s="3087"/>
      <c r="AY181" s="3088"/>
      <c r="AZ181" s="3089"/>
      <c r="BA181" s="3090"/>
      <c r="BB181" s="3091"/>
    </row>
    <row r="182" spans="1:54" ht="27.75" customHeight="1">
      <c r="A182" s="2652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41" t="s">
        <v>1484</v>
      </c>
      <c r="H182" s="2636" t="s">
        <v>1485</v>
      </c>
      <c r="I182" s="2128" t="str">
        <f t="shared" si="81"/>
        <v>6-DaHall 1-PDU-11-30-8</v>
      </c>
      <c r="J182" s="2129" t="str">
        <f t="shared" si="82"/>
        <v>6-DaHall 1-PDU-12-30-8</v>
      </c>
      <c r="K182" s="1463">
        <v>220</v>
      </c>
      <c r="L182" s="1464">
        <v>30</v>
      </c>
      <c r="M182" s="2435" t="s">
        <v>6541</v>
      </c>
      <c r="N182" s="1465">
        <v>8</v>
      </c>
      <c r="O182" s="1466">
        <v>220</v>
      </c>
      <c r="P182" s="1467">
        <v>30</v>
      </c>
      <c r="Q182" s="2441" t="s">
        <v>6548</v>
      </c>
      <c r="R182" s="1468">
        <v>8</v>
      </c>
      <c r="S182" s="3364"/>
      <c r="T182" s="3336"/>
      <c r="U182" s="3364"/>
      <c r="V182" s="3336"/>
      <c r="W182" s="3364"/>
      <c r="X182" s="3365"/>
      <c r="Y182" s="1402">
        <f>SUM('6층_부하량(월간_AVG)'!L147:N147)</f>
        <v>0</v>
      </c>
      <c r="Z182" s="1402">
        <f>SUM('6층_부하량(월간_AVG)'!L176:N176)</f>
        <v>0</v>
      </c>
      <c r="AA182" s="2451">
        <f t="shared" si="83"/>
        <v>0</v>
      </c>
      <c r="AB182" s="2840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36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29">
        <f t="shared" si="64"/>
        <v>0</v>
      </c>
      <c r="AE182" s="2821" t="s">
        <v>1473</v>
      </c>
      <c r="AG182" s="2367">
        <f t="shared" si="72"/>
        <v>0</v>
      </c>
      <c r="AH182" s="2367">
        <f t="shared" si="73"/>
        <v>0</v>
      </c>
      <c r="AI182" s="123" t="str">
        <f t="shared" si="61"/>
        <v>무부하 랙</v>
      </c>
      <c r="AJ182" t="str">
        <f t="shared" si="62"/>
        <v/>
      </c>
      <c r="AK182" t="str">
        <f t="shared" si="63"/>
        <v/>
      </c>
      <c r="AP182" s="123"/>
      <c r="AQ182" s="123"/>
      <c r="AR182" s="123"/>
      <c r="AS182" s="3084"/>
      <c r="AT182" s="123"/>
      <c r="AU182" s="123"/>
      <c r="AV182" s="3085"/>
      <c r="AW182" s="3086"/>
      <c r="AX182" s="3087"/>
      <c r="AY182" s="3088"/>
      <c r="AZ182" s="3089"/>
      <c r="BA182" s="3090"/>
      <c r="BB182" s="3091"/>
    </row>
    <row r="183" spans="1:54" ht="27.75" customHeight="1">
      <c r="A183" s="2652" t="s">
        <v>1486</v>
      </c>
      <c r="B183" s="250" t="s">
        <v>1487</v>
      </c>
      <c r="C183" s="2664"/>
      <c r="D183" s="2664"/>
      <c r="E183" s="250" t="s">
        <v>1488</v>
      </c>
      <c r="F183" s="250" t="s">
        <v>1489</v>
      </c>
      <c r="G183" s="2641" t="s">
        <v>1490</v>
      </c>
      <c r="H183" s="2636" t="s">
        <v>1491</v>
      </c>
      <c r="I183" s="2128" t="str">
        <f t="shared" si="81"/>
        <v>6-DaHall 1-PDU-11-30-10</v>
      </c>
      <c r="J183" s="2129" t="str">
        <f t="shared" si="82"/>
        <v>6-DaHall 1-PDU-12-30-10</v>
      </c>
      <c r="K183" s="1463">
        <v>220</v>
      </c>
      <c r="L183" s="1464">
        <v>30</v>
      </c>
      <c r="M183" s="2435" t="s">
        <v>6541</v>
      </c>
      <c r="N183" s="1465">
        <v>10</v>
      </c>
      <c r="O183" s="1466">
        <v>220</v>
      </c>
      <c r="P183" s="1467">
        <v>30</v>
      </c>
      <c r="Q183" s="2441" t="s">
        <v>6548</v>
      </c>
      <c r="R183" s="1468">
        <v>10</v>
      </c>
      <c r="S183" s="3364"/>
      <c r="T183" s="3336"/>
      <c r="U183" s="3364"/>
      <c r="V183" s="3336"/>
      <c r="W183" s="3364"/>
      <c r="X183" s="3365"/>
      <c r="Y183" s="268">
        <f>SUM('6층_부하량(월간_AVG)'!L148:N148)</f>
        <v>0</v>
      </c>
      <c r="Z183" s="268">
        <f>SUM('6층_부하량(월간_AVG)'!L177:N177)</f>
        <v>0</v>
      </c>
      <c r="AA183" s="2452">
        <f t="shared" si="83"/>
        <v>0</v>
      </c>
      <c r="AB183" s="2840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36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29">
        <f t="shared" si="64"/>
        <v>0</v>
      </c>
      <c r="AE183" s="2517" t="s">
        <v>1492</v>
      </c>
      <c r="AG183" s="2367">
        <f t="shared" si="72"/>
        <v>0</v>
      </c>
      <c r="AH183" s="2367">
        <f t="shared" si="73"/>
        <v>0</v>
      </c>
      <c r="AI183" s="123" t="str">
        <f t="shared" si="61"/>
        <v>무부하 랙</v>
      </c>
      <c r="AJ183" t="str">
        <f t="shared" si="62"/>
        <v/>
      </c>
      <c r="AK183" t="str">
        <f t="shared" si="63"/>
        <v/>
      </c>
      <c r="AP183" s="123"/>
      <c r="AQ183" s="123"/>
      <c r="AR183" s="123"/>
      <c r="AS183" s="3084"/>
      <c r="AT183" s="123"/>
      <c r="AU183" s="123"/>
      <c r="AV183" s="3085"/>
      <c r="AW183" s="3086"/>
      <c r="AX183" s="3087"/>
      <c r="AY183" s="3088"/>
      <c r="AZ183" s="3089"/>
      <c r="BA183" s="3090"/>
      <c r="BB183" s="3091"/>
    </row>
    <row r="184" spans="1:54" ht="27.75" customHeight="1">
      <c r="A184" s="2652" t="s">
        <v>1493</v>
      </c>
      <c r="B184" s="250" t="s">
        <v>1494</v>
      </c>
      <c r="C184" s="2664"/>
      <c r="D184" s="2664"/>
      <c r="E184" s="250" t="s">
        <v>1495</v>
      </c>
      <c r="F184" s="250" t="s">
        <v>1496</v>
      </c>
      <c r="G184" s="2641" t="s">
        <v>1497</v>
      </c>
      <c r="H184" s="2636" t="s">
        <v>1498</v>
      </c>
      <c r="I184" s="2128" t="str">
        <f t="shared" si="81"/>
        <v>6-DaHall 1-PDU-11-30-12</v>
      </c>
      <c r="J184" s="2129" t="str">
        <f t="shared" si="82"/>
        <v>6-DaHall 1-PDU-12-30-12</v>
      </c>
      <c r="K184" s="1463">
        <v>220</v>
      </c>
      <c r="L184" s="1464">
        <v>30</v>
      </c>
      <c r="M184" s="2435" t="s">
        <v>6541</v>
      </c>
      <c r="N184" s="1465">
        <v>12</v>
      </c>
      <c r="O184" s="1466">
        <v>220</v>
      </c>
      <c r="P184" s="1467">
        <v>30</v>
      </c>
      <c r="Q184" s="2441" t="s">
        <v>6548</v>
      </c>
      <c r="R184" s="1468">
        <v>12</v>
      </c>
      <c r="S184" s="3364"/>
      <c r="T184" s="3336"/>
      <c r="U184" s="3364"/>
      <c r="V184" s="3336"/>
      <c r="W184" s="3364"/>
      <c r="X184" s="3365"/>
      <c r="Y184" s="268">
        <f>SUM('6층_부하량(월간_AVG)'!L149:N149)</f>
        <v>0</v>
      </c>
      <c r="Z184" s="268">
        <f>SUM('6층_부하량(월간_AVG)'!L178:N178)</f>
        <v>0</v>
      </c>
      <c r="AA184" s="2452">
        <f t="shared" si="83"/>
        <v>0</v>
      </c>
      <c r="AB184" s="2840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36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29">
        <f t="shared" si="64"/>
        <v>0</v>
      </c>
      <c r="AE184" s="2821"/>
      <c r="AG184" s="2367">
        <f t="shared" si="72"/>
        <v>0</v>
      </c>
      <c r="AH184" s="2367">
        <f t="shared" si="73"/>
        <v>0</v>
      </c>
      <c r="AI184" s="123" t="str">
        <f t="shared" si="61"/>
        <v>무부하 랙</v>
      </c>
      <c r="AJ184" t="str">
        <f t="shared" si="62"/>
        <v/>
      </c>
      <c r="AK184" t="str">
        <f t="shared" si="63"/>
        <v/>
      </c>
      <c r="AP184" s="123"/>
      <c r="AQ184" s="123"/>
      <c r="AR184" s="123"/>
      <c r="AS184" s="3084"/>
      <c r="AT184" s="123"/>
      <c r="AU184" s="123"/>
      <c r="AV184" s="3085"/>
      <c r="AW184" s="3086"/>
      <c r="AX184" s="3087"/>
      <c r="AY184" s="3088"/>
      <c r="AZ184" s="3089"/>
      <c r="BA184" s="3090"/>
      <c r="BB184" s="3091"/>
    </row>
    <row r="185" spans="1:54" ht="27.75" customHeight="1">
      <c r="A185" s="2652" t="s">
        <v>1499</v>
      </c>
      <c r="B185" s="250" t="s">
        <v>1500</v>
      </c>
      <c r="C185" s="250"/>
      <c r="D185" s="250"/>
      <c r="E185" s="250" t="s">
        <v>1501</v>
      </c>
      <c r="F185" s="2647" t="s">
        <v>1502</v>
      </c>
      <c r="G185" s="2641" t="s">
        <v>1503</v>
      </c>
      <c r="H185" s="2636" t="s">
        <v>1504</v>
      </c>
      <c r="I185" s="2128" t="str">
        <f t="shared" si="81"/>
        <v>6-DaHall 1-PDU-11-30-14</v>
      </c>
      <c r="J185" s="2129" t="str">
        <f t="shared" si="82"/>
        <v>6-DaHall 1-PDU-10-30-21</v>
      </c>
      <c r="K185" s="1463">
        <v>220</v>
      </c>
      <c r="L185" s="1464">
        <v>30</v>
      </c>
      <c r="M185" s="2435" t="s">
        <v>6541</v>
      </c>
      <c r="N185" s="1465">
        <v>14</v>
      </c>
      <c r="O185" s="1466">
        <v>220</v>
      </c>
      <c r="P185" s="1467">
        <v>30</v>
      </c>
      <c r="Q185" s="2441" t="s">
        <v>6585</v>
      </c>
      <c r="R185" s="1468">
        <v>21</v>
      </c>
      <c r="S185" s="3364"/>
      <c r="T185" s="2636" t="s">
        <v>1273</v>
      </c>
      <c r="U185" s="3364"/>
      <c r="V185" s="2636" t="s">
        <v>1275</v>
      </c>
      <c r="W185" s="3364"/>
      <c r="X185" s="3365"/>
      <c r="Y185" s="268">
        <f>SUM('6층_부하량(월간_AVG)'!L150:N150)</f>
        <v>0</v>
      </c>
      <c r="Z185" s="268">
        <f>SUM('6층_부하량(월간_AVG)'!D124:F124)</f>
        <v>0</v>
      </c>
      <c r="AA185" s="2452">
        <f t="shared" si="83"/>
        <v>0</v>
      </c>
      <c r="AB185" s="2840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36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29">
        <f t="shared" si="64"/>
        <v>0</v>
      </c>
      <c r="AE185" s="2821"/>
      <c r="AG185" s="2367">
        <f t="shared" si="72"/>
        <v>0</v>
      </c>
      <c r="AH185" s="2367">
        <f t="shared" si="73"/>
        <v>0</v>
      </c>
      <c r="AI185" s="123" t="str">
        <f t="shared" si="61"/>
        <v>무부하 랙</v>
      </c>
      <c r="AJ185" t="str">
        <f t="shared" si="62"/>
        <v/>
      </c>
      <c r="AK185" t="str">
        <f t="shared" si="63"/>
        <v/>
      </c>
      <c r="AP185" s="123"/>
      <c r="AQ185" s="123"/>
      <c r="AR185" s="123"/>
      <c r="AS185" s="3084"/>
      <c r="AT185" s="123"/>
      <c r="AU185" s="123"/>
      <c r="AV185" s="3085"/>
      <c r="AW185" s="3086"/>
      <c r="AX185" s="3087"/>
      <c r="AY185" s="3088"/>
      <c r="AZ185" s="3089"/>
      <c r="BA185" s="3090"/>
      <c r="BB185" s="3091"/>
    </row>
    <row r="186" spans="1:54" ht="27.75" customHeight="1">
      <c r="A186" s="2652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41" t="s">
        <v>1509</v>
      </c>
      <c r="H186" s="2636" t="s">
        <v>1510</v>
      </c>
      <c r="I186" s="2128" t="str">
        <f t="shared" si="81"/>
        <v>6-DaHall 1-PDU-11-30-16</v>
      </c>
      <c r="J186" s="2129" t="str">
        <f t="shared" si="82"/>
        <v>6-DaHall 1-PDU-12-30-16</v>
      </c>
      <c r="K186" s="1463">
        <v>220</v>
      </c>
      <c r="L186" s="1464">
        <v>30</v>
      </c>
      <c r="M186" s="2435" t="s">
        <v>6541</v>
      </c>
      <c r="N186" s="1465">
        <v>16</v>
      </c>
      <c r="O186" s="1466">
        <v>220</v>
      </c>
      <c r="P186" s="1467">
        <v>30</v>
      </c>
      <c r="Q186" s="2441" t="s">
        <v>6548</v>
      </c>
      <c r="R186" s="1468">
        <v>16</v>
      </c>
      <c r="S186" s="3364"/>
      <c r="T186" s="3336" t="s">
        <v>1511</v>
      </c>
      <c r="U186" s="3364"/>
      <c r="V186" s="3336" t="s">
        <v>1512</v>
      </c>
      <c r="W186" s="3364"/>
      <c r="X186" s="3365"/>
      <c r="Y186" s="268">
        <f>SUM('6층_부하량(월간_AVG)'!L151:N151)</f>
        <v>0</v>
      </c>
      <c r="Z186" s="268">
        <f>SUM('6층_부하량(월간_AVG)'!L180:N180)</f>
        <v>0</v>
      </c>
      <c r="AA186" s="2452">
        <f t="shared" si="83"/>
        <v>0</v>
      </c>
      <c r="AB186" s="2840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36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29">
        <f t="shared" si="64"/>
        <v>0</v>
      </c>
      <c r="AE186" s="2821"/>
      <c r="AG186" s="2367">
        <f t="shared" si="72"/>
        <v>0</v>
      </c>
      <c r="AH186" s="2367">
        <f t="shared" si="73"/>
        <v>0</v>
      </c>
      <c r="AI186" s="123" t="str">
        <f t="shared" si="61"/>
        <v>무부하 랙</v>
      </c>
      <c r="AJ186" t="str">
        <f t="shared" si="62"/>
        <v/>
      </c>
      <c r="AK186" t="str">
        <f t="shared" si="63"/>
        <v/>
      </c>
      <c r="AP186" s="123"/>
      <c r="AQ186" s="123"/>
      <c r="AR186" s="123"/>
      <c r="AS186" s="3084"/>
      <c r="AT186" s="123"/>
      <c r="AU186" s="123"/>
      <c r="AV186" s="3085"/>
      <c r="AW186" s="3086"/>
      <c r="AX186" s="3087"/>
      <c r="AY186" s="3088"/>
      <c r="AZ186" s="3089"/>
      <c r="BA186" s="3090"/>
      <c r="BB186" s="3091"/>
    </row>
    <row r="187" spans="1:54" ht="27.75" customHeight="1" thickBot="1">
      <c r="A187" s="2660" t="s">
        <v>1513</v>
      </c>
      <c r="B187" s="2661" t="s">
        <v>1514</v>
      </c>
      <c r="C187" s="2661"/>
      <c r="D187" s="2661"/>
      <c r="E187" s="2661" t="s">
        <v>1515</v>
      </c>
      <c r="F187" s="2661" t="s">
        <v>1516</v>
      </c>
      <c r="G187" s="2643" t="s">
        <v>1517</v>
      </c>
      <c r="H187" s="2637" t="s">
        <v>1518</v>
      </c>
      <c r="I187" s="2130" t="str">
        <f t="shared" si="81"/>
        <v>6-DaHall 1-PDU-11-30-18</v>
      </c>
      <c r="J187" s="2131" t="str">
        <f t="shared" si="82"/>
        <v>6-DaHall 1-PDU-12-30-18</v>
      </c>
      <c r="K187" s="1471">
        <v>220</v>
      </c>
      <c r="L187" s="1472">
        <v>30</v>
      </c>
      <c r="M187" s="2438" t="s">
        <v>6541</v>
      </c>
      <c r="N187" s="1473">
        <v>18</v>
      </c>
      <c r="O187" s="1474">
        <v>220</v>
      </c>
      <c r="P187" s="1475">
        <v>30</v>
      </c>
      <c r="Q187" s="2444" t="s">
        <v>6548</v>
      </c>
      <c r="R187" s="1476">
        <v>18</v>
      </c>
      <c r="S187" s="3372"/>
      <c r="T187" s="3358"/>
      <c r="U187" s="3372"/>
      <c r="V187" s="3358"/>
      <c r="W187" s="3372"/>
      <c r="X187" s="3371"/>
      <c r="Y187" s="330">
        <f>SUM('6층_부하량(월간_AVG)'!L152:N152)</f>
        <v>0</v>
      </c>
      <c r="Z187" s="330">
        <f>SUM('6층_부하량(월간_AVG)'!L181:N181)</f>
        <v>0</v>
      </c>
      <c r="AA187" s="2453">
        <f t="shared" si="83"/>
        <v>0</v>
      </c>
      <c r="AB187" s="2840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33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34">
        <f t="shared" si="64"/>
        <v>0</v>
      </c>
      <c r="AE187" s="2823"/>
      <c r="AG187" s="2367">
        <f t="shared" si="72"/>
        <v>0</v>
      </c>
      <c r="AH187" s="2367">
        <f t="shared" si="73"/>
        <v>0</v>
      </c>
      <c r="AI187" s="123" t="str">
        <f t="shared" si="61"/>
        <v>무부하 랙</v>
      </c>
      <c r="AJ187" t="str">
        <f t="shared" si="62"/>
        <v/>
      </c>
      <c r="AK187" t="str">
        <f t="shared" si="63"/>
        <v/>
      </c>
      <c r="AP187" s="123"/>
      <c r="AQ187" s="123"/>
      <c r="AR187" s="123"/>
      <c r="AS187" s="3084"/>
      <c r="AT187" s="123"/>
      <c r="AU187" s="123"/>
      <c r="AV187" s="3085"/>
      <c r="AW187" s="3086"/>
      <c r="AX187" s="3087"/>
      <c r="AY187" s="3088"/>
      <c r="AZ187" s="3089"/>
      <c r="BA187" s="3090"/>
      <c r="BB187" s="3091"/>
    </row>
    <row r="188" spans="1:54" ht="15" thickTop="1">
      <c r="A188" s="1084" t="s">
        <v>1382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55"/>
      <c r="AB188" s="2826"/>
      <c r="AC188" s="2827"/>
      <c r="AD188" s="2835">
        <f t="shared" si="64"/>
        <v>0</v>
      </c>
      <c r="AE188" s="2828" t="s">
        <v>1265</v>
      </c>
      <c r="AG188" s="2367">
        <f t="shared" si="72"/>
        <v>0</v>
      </c>
      <c r="AH188" s="2367">
        <f t="shared" si="73"/>
        <v>0</v>
      </c>
      <c r="AI188" s="123" t="str">
        <f t="shared" si="61"/>
        <v>무부하 랙</v>
      </c>
      <c r="AJ188" t="str">
        <f t="shared" si="62"/>
        <v/>
      </c>
      <c r="AK188" t="str">
        <f t="shared" si="63"/>
        <v/>
      </c>
      <c r="AP188" s="123"/>
      <c r="AQ188" s="123"/>
      <c r="AR188" s="123"/>
      <c r="AS188" s="3084"/>
      <c r="AT188" s="123"/>
      <c r="AU188" s="123"/>
      <c r="AV188" s="3085"/>
      <c r="AW188" s="3086"/>
      <c r="AX188" s="3087"/>
      <c r="AY188" s="3088"/>
      <c r="AZ188" s="3089"/>
      <c r="BA188" s="3090"/>
      <c r="BB188" s="3091"/>
    </row>
    <row r="189" spans="1:54" ht="28.8">
      <c r="A189" s="2652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41" t="s">
        <v>1387</v>
      </c>
      <c r="H189" s="2636" t="s">
        <v>1388</v>
      </c>
      <c r="I189" s="2128" t="str">
        <f t="shared" ref="I189:I201" si="84">"6-DaHall 1-PDU-"&amp;M189&amp;"-"&amp;L189&amp;"-"&amp;N189</f>
        <v>6-DaHall 1-PDU-09-30-1</v>
      </c>
      <c r="J189" s="2129" t="str">
        <f t="shared" ref="J189:J201" si="85">"6-DaHall 1-PDU-"&amp;Q189&amp;"-"&amp;P189&amp;"-"&amp;R189</f>
        <v>6-DaHall 1-PDU-10-30-1</v>
      </c>
      <c r="K189" s="1463">
        <v>220</v>
      </c>
      <c r="L189" s="1464">
        <v>30</v>
      </c>
      <c r="M189" s="2435" t="s">
        <v>6584</v>
      </c>
      <c r="N189" s="1465">
        <v>1</v>
      </c>
      <c r="O189" s="1466">
        <v>220</v>
      </c>
      <c r="P189" s="1467">
        <v>30</v>
      </c>
      <c r="Q189" s="2441" t="s">
        <v>6585</v>
      </c>
      <c r="R189" s="1468">
        <v>1</v>
      </c>
      <c r="S189" s="3356" t="s">
        <v>1272</v>
      </c>
      <c r="T189" s="3336" t="s">
        <v>1273</v>
      </c>
      <c r="U189" s="3356" t="s">
        <v>1274</v>
      </c>
      <c r="V189" s="3336" t="s">
        <v>1275</v>
      </c>
      <c r="W189" s="3356" t="s">
        <v>1276</v>
      </c>
      <c r="X189" s="3336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52">
        <f t="shared" ref="AA189:AA190" si="86">SUM(Y189:Z189)</f>
        <v>0</v>
      </c>
      <c r="AB189" s="2715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36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29">
        <f t="shared" si="64"/>
        <v>0</v>
      </c>
      <c r="AE189" s="2821"/>
      <c r="AG189" s="2367">
        <f t="shared" si="72"/>
        <v>0</v>
      </c>
      <c r="AH189" s="2367">
        <f t="shared" si="73"/>
        <v>0</v>
      </c>
      <c r="AI189" s="123" t="str">
        <f t="shared" si="61"/>
        <v>무부하 랙</v>
      </c>
      <c r="AJ189" t="str">
        <f t="shared" si="62"/>
        <v/>
      </c>
      <c r="AK189" t="str">
        <f t="shared" si="63"/>
        <v/>
      </c>
      <c r="AP189" s="123"/>
      <c r="AQ189" s="123"/>
      <c r="AR189" s="123"/>
      <c r="AS189" s="3084"/>
      <c r="AT189" s="123"/>
      <c r="AU189" s="123"/>
      <c r="AV189" s="3085"/>
      <c r="AW189" s="3086"/>
      <c r="AX189" s="3087"/>
      <c r="AY189" s="3088"/>
      <c r="AZ189" s="3089"/>
      <c r="BA189" s="3090"/>
      <c r="BB189" s="3091"/>
    </row>
    <row r="190" spans="1:54" ht="28.8">
      <c r="A190" s="2652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41" t="s">
        <v>1393</v>
      </c>
      <c r="H190" s="2636" t="s">
        <v>1394</v>
      </c>
      <c r="I190" s="2128" t="str">
        <f t="shared" si="84"/>
        <v>6-DaHall 1-PDU-09-30-3</v>
      </c>
      <c r="J190" s="2129" t="str">
        <f t="shared" si="85"/>
        <v>6-DaHall 1-PDU-10-30-3</v>
      </c>
      <c r="K190" s="1463">
        <v>220</v>
      </c>
      <c r="L190" s="1464">
        <v>30</v>
      </c>
      <c r="M190" s="2435" t="s">
        <v>6584</v>
      </c>
      <c r="N190" s="1465">
        <v>3</v>
      </c>
      <c r="O190" s="1466">
        <v>220</v>
      </c>
      <c r="P190" s="1467">
        <v>30</v>
      </c>
      <c r="Q190" s="2441" t="s">
        <v>6585</v>
      </c>
      <c r="R190" s="1468">
        <v>3</v>
      </c>
      <c r="S190" s="3364"/>
      <c r="T190" s="3365"/>
      <c r="U190" s="3364"/>
      <c r="V190" s="3365"/>
      <c r="W190" s="3356"/>
      <c r="X190" s="3336"/>
      <c r="Y190" s="268">
        <f>SUM('6층_부하량(월간_AVG)'!D85:F85)</f>
        <v>0</v>
      </c>
      <c r="Z190" s="268">
        <f>SUM('6층_부하량(월간_AVG)'!D115:F115)</f>
        <v>0</v>
      </c>
      <c r="AA190" s="2452">
        <f t="shared" si="86"/>
        <v>0</v>
      </c>
      <c r="AB190" s="2715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36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29">
        <f t="shared" si="64"/>
        <v>0</v>
      </c>
      <c r="AE190" s="2821"/>
      <c r="AG190" s="2367">
        <f t="shared" si="72"/>
        <v>0</v>
      </c>
      <c r="AH190" s="2367">
        <f t="shared" si="73"/>
        <v>0</v>
      </c>
      <c r="AI190" s="123" t="str">
        <f t="shared" si="61"/>
        <v>무부하 랙</v>
      </c>
      <c r="AJ190" t="str">
        <f t="shared" si="62"/>
        <v/>
      </c>
      <c r="AK190" t="str">
        <f t="shared" si="63"/>
        <v/>
      </c>
      <c r="AP190" s="123"/>
      <c r="AQ190" s="123"/>
      <c r="AR190" s="123"/>
      <c r="AS190" s="3084"/>
      <c r="AT190" s="123"/>
      <c r="AU190" s="123"/>
      <c r="AV190" s="3085"/>
      <c r="AW190" s="3086"/>
      <c r="AX190" s="3087"/>
      <c r="AY190" s="3088"/>
      <c r="AZ190" s="3089"/>
      <c r="BA190" s="3090"/>
      <c r="BB190" s="3091"/>
    </row>
    <row r="191" spans="1:54" ht="28.8">
      <c r="A191" s="3330" t="s">
        <v>1395</v>
      </c>
      <c r="B191" s="3327" t="s">
        <v>1396</v>
      </c>
      <c r="C191" s="3327"/>
      <c r="D191" s="250"/>
      <c r="E191" s="250" t="s">
        <v>1397</v>
      </c>
      <c r="F191" s="250" t="s">
        <v>1398</v>
      </c>
      <c r="G191" s="2641" t="s">
        <v>1399</v>
      </c>
      <c r="H191" s="2636" t="s">
        <v>1400</v>
      </c>
      <c r="I191" s="2128" t="str">
        <f t="shared" si="84"/>
        <v>6-DaHall 1-PDU-09-30-5</v>
      </c>
      <c r="J191" s="2129" t="str">
        <f t="shared" si="85"/>
        <v>6-DaHall 1-PDU-10-30-5</v>
      </c>
      <c r="K191" s="1463">
        <v>220</v>
      </c>
      <c r="L191" s="1464">
        <v>30</v>
      </c>
      <c r="M191" s="2435" t="s">
        <v>6584</v>
      </c>
      <c r="N191" s="1465">
        <v>5</v>
      </c>
      <c r="O191" s="1466">
        <v>220</v>
      </c>
      <c r="P191" s="1467">
        <v>30</v>
      </c>
      <c r="Q191" s="2441" t="s">
        <v>6585</v>
      </c>
      <c r="R191" s="1468">
        <v>5</v>
      </c>
      <c r="S191" s="3364"/>
      <c r="T191" s="3365"/>
      <c r="U191" s="3364"/>
      <c r="V191" s="3365"/>
      <c r="W191" s="3356"/>
      <c r="X191" s="3336"/>
      <c r="Y191" s="268">
        <f>SUM('6층_부하량(월간_AVG)'!D86:F86)</f>
        <v>0</v>
      </c>
      <c r="Z191" s="268">
        <f>SUM('6층_부하량(월간_AVG)'!D116:F116)</f>
        <v>0</v>
      </c>
      <c r="AA191" s="3395">
        <f>SUM(Y191:Z193)</f>
        <v>0</v>
      </c>
      <c r="AB191" s="2715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36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37">
        <f t="shared" si="64"/>
        <v>0</v>
      </c>
      <c r="AE191" s="2821"/>
      <c r="AG191" s="2367">
        <f t="shared" si="72"/>
        <v>0</v>
      </c>
      <c r="AH191" s="2367">
        <f t="shared" si="73"/>
        <v>0</v>
      </c>
      <c r="AI191" s="123" t="str">
        <f t="shared" si="61"/>
        <v>무부하 랙</v>
      </c>
      <c r="AJ191" t="str">
        <f t="shared" si="62"/>
        <v/>
      </c>
      <c r="AK191" t="str">
        <f t="shared" si="63"/>
        <v/>
      </c>
      <c r="AP191" s="123"/>
      <c r="AQ191" s="123"/>
      <c r="AR191" s="123"/>
      <c r="AS191" s="3084"/>
      <c r="AT191" s="123"/>
      <c r="AU191" s="123"/>
      <c r="AV191" s="3085"/>
      <c r="AW191" s="3086"/>
      <c r="AX191" s="3087"/>
      <c r="AY191" s="3088"/>
      <c r="AZ191" s="3089"/>
      <c r="BA191" s="3090"/>
      <c r="BB191" s="3091"/>
    </row>
    <row r="192" spans="1:54" ht="26.25" customHeight="1">
      <c r="A192" s="3331"/>
      <c r="B192" s="3327"/>
      <c r="C192" s="3327"/>
      <c r="D192" s="250"/>
      <c r="E192" s="250" t="s">
        <v>1401</v>
      </c>
      <c r="F192" s="250" t="s">
        <v>1402</v>
      </c>
      <c r="G192" s="2641" t="s">
        <v>1403</v>
      </c>
      <c r="H192" s="2636" t="s">
        <v>1404</v>
      </c>
      <c r="I192" s="2128" t="str">
        <f t="shared" si="84"/>
        <v>6-DaHall 1-PDU-13-30-32</v>
      </c>
      <c r="J192" s="2129" t="str">
        <f t="shared" si="85"/>
        <v>6-DaHall 1-PDU-14-30-34</v>
      </c>
      <c r="K192" s="1463">
        <v>220</v>
      </c>
      <c r="L192" s="1464">
        <v>30</v>
      </c>
      <c r="M192" s="2435" t="s">
        <v>6542</v>
      </c>
      <c r="N192" s="1465">
        <v>32</v>
      </c>
      <c r="O192" s="1469">
        <v>220</v>
      </c>
      <c r="P192" s="1470">
        <v>30</v>
      </c>
      <c r="Q192" s="2441" t="s">
        <v>6549</v>
      </c>
      <c r="R192" s="1468">
        <v>34</v>
      </c>
      <c r="S192" s="3356" t="s">
        <v>1405</v>
      </c>
      <c r="T192" s="3336" t="s">
        <v>1406</v>
      </c>
      <c r="U192" s="3356" t="s">
        <v>1407</v>
      </c>
      <c r="V192" s="3336" t="s">
        <v>1408</v>
      </c>
      <c r="W192" s="3356"/>
      <c r="X192" s="3336"/>
      <c r="Y192" s="268">
        <f>SUM('6층_부하량(월간_AVG)'!L35:N35)</f>
        <v>0</v>
      </c>
      <c r="Z192" s="268">
        <f>SUM('6층_부하량(월간_AVG)'!L68:N68)</f>
        <v>0</v>
      </c>
      <c r="AA192" s="3395"/>
      <c r="AB192" s="2715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36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37">
        <f t="shared" si="64"/>
        <v>0</v>
      </c>
      <c r="AE192" s="2821"/>
      <c r="AG192" s="2367">
        <f t="shared" si="72"/>
        <v>0</v>
      </c>
      <c r="AH192" s="2367">
        <f t="shared" si="73"/>
        <v>0</v>
      </c>
      <c r="AI192" s="123" t="str">
        <f t="shared" si="61"/>
        <v>무부하 랙</v>
      </c>
      <c r="AJ192" t="str">
        <f t="shared" si="62"/>
        <v/>
      </c>
      <c r="AK192" t="str">
        <f t="shared" si="63"/>
        <v/>
      </c>
      <c r="AP192" s="123"/>
      <c r="AQ192" s="123"/>
      <c r="AR192" s="123"/>
      <c r="AS192" s="3084"/>
      <c r="AT192" s="123"/>
      <c r="AU192" s="123"/>
      <c r="AV192" s="3085"/>
      <c r="AW192" s="3086"/>
      <c r="AX192" s="3087"/>
      <c r="AY192" s="3088"/>
      <c r="AZ192" s="3089"/>
      <c r="BA192" s="3090"/>
      <c r="BB192" s="3091"/>
    </row>
    <row r="193" spans="1:54" ht="26.25" customHeight="1">
      <c r="A193" s="3332"/>
      <c r="B193" s="3327"/>
      <c r="C193" s="3327"/>
      <c r="D193" s="250"/>
      <c r="E193" s="250" t="s">
        <v>1409</v>
      </c>
      <c r="F193" s="250" t="s">
        <v>1410</v>
      </c>
      <c r="G193" s="2641" t="s">
        <v>1411</v>
      </c>
      <c r="H193" s="2636" t="s">
        <v>1412</v>
      </c>
      <c r="I193" s="2128" t="str">
        <f t="shared" si="84"/>
        <v>6-DaHall 1-PDU-13-30-30</v>
      </c>
      <c r="J193" s="2129" t="str">
        <f t="shared" si="85"/>
        <v>6-DaHall 1-PDU-14-30-30</v>
      </c>
      <c r="K193" s="1463">
        <v>220</v>
      </c>
      <c r="L193" s="1464">
        <v>30</v>
      </c>
      <c r="M193" s="2435" t="s">
        <v>6542</v>
      </c>
      <c r="N193" s="1465">
        <v>30</v>
      </c>
      <c r="O193" s="1466">
        <v>220</v>
      </c>
      <c r="P193" s="1467">
        <v>30</v>
      </c>
      <c r="Q193" s="2441" t="s">
        <v>6549</v>
      </c>
      <c r="R193" s="1468">
        <v>30</v>
      </c>
      <c r="S193" s="3364"/>
      <c r="T193" s="3365"/>
      <c r="U193" s="3364"/>
      <c r="V193" s="3365"/>
      <c r="W193" s="3356"/>
      <c r="X193" s="3336"/>
      <c r="Y193" s="268">
        <f>SUM('6층_부하량(월간_AVG)'!L34:N34)</f>
        <v>0</v>
      </c>
      <c r="Z193" s="268">
        <f>SUM('6층_부하량(월간_AVG)'!L66:M66)</f>
        <v>0</v>
      </c>
      <c r="AA193" s="3395"/>
      <c r="AB193" s="2715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36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37">
        <f t="shared" si="64"/>
        <v>0</v>
      </c>
      <c r="AE193" s="2821"/>
      <c r="AG193" s="2367">
        <f t="shared" si="72"/>
        <v>0</v>
      </c>
      <c r="AH193" s="2367">
        <f t="shared" si="73"/>
        <v>0</v>
      </c>
      <c r="AI193" s="123" t="str">
        <f t="shared" si="61"/>
        <v>무부하 랙</v>
      </c>
      <c r="AJ193" t="str">
        <f t="shared" si="62"/>
        <v/>
      </c>
      <c r="AK193" t="str">
        <f t="shared" si="63"/>
        <v/>
      </c>
      <c r="AP193" s="123"/>
      <c r="AQ193" s="123"/>
      <c r="AR193" s="123"/>
      <c r="AS193" s="3084"/>
      <c r="AT193" s="123"/>
      <c r="AU193" s="123"/>
      <c r="AV193" s="3085"/>
      <c r="AW193" s="3086"/>
      <c r="AX193" s="3087"/>
      <c r="AY193" s="3088"/>
      <c r="AZ193" s="3089"/>
      <c r="BA193" s="3090"/>
      <c r="BB193" s="3091"/>
    </row>
    <row r="194" spans="1:54" ht="54" customHeight="1">
      <c r="A194" s="3325" t="s">
        <v>316</v>
      </c>
      <c r="B194" s="3327" t="s">
        <v>1413</v>
      </c>
      <c r="C194" s="3327"/>
      <c r="D194" s="250"/>
      <c r="E194" s="250" t="s">
        <v>1414</v>
      </c>
      <c r="F194" s="250" t="s">
        <v>1415</v>
      </c>
      <c r="G194" s="2641" t="s">
        <v>1416</v>
      </c>
      <c r="H194" s="2636" t="s">
        <v>1417</v>
      </c>
      <c r="I194" s="2128" t="str">
        <f t="shared" si="84"/>
        <v>6-DaHall 1-PDU-09-30-7</v>
      </c>
      <c r="J194" s="2129" t="str">
        <f t="shared" si="85"/>
        <v>6-DaHall 1-PDU-10-30-7</v>
      </c>
      <c r="K194" s="1463">
        <v>220</v>
      </c>
      <c r="L194" s="1464">
        <v>30</v>
      </c>
      <c r="M194" s="2435" t="s">
        <v>6584</v>
      </c>
      <c r="N194" s="1465">
        <v>7</v>
      </c>
      <c r="O194" s="1466">
        <v>220</v>
      </c>
      <c r="P194" s="1467">
        <v>30</v>
      </c>
      <c r="Q194" s="2441" t="s">
        <v>6585</v>
      </c>
      <c r="R194" s="1468">
        <v>7</v>
      </c>
      <c r="S194" s="2641" t="s">
        <v>1272</v>
      </c>
      <c r="T194" s="2636" t="s">
        <v>1273</v>
      </c>
      <c r="U194" s="2641" t="s">
        <v>1274</v>
      </c>
      <c r="V194" s="2636" t="s">
        <v>1275</v>
      </c>
      <c r="W194" s="3356"/>
      <c r="X194" s="3336"/>
      <c r="Y194" s="268">
        <f>SUM('6층_부하량(월간_AVG)'!D87:F87)</f>
        <v>0</v>
      </c>
      <c r="Z194" s="268">
        <f>SUM('6층_부하량(월간_AVG)'!D117:F117)</f>
        <v>0</v>
      </c>
      <c r="AA194" s="3395">
        <f>SUM(Y194:Z196)</f>
        <v>0</v>
      </c>
      <c r="AB194" s="2715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36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405">
        <f>SUM(AB194:AC196)</f>
        <v>0</v>
      </c>
      <c r="AE194" s="2821"/>
      <c r="AG194" s="2367">
        <f t="shared" si="72"/>
        <v>0</v>
      </c>
      <c r="AH194" s="2367">
        <f t="shared" si="73"/>
        <v>0</v>
      </c>
      <c r="AI194" s="123" t="str">
        <f t="shared" si="61"/>
        <v>무부하 랙</v>
      </c>
      <c r="AJ194" t="str">
        <f t="shared" si="62"/>
        <v/>
      </c>
      <c r="AK194" t="str">
        <f t="shared" si="63"/>
        <v/>
      </c>
      <c r="AP194" s="123"/>
      <c r="AQ194" s="123"/>
      <c r="AR194" s="123"/>
      <c r="AS194" s="3084"/>
      <c r="AT194" s="123"/>
      <c r="AU194" s="123"/>
      <c r="AV194" s="3085"/>
      <c r="AW194" s="3086"/>
      <c r="AX194" s="3087"/>
      <c r="AY194" s="3088"/>
      <c r="AZ194" s="3089"/>
      <c r="BA194" s="3090"/>
      <c r="BB194" s="3091"/>
    </row>
    <row r="195" spans="1:54" ht="27" customHeight="1">
      <c r="A195" s="3325"/>
      <c r="B195" s="3327"/>
      <c r="C195" s="3327"/>
      <c r="D195" s="250"/>
      <c r="E195" s="250" t="s">
        <v>1418</v>
      </c>
      <c r="F195" s="250" t="s">
        <v>1419</v>
      </c>
      <c r="G195" s="2641" t="s">
        <v>1420</v>
      </c>
      <c r="H195" s="2636" t="s">
        <v>1421</v>
      </c>
      <c r="I195" s="2128" t="str">
        <f t="shared" si="84"/>
        <v>6-DaHall 1-PDU-13-30-34</v>
      </c>
      <c r="J195" s="2129" t="str">
        <f t="shared" si="85"/>
        <v>6-DaHall 1-PDU-14-30-32</v>
      </c>
      <c r="K195" s="1463">
        <v>220</v>
      </c>
      <c r="L195" s="1464">
        <v>30</v>
      </c>
      <c r="M195" s="2435" t="s">
        <v>6542</v>
      </c>
      <c r="N195" s="1465">
        <v>34</v>
      </c>
      <c r="O195" s="1466">
        <v>220</v>
      </c>
      <c r="P195" s="1467">
        <v>30</v>
      </c>
      <c r="Q195" s="2441" t="s">
        <v>6549</v>
      </c>
      <c r="R195" s="1468">
        <v>32</v>
      </c>
      <c r="S195" s="3356" t="s">
        <v>1405</v>
      </c>
      <c r="T195" s="3336" t="s">
        <v>1406</v>
      </c>
      <c r="U195" s="3356" t="s">
        <v>1407</v>
      </c>
      <c r="V195" s="3336" t="s">
        <v>1408</v>
      </c>
      <c r="W195" s="3356"/>
      <c r="X195" s="3336"/>
      <c r="Y195" s="268">
        <f>SUM('6층_부하량(월간_AVG)'!L36:N36)</f>
        <v>0</v>
      </c>
      <c r="Z195" s="268">
        <f>SUM('6층_부하량(월간_AVG)'!L67:N67)</f>
        <v>0</v>
      </c>
      <c r="AA195" s="3395"/>
      <c r="AB195" s="2838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36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406"/>
      <c r="AE195" s="2821"/>
      <c r="AG195" s="2367">
        <f t="shared" si="72"/>
        <v>0</v>
      </c>
      <c r="AH195" s="2367">
        <f t="shared" si="73"/>
        <v>0</v>
      </c>
      <c r="AI195" s="123" t="str">
        <f t="shared" si="61"/>
        <v>무부하 랙</v>
      </c>
      <c r="AJ195" t="str">
        <f t="shared" si="62"/>
        <v/>
      </c>
      <c r="AK195" t="str">
        <f t="shared" si="63"/>
        <v/>
      </c>
      <c r="AP195" s="123"/>
      <c r="AQ195" s="123"/>
      <c r="AR195" s="123"/>
      <c r="AS195" s="3084"/>
      <c r="AT195" s="123"/>
      <c r="AU195" s="123"/>
      <c r="AV195" s="3085"/>
      <c r="AW195" s="3086"/>
      <c r="AX195" s="3087"/>
      <c r="AY195" s="3088"/>
      <c r="AZ195" s="3089"/>
      <c r="BA195" s="3090"/>
      <c r="BB195" s="3091"/>
    </row>
    <row r="196" spans="1:54" ht="27" customHeight="1">
      <c r="A196" s="3325"/>
      <c r="B196" s="3327"/>
      <c r="C196" s="3327"/>
      <c r="D196" s="250"/>
      <c r="E196" s="250" t="s">
        <v>1422</v>
      </c>
      <c r="F196" s="250" t="s">
        <v>1423</v>
      </c>
      <c r="G196" s="2641" t="s">
        <v>1424</v>
      </c>
      <c r="H196" s="2636" t="s">
        <v>1425</v>
      </c>
      <c r="I196" s="2128" t="str">
        <f t="shared" si="84"/>
        <v>6-DaHall 1-PDU-13-30-28</v>
      </c>
      <c r="J196" s="2129" t="str">
        <f t="shared" si="85"/>
        <v>6-DaHall 1-PDU-14-30-28</v>
      </c>
      <c r="K196" s="1463">
        <v>220</v>
      </c>
      <c r="L196" s="1464">
        <v>30</v>
      </c>
      <c r="M196" s="2435" t="s">
        <v>6542</v>
      </c>
      <c r="N196" s="1465">
        <v>28</v>
      </c>
      <c r="O196" s="1466">
        <v>220</v>
      </c>
      <c r="P196" s="1467">
        <v>30</v>
      </c>
      <c r="Q196" s="2441" t="s">
        <v>6549</v>
      </c>
      <c r="R196" s="1468">
        <v>28</v>
      </c>
      <c r="S196" s="3364"/>
      <c r="T196" s="3365"/>
      <c r="U196" s="3364"/>
      <c r="V196" s="3365"/>
      <c r="W196" s="3356"/>
      <c r="X196" s="3336"/>
      <c r="Y196" s="268">
        <f>SUM('6층_부하량(월간_AVG)'!L33:N33)</f>
        <v>0</v>
      </c>
      <c r="Z196" s="268">
        <f>SUM('6층_부하량(월간_AVG)'!L65:N65)</f>
        <v>0</v>
      </c>
      <c r="AA196" s="3395"/>
      <c r="AB196" s="2839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36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407"/>
      <c r="AE196" s="2821"/>
      <c r="AG196" s="2367">
        <f t="shared" si="72"/>
        <v>0</v>
      </c>
      <c r="AH196" s="2367">
        <f t="shared" si="73"/>
        <v>0</v>
      </c>
      <c r="AI196" s="123" t="str">
        <f t="shared" si="61"/>
        <v>무부하 랙</v>
      </c>
      <c r="AJ196" t="str">
        <f t="shared" si="62"/>
        <v/>
      </c>
      <c r="AK196" t="str">
        <f t="shared" si="63"/>
        <v/>
      </c>
      <c r="AP196" s="123"/>
      <c r="AQ196" s="123"/>
      <c r="AR196" s="123"/>
      <c r="AS196" s="3084"/>
      <c r="AT196" s="123"/>
      <c r="AU196" s="123"/>
      <c r="AV196" s="3085"/>
      <c r="AW196" s="3086"/>
      <c r="AX196" s="3087"/>
      <c r="AY196" s="3088"/>
      <c r="AZ196" s="3089"/>
      <c r="BA196" s="3090"/>
      <c r="BB196" s="3091"/>
    </row>
    <row r="197" spans="1:54" ht="28.8">
      <c r="A197" s="2652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41" t="s">
        <v>1429</v>
      </c>
      <c r="H197" s="2636" t="s">
        <v>1430</v>
      </c>
      <c r="I197" s="2128" t="str">
        <f t="shared" si="84"/>
        <v>6-DaHall 1-PDU-09-30-9</v>
      </c>
      <c r="J197" s="2129" t="str">
        <f t="shared" si="85"/>
        <v>6-DaHall 1-PDU-10-30-9</v>
      </c>
      <c r="K197" s="1463">
        <v>220</v>
      </c>
      <c r="L197" s="1464">
        <v>30</v>
      </c>
      <c r="M197" s="2435" t="s">
        <v>6584</v>
      </c>
      <c r="N197" s="1465">
        <v>9</v>
      </c>
      <c r="O197" s="1466">
        <v>220</v>
      </c>
      <c r="P197" s="1467">
        <v>30</v>
      </c>
      <c r="Q197" s="2441" t="s">
        <v>6585</v>
      </c>
      <c r="R197" s="1468">
        <v>9</v>
      </c>
      <c r="S197" s="3356" t="s">
        <v>1272</v>
      </c>
      <c r="T197" s="3336" t="s">
        <v>1273</v>
      </c>
      <c r="U197" s="3356" t="s">
        <v>1274</v>
      </c>
      <c r="V197" s="3336" t="s">
        <v>1275</v>
      </c>
      <c r="W197" s="3356"/>
      <c r="X197" s="3336"/>
      <c r="Y197" s="268">
        <f>SUM('6층_부하량(월간_AVG)'!D88:F88)</f>
        <v>0</v>
      </c>
      <c r="Z197" s="268">
        <f>SUM('6층_부하량(월간_AVG)'!D118:F118)</f>
        <v>0</v>
      </c>
      <c r="AA197" s="2452">
        <f t="shared" ref="AA197:AA201" si="87">SUM(Y197:Z197)</f>
        <v>0</v>
      </c>
      <c r="AB197" s="2715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36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29">
        <f>SUM(AB197:AC197)</f>
        <v>0</v>
      </c>
      <c r="AE197" s="2475" t="s">
        <v>1431</v>
      </c>
      <c r="AG197" s="2367">
        <f t="shared" si="72"/>
        <v>0</v>
      </c>
      <c r="AH197" s="2367">
        <f t="shared" si="73"/>
        <v>0</v>
      </c>
      <c r="AI197" s="123" t="str">
        <f t="shared" ref="AI197:AI250" si="88">IF(SIGN(AH197)&gt;=0,IF(AD197=0,"무부하 랙","적정함"),"사용초과")</f>
        <v>무부하 랙</v>
      </c>
      <c r="AJ197" t="str">
        <f t="shared" si="62"/>
        <v/>
      </c>
      <c r="AK197" t="str">
        <f t="shared" si="63"/>
        <v/>
      </c>
      <c r="AP197" s="123"/>
      <c r="AQ197" s="123"/>
      <c r="AR197" s="123"/>
      <c r="AS197" s="3084"/>
      <c r="AT197" s="123"/>
      <c r="AU197" s="123"/>
      <c r="AV197" s="3085"/>
      <c r="AW197" s="3086"/>
      <c r="AX197" s="3087"/>
      <c r="AY197" s="3088"/>
      <c r="AZ197" s="3089"/>
      <c r="BA197" s="3090"/>
      <c r="BB197" s="3091"/>
    </row>
    <row r="198" spans="1:54" ht="27.75" customHeight="1">
      <c r="A198" s="2652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41" t="s">
        <v>1436</v>
      </c>
      <c r="H198" s="2636" t="s">
        <v>1437</v>
      </c>
      <c r="I198" s="2128" t="str">
        <f t="shared" si="84"/>
        <v>6-DaHall 1-PDU-09-30-11</v>
      </c>
      <c r="J198" s="2129" t="str">
        <f t="shared" si="85"/>
        <v>6-DaHall 1-PDU-10-30-11</v>
      </c>
      <c r="K198" s="1463">
        <v>220</v>
      </c>
      <c r="L198" s="1464">
        <v>30</v>
      </c>
      <c r="M198" s="2435" t="s">
        <v>6584</v>
      </c>
      <c r="N198" s="1465">
        <v>11</v>
      </c>
      <c r="O198" s="1466">
        <v>220</v>
      </c>
      <c r="P198" s="1467">
        <v>30</v>
      </c>
      <c r="Q198" s="2441" t="s">
        <v>6585</v>
      </c>
      <c r="R198" s="1468">
        <v>11</v>
      </c>
      <c r="S198" s="3364"/>
      <c r="T198" s="3365"/>
      <c r="U198" s="3364"/>
      <c r="V198" s="3336"/>
      <c r="W198" s="3356"/>
      <c r="X198" s="3336"/>
      <c r="Y198" s="268">
        <f>SUM('6층_부하량(월간_AVG)'!D89:F89)</f>
        <v>0</v>
      </c>
      <c r="Z198" s="268">
        <f>SUM('6층_부하량(월간_AVG)'!D119:F119)</f>
        <v>0</v>
      </c>
      <c r="AA198" s="2452">
        <f t="shared" si="87"/>
        <v>0</v>
      </c>
      <c r="AB198" s="2715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36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29">
        <f>SUM(AB198:AC198)</f>
        <v>0</v>
      </c>
      <c r="AE198" s="2821"/>
      <c r="AG198" s="2367">
        <f t="shared" si="72"/>
        <v>0</v>
      </c>
      <c r="AH198" s="2367">
        <f t="shared" si="73"/>
        <v>0</v>
      </c>
      <c r="AI198" s="123" t="str">
        <f t="shared" si="88"/>
        <v>무부하 랙</v>
      </c>
      <c r="AJ198" t="str">
        <f t="shared" ref="AJ198:AJ250" si="89">IF(AI198="사용초과",C198,"")</f>
        <v/>
      </c>
      <c r="AK198" t="str">
        <f t="shared" ref="AK198:AK250" si="90">IF(AJ198="","",A198)</f>
        <v/>
      </c>
      <c r="AP198" s="123"/>
      <c r="AQ198" s="123"/>
      <c r="AR198" s="123"/>
      <c r="AS198" s="3084"/>
      <c r="AT198" s="123"/>
      <c r="AU198" s="123"/>
      <c r="AV198" s="3085"/>
      <c r="AW198" s="3086"/>
      <c r="AX198" s="3087"/>
      <c r="AY198" s="3088"/>
      <c r="AZ198" s="3089"/>
      <c r="BA198" s="3090"/>
      <c r="BB198" s="3091"/>
    </row>
    <row r="199" spans="1:54" ht="27.75" customHeight="1">
      <c r="A199" s="2652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41" t="s">
        <v>1442</v>
      </c>
      <c r="H199" s="2636" t="s">
        <v>1443</v>
      </c>
      <c r="I199" s="2128" t="str">
        <f t="shared" si="84"/>
        <v>6-DaHall 1-PDU-09-30-13</v>
      </c>
      <c r="J199" s="2129" t="str">
        <f t="shared" si="85"/>
        <v>6-DaHall 1-PDU-10-30-13</v>
      </c>
      <c r="K199" s="1463">
        <v>220</v>
      </c>
      <c r="L199" s="1464">
        <v>30</v>
      </c>
      <c r="M199" s="2435" t="s">
        <v>6584</v>
      </c>
      <c r="N199" s="1465">
        <v>13</v>
      </c>
      <c r="O199" s="1466">
        <v>220</v>
      </c>
      <c r="P199" s="1467">
        <v>30</v>
      </c>
      <c r="Q199" s="2441" t="s">
        <v>6585</v>
      </c>
      <c r="R199" s="1468">
        <v>13</v>
      </c>
      <c r="S199" s="3364"/>
      <c r="T199" s="3365"/>
      <c r="U199" s="3364"/>
      <c r="V199" s="3336"/>
      <c r="W199" s="3356"/>
      <c r="X199" s="3336"/>
      <c r="Y199" s="268">
        <f>SUM('6층_부하량(월간_AVG)'!D90:F90)</f>
        <v>0</v>
      </c>
      <c r="Z199" s="268">
        <f>SUM('6층_부하량(월간_AVG)'!D120:F120)</f>
        <v>0</v>
      </c>
      <c r="AA199" s="2452">
        <f t="shared" si="87"/>
        <v>0</v>
      </c>
      <c r="AB199" s="2715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36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29">
        <f>SUM(AB199:AC199)</f>
        <v>0</v>
      </c>
      <c r="AE199" s="2821"/>
      <c r="AG199" s="2367">
        <f t="shared" si="72"/>
        <v>0</v>
      </c>
      <c r="AH199" s="2367">
        <f t="shared" si="73"/>
        <v>0</v>
      </c>
      <c r="AI199" s="123" t="str">
        <f t="shared" si="88"/>
        <v>무부하 랙</v>
      </c>
      <c r="AJ199" t="str">
        <f t="shared" si="89"/>
        <v/>
      </c>
      <c r="AK199" t="str">
        <f t="shared" si="90"/>
        <v/>
      </c>
      <c r="AP199" s="123"/>
      <c r="AQ199" s="123"/>
      <c r="AR199" s="123"/>
      <c r="AS199" s="3084"/>
      <c r="AT199" s="123"/>
      <c r="AU199" s="123"/>
      <c r="AV199" s="3085"/>
      <c r="AW199" s="3086"/>
      <c r="AX199" s="3087"/>
      <c r="AY199" s="3088"/>
      <c r="AZ199" s="3089"/>
      <c r="BA199" s="3090"/>
      <c r="BB199" s="3091"/>
    </row>
    <row r="200" spans="1:54" ht="27.75" customHeight="1">
      <c r="A200" s="2652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41" t="s">
        <v>1448</v>
      </c>
      <c r="H200" s="2636" t="s">
        <v>1449</v>
      </c>
      <c r="I200" s="2128" t="str">
        <f t="shared" si="84"/>
        <v>6-DaHall 1-PDU-09-30-15</v>
      </c>
      <c r="J200" s="2129" t="str">
        <f t="shared" si="85"/>
        <v>6-DaHall 1-PDU-10-30-15</v>
      </c>
      <c r="K200" s="1463">
        <v>220</v>
      </c>
      <c r="L200" s="1464">
        <v>30</v>
      </c>
      <c r="M200" s="2435" t="s">
        <v>6584</v>
      </c>
      <c r="N200" s="1465">
        <v>15</v>
      </c>
      <c r="O200" s="1466">
        <v>220</v>
      </c>
      <c r="P200" s="1467">
        <v>30</v>
      </c>
      <c r="Q200" s="2441" t="s">
        <v>6585</v>
      </c>
      <c r="R200" s="1468">
        <v>15</v>
      </c>
      <c r="S200" s="3364"/>
      <c r="T200" s="3365"/>
      <c r="U200" s="3364"/>
      <c r="V200" s="3336"/>
      <c r="W200" s="3356"/>
      <c r="X200" s="3336"/>
      <c r="Y200" s="268">
        <f>SUM('6층_부하량(월간_AVG)'!D91:F91)</f>
        <v>0</v>
      </c>
      <c r="Z200" s="268">
        <f>SUM('6층_부하량(월간_AVG)'!D121:F121)</f>
        <v>0</v>
      </c>
      <c r="AA200" s="2452">
        <f t="shared" si="87"/>
        <v>0</v>
      </c>
      <c r="AB200" s="2715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36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29">
        <f>SUM(AB200:AC200)</f>
        <v>0</v>
      </c>
      <c r="AE200" s="2821"/>
      <c r="AG200" s="2367">
        <f t="shared" si="72"/>
        <v>0</v>
      </c>
      <c r="AH200" s="2367">
        <f t="shared" si="73"/>
        <v>0</v>
      </c>
      <c r="AI200" s="123" t="str">
        <f t="shared" si="88"/>
        <v>무부하 랙</v>
      </c>
      <c r="AJ200" t="str">
        <f t="shared" si="89"/>
        <v/>
      </c>
      <c r="AK200" t="str">
        <f t="shared" si="90"/>
        <v/>
      </c>
      <c r="AP200" s="123"/>
      <c r="AQ200" s="123"/>
      <c r="AR200" s="123"/>
      <c r="AS200" s="3084"/>
      <c r="AT200" s="123"/>
      <c r="AU200" s="123"/>
      <c r="AV200" s="3085"/>
      <c r="AW200" s="3086"/>
      <c r="AX200" s="3087"/>
      <c r="AY200" s="3088"/>
      <c r="AZ200" s="3089"/>
      <c r="BA200" s="3090"/>
      <c r="BB200" s="3091"/>
    </row>
    <row r="201" spans="1:54" ht="27.75" customHeight="1" thickBot="1">
      <c r="A201" s="2660" t="s">
        <v>1450</v>
      </c>
      <c r="B201" s="2661" t="s">
        <v>1451</v>
      </c>
      <c r="C201" s="2661"/>
      <c r="D201" s="2661"/>
      <c r="E201" s="2661" t="s">
        <v>1452</v>
      </c>
      <c r="F201" s="2661" t="s">
        <v>1453</v>
      </c>
      <c r="G201" s="2643" t="s">
        <v>1454</v>
      </c>
      <c r="H201" s="2637" t="s">
        <v>1455</v>
      </c>
      <c r="I201" s="2128" t="str">
        <f t="shared" si="84"/>
        <v>6-DaHall 1-PDU-09-30-17</v>
      </c>
      <c r="J201" s="2129" t="str">
        <f t="shared" si="85"/>
        <v>6-DaHall 1-PDU-10-30-17</v>
      </c>
      <c r="K201" s="1471">
        <v>220</v>
      </c>
      <c r="L201" s="1472">
        <v>30</v>
      </c>
      <c r="M201" s="2438" t="s">
        <v>6584</v>
      </c>
      <c r="N201" s="1473">
        <v>17</v>
      </c>
      <c r="O201" s="1474">
        <v>220</v>
      </c>
      <c r="P201" s="1475">
        <v>30</v>
      </c>
      <c r="Q201" s="2444" t="s">
        <v>6585</v>
      </c>
      <c r="R201" s="1476">
        <v>17</v>
      </c>
      <c r="S201" s="3372"/>
      <c r="T201" s="3371"/>
      <c r="U201" s="3372"/>
      <c r="V201" s="3358"/>
      <c r="W201" s="3357"/>
      <c r="X201" s="3358"/>
      <c r="Y201" s="330">
        <f>SUM('6층_부하량(월간_AVG)'!D92:F92)</f>
        <v>0</v>
      </c>
      <c r="Z201" s="330">
        <f>SUM('6층_부하량(월간_AVG)'!D122:F122)</f>
        <v>0</v>
      </c>
      <c r="AA201" s="2453">
        <f t="shared" si="87"/>
        <v>0</v>
      </c>
      <c r="AB201" s="2715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33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34">
        <f>SUM(AB201:AC201)</f>
        <v>0</v>
      </c>
      <c r="AE201" s="2823"/>
      <c r="AG201" s="2367">
        <f t="shared" si="72"/>
        <v>0</v>
      </c>
      <c r="AH201" s="2367">
        <f t="shared" si="73"/>
        <v>0</v>
      </c>
      <c r="AI201" s="123" t="str">
        <f t="shared" si="88"/>
        <v>무부하 랙</v>
      </c>
      <c r="AJ201" t="str">
        <f t="shared" si="89"/>
        <v/>
      </c>
      <c r="AK201" t="str">
        <f t="shared" si="90"/>
        <v/>
      </c>
      <c r="AP201" s="123"/>
      <c r="AQ201" s="123"/>
      <c r="AR201" s="123"/>
      <c r="AS201" s="3084"/>
      <c r="AT201" s="123"/>
      <c r="AU201" s="123"/>
      <c r="AV201" s="3085"/>
      <c r="AW201" s="3086"/>
      <c r="AX201" s="3087"/>
      <c r="AY201" s="3088"/>
      <c r="AZ201" s="3089"/>
      <c r="BA201" s="3090"/>
      <c r="BB201" s="3091"/>
    </row>
    <row r="202" spans="1:54" ht="15" thickTop="1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55"/>
      <c r="AB202" s="2826"/>
      <c r="AC202" s="2827"/>
      <c r="AD202" s="2835">
        <f t="shared" ref="AD202:AD211" si="91">SUM(AB202:AC202)</f>
        <v>0</v>
      </c>
      <c r="AE202" s="2828" t="s">
        <v>1265</v>
      </c>
      <c r="AG202" s="2367">
        <f t="shared" si="72"/>
        <v>0</v>
      </c>
      <c r="AH202" s="2367">
        <f t="shared" si="73"/>
        <v>0</v>
      </c>
      <c r="AI202" s="123" t="str">
        <f t="shared" si="88"/>
        <v>무부하 랙</v>
      </c>
      <c r="AJ202" t="str">
        <f t="shared" si="89"/>
        <v/>
      </c>
      <c r="AK202" t="str">
        <f t="shared" si="90"/>
        <v/>
      </c>
      <c r="AP202" s="123"/>
      <c r="AQ202" s="123"/>
      <c r="AR202" s="123"/>
      <c r="AS202" s="3084"/>
      <c r="AT202" s="123"/>
      <c r="AU202" s="123"/>
      <c r="AV202" s="3085"/>
      <c r="AW202" s="3086"/>
      <c r="AX202" s="3087"/>
      <c r="AY202" s="3088"/>
      <c r="AZ202" s="3089"/>
      <c r="BA202" s="3090"/>
      <c r="BB202" s="3091"/>
    </row>
    <row r="203" spans="1:54" ht="27.75" customHeight="1">
      <c r="A203" s="2652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41" t="s">
        <v>1330</v>
      </c>
      <c r="H203" s="2636" t="s">
        <v>1331</v>
      </c>
      <c r="I203" s="2128" t="str">
        <f t="shared" ref="I203:I211" si="92">"6-DaHall 1-PDU-"&amp;M203&amp;"-"&amp;L203&amp;"-"&amp;N203</f>
        <v>6-DaHall 1-PDU-09-30-2</v>
      </c>
      <c r="J203" s="2129" t="str">
        <f t="shared" ref="J203:J211" si="93">"6-DaHall 1-PDU-"&amp;Q203&amp;"-"&amp;P203&amp;"-"&amp;R203</f>
        <v>6-DaHall 1-PDU-10-30-2</v>
      </c>
      <c r="K203" s="1463">
        <v>220</v>
      </c>
      <c r="L203" s="1464">
        <v>30</v>
      </c>
      <c r="M203" s="2435" t="s">
        <v>6584</v>
      </c>
      <c r="N203" s="1465">
        <v>2</v>
      </c>
      <c r="O203" s="1466">
        <v>220</v>
      </c>
      <c r="P203" s="1467">
        <v>30</v>
      </c>
      <c r="Q203" s="2441" t="s">
        <v>6585</v>
      </c>
      <c r="R203" s="1468">
        <v>2</v>
      </c>
      <c r="S203" s="3356" t="s">
        <v>1272</v>
      </c>
      <c r="T203" s="3336" t="s">
        <v>1273</v>
      </c>
      <c r="U203" s="3356" t="s">
        <v>1274</v>
      </c>
      <c r="V203" s="3336" t="s">
        <v>1275</v>
      </c>
      <c r="W203" s="3356" t="s">
        <v>1276</v>
      </c>
      <c r="X203" s="3336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52">
        <f t="shared" ref="AA203:AA211" si="94">SUM(Y203:Z203)</f>
        <v>0</v>
      </c>
      <c r="AB203" s="2715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36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29">
        <f t="shared" si="91"/>
        <v>0</v>
      </c>
      <c r="AE203" s="2821"/>
      <c r="AG203" s="2367">
        <f t="shared" si="72"/>
        <v>0</v>
      </c>
      <c r="AH203" s="2367">
        <f t="shared" si="73"/>
        <v>0</v>
      </c>
      <c r="AI203" s="123" t="str">
        <f t="shared" si="88"/>
        <v>무부하 랙</v>
      </c>
      <c r="AJ203" t="str">
        <f t="shared" si="89"/>
        <v/>
      </c>
      <c r="AK203" t="str">
        <f t="shared" si="90"/>
        <v/>
      </c>
      <c r="AP203" s="123"/>
      <c r="AQ203" s="123"/>
      <c r="AR203" s="123"/>
      <c r="AS203" s="3084"/>
      <c r="AT203" s="123"/>
      <c r="AU203" s="123"/>
      <c r="AV203" s="3085"/>
      <c r="AW203" s="3086"/>
      <c r="AX203" s="3087"/>
      <c r="AY203" s="3088"/>
      <c r="AZ203" s="3089"/>
      <c r="BA203" s="3090"/>
      <c r="BB203" s="3091"/>
    </row>
    <row r="204" spans="1:54" ht="27.75" customHeight="1">
      <c r="A204" s="2652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41" t="s">
        <v>1336</v>
      </c>
      <c r="H204" s="2636" t="s">
        <v>1337</v>
      </c>
      <c r="I204" s="2128" t="str">
        <f t="shared" si="92"/>
        <v>6-DaHall 1-PDU-09-30-4</v>
      </c>
      <c r="J204" s="2129" t="str">
        <f t="shared" si="93"/>
        <v>6-DaHall 1-PDU-10-30-4</v>
      </c>
      <c r="K204" s="1463">
        <v>220</v>
      </c>
      <c r="L204" s="1464">
        <v>30</v>
      </c>
      <c r="M204" s="2435" t="s">
        <v>6584</v>
      </c>
      <c r="N204" s="1465">
        <v>4</v>
      </c>
      <c r="O204" s="1466">
        <v>220</v>
      </c>
      <c r="P204" s="1467">
        <v>30</v>
      </c>
      <c r="Q204" s="2441" t="s">
        <v>6585</v>
      </c>
      <c r="R204" s="1468">
        <v>4</v>
      </c>
      <c r="S204" s="3356"/>
      <c r="T204" s="3365"/>
      <c r="U204" s="3364"/>
      <c r="V204" s="3365"/>
      <c r="W204" s="3364"/>
      <c r="X204" s="3365"/>
      <c r="Y204" s="253">
        <f>SUM('6층_부하량(월간_AVG)'!L85:N85)</f>
        <v>0</v>
      </c>
      <c r="Z204" s="253">
        <f>SUM('6층_부하량(월간_AVG)'!L115:N115)</f>
        <v>0</v>
      </c>
      <c r="AA204" s="2452">
        <f t="shared" si="94"/>
        <v>0</v>
      </c>
      <c r="AB204" s="2715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36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29">
        <f t="shared" si="91"/>
        <v>0</v>
      </c>
      <c r="AE204" s="2821"/>
      <c r="AG204" s="2367">
        <f t="shared" si="72"/>
        <v>0</v>
      </c>
      <c r="AH204" s="2367">
        <f t="shared" si="73"/>
        <v>0</v>
      </c>
      <c r="AI204" s="123" t="str">
        <f t="shared" si="88"/>
        <v>무부하 랙</v>
      </c>
      <c r="AJ204" t="str">
        <f t="shared" si="89"/>
        <v/>
      </c>
      <c r="AK204" t="str">
        <f t="shared" si="90"/>
        <v/>
      </c>
      <c r="AP204" s="123"/>
      <c r="AQ204" s="123"/>
      <c r="AR204" s="123"/>
      <c r="AS204" s="3084"/>
      <c r="AT204" s="123"/>
      <c r="AU204" s="123"/>
      <c r="AV204" s="3085"/>
      <c r="AW204" s="3086"/>
      <c r="AX204" s="3087"/>
      <c r="AY204" s="3088"/>
      <c r="AZ204" s="3089"/>
      <c r="BA204" s="3090"/>
      <c r="BB204" s="3091"/>
    </row>
    <row r="205" spans="1:54" ht="27.75" customHeight="1">
      <c r="A205" s="2652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41" t="s">
        <v>1342</v>
      </c>
      <c r="H205" s="2636" t="s">
        <v>1343</v>
      </c>
      <c r="I205" s="2128" t="str">
        <f t="shared" si="92"/>
        <v>6-DaHall 1-PDU-09-30-6</v>
      </c>
      <c r="J205" s="2129" t="str">
        <f t="shared" si="93"/>
        <v>6-DaHall 1-PDU-10-30-6</v>
      </c>
      <c r="K205" s="1463">
        <v>220</v>
      </c>
      <c r="L205" s="1464">
        <v>30</v>
      </c>
      <c r="M205" s="2435" t="s">
        <v>6584</v>
      </c>
      <c r="N205" s="1465">
        <v>6</v>
      </c>
      <c r="O205" s="1466">
        <v>220</v>
      </c>
      <c r="P205" s="1467">
        <v>30</v>
      </c>
      <c r="Q205" s="2441" t="s">
        <v>6585</v>
      </c>
      <c r="R205" s="1468">
        <v>6</v>
      </c>
      <c r="S205" s="3356"/>
      <c r="T205" s="3365"/>
      <c r="U205" s="3364"/>
      <c r="V205" s="3365"/>
      <c r="W205" s="3364"/>
      <c r="X205" s="3365"/>
      <c r="Y205" s="253">
        <f>SUM('6층_부하량(월간_AVG)'!L86:N86)</f>
        <v>0</v>
      </c>
      <c r="Z205" s="253">
        <f>SUM('6층_부하량(월간_AVG)'!L116:N116)</f>
        <v>0</v>
      </c>
      <c r="AA205" s="2452">
        <f t="shared" si="94"/>
        <v>0</v>
      </c>
      <c r="AB205" s="2715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36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29">
        <f t="shared" si="91"/>
        <v>0</v>
      </c>
      <c r="AE205" s="2821"/>
      <c r="AG205" s="2367">
        <f t="shared" si="72"/>
        <v>0</v>
      </c>
      <c r="AH205" s="2367">
        <f t="shared" si="73"/>
        <v>0</v>
      </c>
      <c r="AI205" s="123" t="str">
        <f t="shared" si="88"/>
        <v>무부하 랙</v>
      </c>
      <c r="AJ205" t="str">
        <f t="shared" si="89"/>
        <v/>
      </c>
      <c r="AK205" t="str">
        <f t="shared" si="90"/>
        <v/>
      </c>
      <c r="AP205" s="123"/>
      <c r="AQ205" s="123"/>
      <c r="AR205" s="123"/>
      <c r="AS205" s="3084"/>
      <c r="AT205" s="123"/>
      <c r="AU205" s="123"/>
      <c r="AV205" s="3085"/>
      <c r="AW205" s="3086"/>
      <c r="AX205" s="3087"/>
      <c r="AY205" s="3088"/>
      <c r="AZ205" s="3089"/>
      <c r="BA205" s="3090"/>
      <c r="BB205" s="3091"/>
    </row>
    <row r="206" spans="1:54" ht="27.75" customHeight="1">
      <c r="A206" s="2652" t="s">
        <v>1344</v>
      </c>
      <c r="B206" s="2653" t="s">
        <v>1345</v>
      </c>
      <c r="C206" s="250"/>
      <c r="D206" s="250"/>
      <c r="E206" s="250" t="s">
        <v>1346</v>
      </c>
      <c r="F206" s="250" t="s">
        <v>1347</v>
      </c>
      <c r="G206" s="2641" t="s">
        <v>1348</v>
      </c>
      <c r="H206" s="2636" t="s">
        <v>1349</v>
      </c>
      <c r="I206" s="2128" t="str">
        <f t="shared" si="92"/>
        <v>6-DaHall 1-PDU-09-30-8</v>
      </c>
      <c r="J206" s="2129" t="str">
        <f t="shared" si="93"/>
        <v>6-DaHall 1-PDU-10-30-8</v>
      </c>
      <c r="K206" s="1463">
        <v>220</v>
      </c>
      <c r="L206" s="1464">
        <v>30</v>
      </c>
      <c r="M206" s="2435" t="s">
        <v>6584</v>
      </c>
      <c r="N206" s="1465">
        <v>8</v>
      </c>
      <c r="O206" s="1466">
        <v>220</v>
      </c>
      <c r="P206" s="1467">
        <v>30</v>
      </c>
      <c r="Q206" s="2441" t="s">
        <v>6585</v>
      </c>
      <c r="R206" s="1468">
        <v>8</v>
      </c>
      <c r="S206" s="3356"/>
      <c r="T206" s="3365"/>
      <c r="U206" s="3364"/>
      <c r="V206" s="3365"/>
      <c r="W206" s="3364"/>
      <c r="X206" s="3365"/>
      <c r="Y206" s="253">
        <f>SUM('6층_부하량(월간_AVG)'!L87:N87)</f>
        <v>0</v>
      </c>
      <c r="Z206" s="253">
        <f>SUM('6층_부하량(월간_AVG)'!L117:N117)</f>
        <v>0</v>
      </c>
      <c r="AA206" s="2452">
        <f t="shared" si="94"/>
        <v>0</v>
      </c>
      <c r="AB206" s="2715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36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29">
        <f t="shared" si="91"/>
        <v>0</v>
      </c>
      <c r="AE206" s="2821"/>
      <c r="AF206" s="2068" t="s">
        <v>1350</v>
      </c>
      <c r="AG206" s="2367">
        <f t="shared" si="72"/>
        <v>0</v>
      </c>
      <c r="AH206" s="2367">
        <f t="shared" si="73"/>
        <v>0</v>
      </c>
      <c r="AI206" s="123" t="str">
        <f t="shared" si="88"/>
        <v>무부하 랙</v>
      </c>
      <c r="AJ206" t="str">
        <f t="shared" si="89"/>
        <v/>
      </c>
      <c r="AK206" t="str">
        <f t="shared" si="90"/>
        <v/>
      </c>
      <c r="AP206" s="123"/>
      <c r="AQ206" s="123"/>
      <c r="AR206" s="123"/>
      <c r="AS206" s="3084"/>
      <c r="AT206" s="123"/>
      <c r="AU206" s="123"/>
      <c r="AV206" s="3085"/>
      <c r="AW206" s="3086"/>
      <c r="AX206" s="3087"/>
      <c r="AY206" s="3088"/>
      <c r="AZ206" s="3089"/>
      <c r="BA206" s="3090"/>
      <c r="BB206" s="3091"/>
    </row>
    <row r="207" spans="1:54" ht="27.75" customHeight="1">
      <c r="A207" s="2652" t="s">
        <v>1351</v>
      </c>
      <c r="B207" s="2653" t="s">
        <v>1352</v>
      </c>
      <c r="C207" s="250"/>
      <c r="D207" s="250"/>
      <c r="E207" s="250" t="s">
        <v>1353</v>
      </c>
      <c r="F207" s="250" t="s">
        <v>1354</v>
      </c>
      <c r="G207" s="2641" t="s">
        <v>1355</v>
      </c>
      <c r="H207" s="2636" t="s">
        <v>1356</v>
      </c>
      <c r="I207" s="2128" t="str">
        <f t="shared" si="92"/>
        <v>6-DaHall 1-PDU-09-30-10</v>
      </c>
      <c r="J207" s="2129" t="str">
        <f t="shared" si="93"/>
        <v>6-DaHall 1-PDU-10-30-10</v>
      </c>
      <c r="K207" s="1463">
        <v>220</v>
      </c>
      <c r="L207" s="1464">
        <v>30</v>
      </c>
      <c r="M207" s="2435" t="s">
        <v>6584</v>
      </c>
      <c r="N207" s="1465">
        <v>10</v>
      </c>
      <c r="O207" s="1466">
        <v>220</v>
      </c>
      <c r="P207" s="1467">
        <v>30</v>
      </c>
      <c r="Q207" s="2441" t="s">
        <v>6585</v>
      </c>
      <c r="R207" s="1468">
        <v>10</v>
      </c>
      <c r="S207" s="3356"/>
      <c r="T207" s="3365"/>
      <c r="U207" s="3364"/>
      <c r="V207" s="3365"/>
      <c r="W207" s="3364"/>
      <c r="X207" s="3365"/>
      <c r="Y207" s="253">
        <f>SUM('6층_부하량(월간_AVG)'!L88:N88)</f>
        <v>0</v>
      </c>
      <c r="Z207" s="253">
        <f>SUM('6층_부하량(월간_AVG)'!L118:N118)</f>
        <v>0</v>
      </c>
      <c r="AA207" s="2452">
        <f t="shared" si="94"/>
        <v>0</v>
      </c>
      <c r="AB207" s="2715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36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29">
        <f t="shared" si="91"/>
        <v>0</v>
      </c>
      <c r="AE207" s="2821"/>
      <c r="AF207" s="2068" t="s">
        <v>1350</v>
      </c>
      <c r="AG207" s="2367">
        <f t="shared" si="72"/>
        <v>0</v>
      </c>
      <c r="AH207" s="2367">
        <f t="shared" si="73"/>
        <v>0</v>
      </c>
      <c r="AI207" s="123" t="str">
        <f t="shared" si="88"/>
        <v>무부하 랙</v>
      </c>
      <c r="AJ207" t="str">
        <f t="shared" si="89"/>
        <v/>
      </c>
      <c r="AK207" t="str">
        <f t="shared" si="90"/>
        <v/>
      </c>
      <c r="AP207" s="123"/>
      <c r="AQ207" s="123"/>
      <c r="AR207" s="123"/>
      <c r="AS207" s="3084"/>
      <c r="AT207" s="123"/>
      <c r="AU207" s="123"/>
      <c r="AV207" s="3085"/>
      <c r="AW207" s="3086"/>
      <c r="AX207" s="3087"/>
      <c r="AY207" s="3088"/>
      <c r="AZ207" s="3089"/>
      <c r="BA207" s="3090"/>
      <c r="BB207" s="3091"/>
    </row>
    <row r="208" spans="1:54" ht="27.75" customHeight="1">
      <c r="A208" s="2652" t="s">
        <v>1357</v>
      </c>
      <c r="B208" s="2653" t="s">
        <v>1358</v>
      </c>
      <c r="C208" s="250"/>
      <c r="D208" s="250"/>
      <c r="E208" s="250" t="s">
        <v>1359</v>
      </c>
      <c r="F208" s="250" t="s">
        <v>1360</v>
      </c>
      <c r="G208" s="2641" t="s">
        <v>1361</v>
      </c>
      <c r="H208" s="2636" t="s">
        <v>1362</v>
      </c>
      <c r="I208" s="2128" t="str">
        <f t="shared" si="92"/>
        <v>6-DaHall 1-PDU-09-30-12</v>
      </c>
      <c r="J208" s="2129" t="str">
        <f t="shared" si="93"/>
        <v>6-DaHall 1-PDU-10-30-12</v>
      </c>
      <c r="K208" s="1463">
        <v>220</v>
      </c>
      <c r="L208" s="1464">
        <v>30</v>
      </c>
      <c r="M208" s="2435" t="s">
        <v>6584</v>
      </c>
      <c r="N208" s="1465">
        <v>12</v>
      </c>
      <c r="O208" s="1466">
        <v>220</v>
      </c>
      <c r="P208" s="1467">
        <v>30</v>
      </c>
      <c r="Q208" s="2441" t="s">
        <v>6585</v>
      </c>
      <c r="R208" s="1468">
        <v>12</v>
      </c>
      <c r="S208" s="3356"/>
      <c r="T208" s="3365"/>
      <c r="U208" s="3364"/>
      <c r="V208" s="3365"/>
      <c r="W208" s="3364"/>
      <c r="X208" s="3365"/>
      <c r="Y208" s="253">
        <f>SUM('6층_부하량(월간_AVG)'!L89:N89)</f>
        <v>0</v>
      </c>
      <c r="Z208" s="253">
        <f>SUM('6층_부하량(월간_AVG)'!L119:N119)</f>
        <v>0</v>
      </c>
      <c r="AA208" s="2452">
        <f t="shared" si="94"/>
        <v>0</v>
      </c>
      <c r="AB208" s="2715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36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29">
        <f t="shared" si="91"/>
        <v>0</v>
      </c>
      <c r="AE208" s="2821"/>
      <c r="AF208" s="2068" t="s">
        <v>1350</v>
      </c>
      <c r="AG208" s="2367">
        <f t="shared" si="72"/>
        <v>0</v>
      </c>
      <c r="AH208" s="2367">
        <f t="shared" si="73"/>
        <v>0</v>
      </c>
      <c r="AI208" s="123" t="str">
        <f t="shared" si="88"/>
        <v>무부하 랙</v>
      </c>
      <c r="AJ208" t="str">
        <f t="shared" si="89"/>
        <v/>
      </c>
      <c r="AK208" t="str">
        <f t="shared" si="90"/>
        <v/>
      </c>
      <c r="AP208" s="123"/>
      <c r="AQ208" s="123"/>
      <c r="AR208" s="123"/>
      <c r="AS208" s="3084"/>
      <c r="AT208" s="123"/>
      <c r="AU208" s="123"/>
      <c r="AV208" s="3085"/>
      <c r="AW208" s="3086"/>
      <c r="AX208" s="3087"/>
      <c r="AY208" s="3088"/>
      <c r="AZ208" s="3089"/>
      <c r="BA208" s="3090"/>
      <c r="BB208" s="3091"/>
    </row>
    <row r="209" spans="1:54" ht="27.75" customHeight="1">
      <c r="A209" s="2652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41" t="s">
        <v>1367</v>
      </c>
      <c r="H209" s="2636" t="s">
        <v>1368</v>
      </c>
      <c r="I209" s="2128" t="str">
        <f t="shared" si="92"/>
        <v>6-DaHall 1-PDU-09-30-14</v>
      </c>
      <c r="J209" s="2129" t="str">
        <f t="shared" si="93"/>
        <v>6-DaHall 1-PDU-10-30-14</v>
      </c>
      <c r="K209" s="1463">
        <v>220</v>
      </c>
      <c r="L209" s="1464">
        <v>30</v>
      </c>
      <c r="M209" s="2435" t="s">
        <v>6584</v>
      </c>
      <c r="N209" s="1465">
        <v>14</v>
      </c>
      <c r="O209" s="1466">
        <v>220</v>
      </c>
      <c r="P209" s="1467">
        <v>30</v>
      </c>
      <c r="Q209" s="2441" t="s">
        <v>6585</v>
      </c>
      <c r="R209" s="1468">
        <v>14</v>
      </c>
      <c r="S209" s="3356"/>
      <c r="T209" s="3365"/>
      <c r="U209" s="3364"/>
      <c r="V209" s="3365"/>
      <c r="W209" s="3364"/>
      <c r="X209" s="3365"/>
      <c r="Y209" s="253">
        <f>SUM('6층_부하량(월간_AVG)'!L90:N90)</f>
        <v>0</v>
      </c>
      <c r="Z209" s="253">
        <f>SUM('6층_부하량(월간_AVG)'!L120:N120)</f>
        <v>0</v>
      </c>
      <c r="AA209" s="2452">
        <f t="shared" si="94"/>
        <v>0</v>
      </c>
      <c r="AB209" s="2715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36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29">
        <f t="shared" si="91"/>
        <v>0</v>
      </c>
      <c r="AE209" s="2821"/>
      <c r="AG209" s="2367">
        <f t="shared" si="72"/>
        <v>0</v>
      </c>
      <c r="AH209" s="2367">
        <f t="shared" si="73"/>
        <v>0</v>
      </c>
      <c r="AI209" s="123" t="str">
        <f t="shared" si="88"/>
        <v>무부하 랙</v>
      </c>
      <c r="AJ209" t="str">
        <f t="shared" si="89"/>
        <v/>
      </c>
      <c r="AK209" t="str">
        <f t="shared" si="90"/>
        <v/>
      </c>
      <c r="AP209" s="123"/>
      <c r="AQ209" s="123"/>
      <c r="AR209" s="123"/>
      <c r="AS209" s="3084"/>
      <c r="AT209" s="123"/>
      <c r="AU209" s="123"/>
      <c r="AV209" s="3085"/>
      <c r="AW209" s="3086"/>
      <c r="AX209" s="3087"/>
      <c r="AY209" s="3088"/>
      <c r="AZ209" s="3089"/>
      <c r="BA209" s="3090"/>
      <c r="BB209" s="3091"/>
    </row>
    <row r="210" spans="1:54" ht="27.75" customHeight="1">
      <c r="A210" s="2652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41" t="s">
        <v>1373</v>
      </c>
      <c r="H210" s="2636" t="s">
        <v>1374</v>
      </c>
      <c r="I210" s="2128" t="str">
        <f t="shared" si="92"/>
        <v>6-DaHall 1-PDU-09-30-16</v>
      </c>
      <c r="J210" s="2129" t="str">
        <f t="shared" si="93"/>
        <v>6-DaHall 1-PDU-10-30-16</v>
      </c>
      <c r="K210" s="1463">
        <v>220</v>
      </c>
      <c r="L210" s="1464">
        <v>30</v>
      </c>
      <c r="M210" s="2435" t="s">
        <v>6584</v>
      </c>
      <c r="N210" s="1465">
        <v>16</v>
      </c>
      <c r="O210" s="1466">
        <v>220</v>
      </c>
      <c r="P210" s="1467">
        <v>30</v>
      </c>
      <c r="Q210" s="2441" t="s">
        <v>6585</v>
      </c>
      <c r="R210" s="1468">
        <v>16</v>
      </c>
      <c r="S210" s="3356"/>
      <c r="T210" s="3365"/>
      <c r="U210" s="3364"/>
      <c r="V210" s="3365"/>
      <c r="W210" s="3364"/>
      <c r="X210" s="3365"/>
      <c r="Y210" s="268">
        <f>SUM('6층_부하량(월간_AVG)'!L91:N91)</f>
        <v>0</v>
      </c>
      <c r="Z210" s="268">
        <f>SUM('6층_부하량(월간_AVG)'!L121:N121)</f>
        <v>0</v>
      </c>
      <c r="AA210" s="2452">
        <f t="shared" si="94"/>
        <v>0</v>
      </c>
      <c r="AB210" s="2715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36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29">
        <f t="shared" si="91"/>
        <v>0</v>
      </c>
      <c r="AE210" s="2821" t="s">
        <v>1375</v>
      </c>
      <c r="AG210" s="2367">
        <f t="shared" si="72"/>
        <v>0</v>
      </c>
      <c r="AH210" s="2367">
        <f t="shared" si="73"/>
        <v>0</v>
      </c>
      <c r="AI210" s="123" t="str">
        <f t="shared" si="88"/>
        <v>무부하 랙</v>
      </c>
      <c r="AJ210" t="str">
        <f t="shared" si="89"/>
        <v/>
      </c>
      <c r="AK210" t="str">
        <f t="shared" si="90"/>
        <v/>
      </c>
      <c r="AP210" s="123"/>
      <c r="AQ210" s="123"/>
      <c r="AR210" s="123"/>
      <c r="AS210" s="3084"/>
      <c r="AT210" s="123"/>
      <c r="AU210" s="123"/>
      <c r="AV210" s="3085"/>
      <c r="AW210" s="3086"/>
      <c r="AX210" s="3087"/>
      <c r="AY210" s="3088"/>
      <c r="AZ210" s="3089"/>
      <c r="BA210" s="3090"/>
      <c r="BB210" s="3091"/>
    </row>
    <row r="211" spans="1:54" ht="27.75" customHeight="1" thickBot="1">
      <c r="A211" s="2660" t="s">
        <v>1376</v>
      </c>
      <c r="B211" s="2661" t="s">
        <v>1377</v>
      </c>
      <c r="C211" s="2661"/>
      <c r="D211" s="2661"/>
      <c r="E211" s="2661" t="s">
        <v>1378</v>
      </c>
      <c r="F211" s="2661" t="s">
        <v>1379</v>
      </c>
      <c r="G211" s="2643" t="s">
        <v>1380</v>
      </c>
      <c r="H211" s="2637" t="s">
        <v>1381</v>
      </c>
      <c r="I211" s="2128" t="str">
        <f t="shared" si="92"/>
        <v>6-DaHall 1-PDU-09-30-18</v>
      </c>
      <c r="J211" s="2129" t="str">
        <f t="shared" si="93"/>
        <v>6-DaHall 1-PDU-10-30-18</v>
      </c>
      <c r="K211" s="1471">
        <v>220</v>
      </c>
      <c r="L211" s="1472">
        <v>30</v>
      </c>
      <c r="M211" s="2438" t="s">
        <v>6584</v>
      </c>
      <c r="N211" s="1473">
        <v>18</v>
      </c>
      <c r="O211" s="1474">
        <v>220</v>
      </c>
      <c r="P211" s="1475">
        <v>30</v>
      </c>
      <c r="Q211" s="2444" t="s">
        <v>6585</v>
      </c>
      <c r="R211" s="1476">
        <v>18</v>
      </c>
      <c r="S211" s="3357"/>
      <c r="T211" s="3371"/>
      <c r="U211" s="3372"/>
      <c r="V211" s="3371"/>
      <c r="W211" s="3372"/>
      <c r="X211" s="3371"/>
      <c r="Y211" s="330">
        <f>SUM('6층_부하량(월간_AVG)'!L92:N92)</f>
        <v>0</v>
      </c>
      <c r="Z211" s="330">
        <f>SUM('6층_부하량(월간_AVG)'!L122:N122)</f>
        <v>0</v>
      </c>
      <c r="AA211" s="2453">
        <f t="shared" si="94"/>
        <v>0</v>
      </c>
      <c r="AB211" s="2715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33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34">
        <f t="shared" si="91"/>
        <v>0</v>
      </c>
      <c r="AE211" s="2823" t="s">
        <v>1375</v>
      </c>
      <c r="AG211" s="2367">
        <f t="shared" si="72"/>
        <v>0</v>
      </c>
      <c r="AH211" s="2367">
        <f t="shared" si="73"/>
        <v>0</v>
      </c>
      <c r="AI211" s="123" t="str">
        <f t="shared" si="88"/>
        <v>무부하 랙</v>
      </c>
      <c r="AJ211" t="str">
        <f t="shared" si="89"/>
        <v/>
      </c>
      <c r="AK211" t="str">
        <f t="shared" si="90"/>
        <v/>
      </c>
      <c r="AP211" s="123"/>
      <c r="AQ211" s="123"/>
      <c r="AR211" s="123"/>
      <c r="AS211" s="3084"/>
      <c r="AT211" s="123"/>
      <c r="AU211" s="123"/>
      <c r="AV211" s="3085"/>
      <c r="AW211" s="3086"/>
      <c r="AX211" s="3087"/>
      <c r="AY211" s="3088"/>
      <c r="AZ211" s="3089"/>
      <c r="BA211" s="3090"/>
      <c r="BB211" s="3091"/>
    </row>
    <row r="212" spans="1:54" ht="15" thickTop="1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55"/>
      <c r="AB212" s="2826"/>
      <c r="AC212" s="2827"/>
      <c r="AD212" s="2481">
        <f t="shared" ref="AD212:AD221" si="95">SUM(AB212:AC212)</f>
        <v>0</v>
      </c>
      <c r="AE212" s="2828" t="s">
        <v>1265</v>
      </c>
      <c r="AG212" s="2367">
        <f t="shared" si="72"/>
        <v>0</v>
      </c>
      <c r="AH212" s="2367">
        <f t="shared" si="73"/>
        <v>0</v>
      </c>
      <c r="AI212" s="123" t="str">
        <f t="shared" si="88"/>
        <v>무부하 랙</v>
      </c>
      <c r="AJ212" t="str">
        <f t="shared" si="89"/>
        <v/>
      </c>
      <c r="AK212" t="str">
        <f t="shared" si="90"/>
        <v/>
      </c>
      <c r="AP212" s="123"/>
      <c r="AQ212" s="123"/>
      <c r="AR212" s="123"/>
      <c r="AS212" s="3084"/>
      <c r="AT212" s="123"/>
      <c r="AU212" s="123"/>
      <c r="AV212" s="3085"/>
      <c r="AW212" s="3086"/>
      <c r="AX212" s="3087"/>
      <c r="AY212" s="3088"/>
      <c r="AZ212" s="3089"/>
      <c r="BA212" s="3090"/>
      <c r="BB212" s="3091"/>
    </row>
    <row r="213" spans="1:54" ht="27.75" customHeight="1">
      <c r="A213" s="2652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41" t="s">
        <v>1270</v>
      </c>
      <c r="H213" s="2636" t="s">
        <v>1271</v>
      </c>
      <c r="I213" s="2128" t="str">
        <f t="shared" ref="I213:I221" si="96">"6-DaHall 1-PDU-"&amp;M213&amp;"-"&amp;L213&amp;"-"&amp;N213</f>
        <v>6-DaHall 1-PDU-09-30-20</v>
      </c>
      <c r="J213" s="2129" t="str">
        <f t="shared" ref="J213:J221" si="97">"6-DaHall 1-PDU-"&amp;Q213&amp;"-"&amp;P213&amp;"-"&amp;R213</f>
        <v>6-DaHall 1-PDU-10-30-20</v>
      </c>
      <c r="K213" s="1463">
        <v>220</v>
      </c>
      <c r="L213" s="1464">
        <v>30</v>
      </c>
      <c r="M213" s="2435" t="s">
        <v>6584</v>
      </c>
      <c r="N213" s="1465">
        <v>20</v>
      </c>
      <c r="O213" s="1466">
        <v>220</v>
      </c>
      <c r="P213" s="1467">
        <v>30</v>
      </c>
      <c r="Q213" s="2441" t="s">
        <v>6585</v>
      </c>
      <c r="R213" s="1468">
        <v>20</v>
      </c>
      <c r="S213" s="3356" t="s">
        <v>1272</v>
      </c>
      <c r="T213" s="3336" t="s">
        <v>1273</v>
      </c>
      <c r="U213" s="3356" t="s">
        <v>1274</v>
      </c>
      <c r="V213" s="3336" t="s">
        <v>1275</v>
      </c>
      <c r="W213" s="3356" t="s">
        <v>1276</v>
      </c>
      <c r="X213" s="3336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52">
        <f t="shared" ref="AA213:AA221" si="98">SUM(Y213:Z213)</f>
        <v>0</v>
      </c>
      <c r="AB213" s="2715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36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29">
        <f t="shared" si="95"/>
        <v>0</v>
      </c>
      <c r="AE213" s="2821"/>
      <c r="AG213" s="2367">
        <f t="shared" si="72"/>
        <v>0</v>
      </c>
      <c r="AH213" s="2367">
        <f t="shared" si="73"/>
        <v>0</v>
      </c>
      <c r="AI213" s="123" t="str">
        <f t="shared" si="88"/>
        <v>무부하 랙</v>
      </c>
      <c r="AJ213" t="str">
        <f t="shared" si="89"/>
        <v/>
      </c>
      <c r="AK213" t="str">
        <f t="shared" si="90"/>
        <v/>
      </c>
      <c r="AP213" s="123"/>
      <c r="AQ213" s="123"/>
      <c r="AR213" s="123"/>
      <c r="AS213" s="3084"/>
      <c r="AT213" s="123"/>
      <c r="AU213" s="123"/>
      <c r="AV213" s="3085"/>
      <c r="AW213" s="3086"/>
      <c r="AX213" s="3087"/>
      <c r="AY213" s="3088"/>
      <c r="AZ213" s="3089"/>
      <c r="BA213" s="3090"/>
      <c r="BB213" s="3091"/>
    </row>
    <row r="214" spans="1:54" ht="27.75" customHeight="1">
      <c r="A214" s="2652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41" t="s">
        <v>1282</v>
      </c>
      <c r="H214" s="2636" t="s">
        <v>1283</v>
      </c>
      <c r="I214" s="2128" t="str">
        <f t="shared" si="96"/>
        <v>6-DaHall 1-PDU-09-30-22</v>
      </c>
      <c r="J214" s="2129" t="str">
        <f t="shared" si="97"/>
        <v>6-DaHall 1-PDU-10-30-22</v>
      </c>
      <c r="K214" s="1463">
        <v>220</v>
      </c>
      <c r="L214" s="1464">
        <v>30</v>
      </c>
      <c r="M214" s="2435" t="s">
        <v>6584</v>
      </c>
      <c r="N214" s="1465">
        <v>22</v>
      </c>
      <c r="O214" s="1466">
        <v>220</v>
      </c>
      <c r="P214" s="1467">
        <v>30</v>
      </c>
      <c r="Q214" s="2441" t="s">
        <v>6585</v>
      </c>
      <c r="R214" s="1468">
        <v>22</v>
      </c>
      <c r="S214" s="3356"/>
      <c r="T214" s="3365"/>
      <c r="U214" s="3364"/>
      <c r="V214" s="3365"/>
      <c r="W214" s="3364"/>
      <c r="X214" s="3365"/>
      <c r="Y214" s="253">
        <f>SUM('6층_부하량(월간_AVG)'!L94:N94)</f>
        <v>0</v>
      </c>
      <c r="Z214" s="253">
        <f>SUM('6층_부하량(월간_AVG)'!L124:N124)</f>
        <v>0</v>
      </c>
      <c r="AA214" s="2452">
        <f t="shared" si="98"/>
        <v>0</v>
      </c>
      <c r="AB214" s="2715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36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29">
        <f t="shared" si="95"/>
        <v>0</v>
      </c>
      <c r="AE214" s="2821"/>
      <c r="AG214" s="2367">
        <f t="shared" si="72"/>
        <v>0</v>
      </c>
      <c r="AH214" s="2367">
        <f t="shared" si="73"/>
        <v>0</v>
      </c>
      <c r="AI214" s="123" t="str">
        <f t="shared" si="88"/>
        <v>무부하 랙</v>
      </c>
      <c r="AJ214" t="str">
        <f t="shared" si="89"/>
        <v/>
      </c>
      <c r="AK214" t="str">
        <f t="shared" si="90"/>
        <v/>
      </c>
      <c r="AP214" s="123"/>
      <c r="AQ214" s="123"/>
      <c r="AR214" s="123"/>
      <c r="AS214" s="3084"/>
      <c r="AT214" s="123"/>
      <c r="AU214" s="123"/>
      <c r="AV214" s="3085"/>
      <c r="AW214" s="3086"/>
      <c r="AX214" s="3087"/>
      <c r="AY214" s="3088"/>
      <c r="AZ214" s="3089"/>
      <c r="BA214" s="3090"/>
      <c r="BB214" s="3091"/>
    </row>
    <row r="215" spans="1:54" ht="27.75" customHeight="1">
      <c r="A215" s="2652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41" t="s">
        <v>1288</v>
      </c>
      <c r="H215" s="2636" t="s">
        <v>1289</v>
      </c>
      <c r="I215" s="2128" t="str">
        <f t="shared" si="96"/>
        <v>6-DaHall 1-PDU-09-30-24</v>
      </c>
      <c r="J215" s="2129" t="str">
        <f t="shared" si="97"/>
        <v>6-DaHall 1-PDU-10-30-48</v>
      </c>
      <c r="K215" s="1463">
        <v>220</v>
      </c>
      <c r="L215" s="1464">
        <v>30</v>
      </c>
      <c r="M215" s="2435" t="s">
        <v>6584</v>
      </c>
      <c r="N215" s="1465">
        <v>24</v>
      </c>
      <c r="O215" s="1469">
        <v>220</v>
      </c>
      <c r="P215" s="1470">
        <v>30</v>
      </c>
      <c r="Q215" s="2441" t="s">
        <v>6585</v>
      </c>
      <c r="R215" s="1468">
        <v>48</v>
      </c>
      <c r="S215" s="3356"/>
      <c r="T215" s="3365"/>
      <c r="U215" s="3364"/>
      <c r="V215" s="3365"/>
      <c r="W215" s="3364"/>
      <c r="X215" s="3365"/>
      <c r="Y215" s="253">
        <f>SUM('6층_부하량(월간_AVG)'!L95:N95)</f>
        <v>0</v>
      </c>
      <c r="Z215" s="260">
        <f>SUM('6층_부하량(월간_AVG)'!L137:N137)</f>
        <v>0</v>
      </c>
      <c r="AA215" s="2452">
        <f t="shared" si="98"/>
        <v>0</v>
      </c>
      <c r="AB215" s="2715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36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29">
        <f t="shared" si="95"/>
        <v>0</v>
      </c>
      <c r="AE215" s="2475"/>
      <c r="AG215" s="2367">
        <f t="shared" si="72"/>
        <v>0</v>
      </c>
      <c r="AH215" s="2367">
        <f t="shared" si="73"/>
        <v>0</v>
      </c>
      <c r="AI215" s="123" t="str">
        <f t="shared" si="88"/>
        <v>무부하 랙</v>
      </c>
      <c r="AJ215" t="str">
        <f t="shared" si="89"/>
        <v/>
      </c>
      <c r="AK215" t="str">
        <f t="shared" si="90"/>
        <v/>
      </c>
      <c r="AP215" s="123"/>
      <c r="AQ215" s="123"/>
      <c r="AR215" s="123"/>
      <c r="AS215" s="3084"/>
      <c r="AT215" s="123"/>
      <c r="AU215" s="123"/>
      <c r="AV215" s="3085"/>
      <c r="AW215" s="3086"/>
      <c r="AX215" s="3087"/>
      <c r="AY215" s="3088"/>
      <c r="AZ215" s="3089"/>
      <c r="BA215" s="3090"/>
      <c r="BB215" s="3091"/>
    </row>
    <row r="216" spans="1:54" ht="27.75" customHeight="1">
      <c r="A216" s="2652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41" t="s">
        <v>1294</v>
      </c>
      <c r="H216" s="2636" t="s">
        <v>1295</v>
      </c>
      <c r="I216" s="2128" t="str">
        <f t="shared" si="96"/>
        <v>6-DaHall 1-PDU-09-30-26</v>
      </c>
      <c r="J216" s="2129" t="str">
        <f t="shared" si="97"/>
        <v>6-DaHall 1-PDU-10-30-26</v>
      </c>
      <c r="K216" s="1463">
        <v>220</v>
      </c>
      <c r="L216" s="1464">
        <v>30</v>
      </c>
      <c r="M216" s="2435" t="s">
        <v>6584</v>
      </c>
      <c r="N216" s="1465">
        <v>26</v>
      </c>
      <c r="O216" s="1466">
        <v>220</v>
      </c>
      <c r="P216" s="1467">
        <v>30</v>
      </c>
      <c r="Q216" s="2441" t="s">
        <v>6585</v>
      </c>
      <c r="R216" s="1468">
        <v>26</v>
      </c>
      <c r="S216" s="3356"/>
      <c r="T216" s="3365"/>
      <c r="U216" s="3364"/>
      <c r="V216" s="3365"/>
      <c r="W216" s="3364"/>
      <c r="X216" s="3365"/>
      <c r="Y216" s="253">
        <f>SUM('6층_부하량(월간_AVG)'!L96:N96)</f>
        <v>0</v>
      </c>
      <c r="Z216" s="253">
        <f>SUM('6층_부하량(월간_AVG)'!L126:N126)</f>
        <v>0</v>
      </c>
      <c r="AA216" s="2452">
        <f t="shared" si="98"/>
        <v>0</v>
      </c>
      <c r="AB216" s="2715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36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29">
        <f t="shared" si="95"/>
        <v>0</v>
      </c>
      <c r="AE216" s="2830"/>
      <c r="AG216" s="2367">
        <f t="shared" si="72"/>
        <v>0</v>
      </c>
      <c r="AH216" s="2367">
        <f t="shared" si="73"/>
        <v>0</v>
      </c>
      <c r="AI216" s="123" t="str">
        <f t="shared" si="88"/>
        <v>무부하 랙</v>
      </c>
      <c r="AJ216" t="str">
        <f t="shared" si="89"/>
        <v/>
      </c>
      <c r="AK216" t="str">
        <f t="shared" si="90"/>
        <v/>
      </c>
      <c r="AP216" s="123"/>
      <c r="AQ216" s="123"/>
      <c r="AR216" s="123"/>
      <c r="AS216" s="3084"/>
      <c r="AT216" s="123"/>
      <c r="AU216" s="123"/>
      <c r="AV216" s="3085"/>
      <c r="AW216" s="3086"/>
      <c r="AX216" s="3087"/>
      <c r="AY216" s="3088"/>
      <c r="AZ216" s="3089"/>
      <c r="BA216" s="3090"/>
      <c r="BB216" s="3091"/>
    </row>
    <row r="217" spans="1:54" ht="27.75" customHeight="1">
      <c r="A217" s="2652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41" t="s">
        <v>1300</v>
      </c>
      <c r="H217" s="2636" t="s">
        <v>1301</v>
      </c>
      <c r="I217" s="2128" t="str">
        <f t="shared" si="96"/>
        <v>6-DaHall 1-PDU-09-30-28</v>
      </c>
      <c r="J217" s="2129" t="str">
        <f t="shared" si="97"/>
        <v>6-DaHall 1-PDU-10-30-28</v>
      </c>
      <c r="K217" s="1463">
        <v>220</v>
      </c>
      <c r="L217" s="1464">
        <v>30</v>
      </c>
      <c r="M217" s="2435" t="s">
        <v>6584</v>
      </c>
      <c r="N217" s="1465">
        <v>28</v>
      </c>
      <c r="O217" s="1466">
        <v>220</v>
      </c>
      <c r="P217" s="1467">
        <v>30</v>
      </c>
      <c r="Q217" s="2441" t="s">
        <v>6585</v>
      </c>
      <c r="R217" s="1468">
        <v>28</v>
      </c>
      <c r="S217" s="3356"/>
      <c r="T217" s="3365"/>
      <c r="U217" s="3364"/>
      <c r="V217" s="3365"/>
      <c r="W217" s="3364"/>
      <c r="X217" s="3365"/>
      <c r="Y217" s="253">
        <f>SUM('6층_부하량(월간_AVG)'!L97:N97)</f>
        <v>0</v>
      </c>
      <c r="Z217" s="253">
        <f>SUM('6층_부하량(월간_AVG)'!L127:N127)</f>
        <v>0</v>
      </c>
      <c r="AA217" s="2452">
        <f t="shared" si="98"/>
        <v>0</v>
      </c>
      <c r="AB217" s="2715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36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29">
        <f t="shared" si="95"/>
        <v>0</v>
      </c>
      <c r="AE217" s="2831"/>
      <c r="AG217" s="2367">
        <f t="shared" si="72"/>
        <v>0</v>
      </c>
      <c r="AH217" s="2367">
        <f t="shared" si="73"/>
        <v>0</v>
      </c>
      <c r="AI217" s="123" t="str">
        <f t="shared" si="88"/>
        <v>무부하 랙</v>
      </c>
      <c r="AJ217" t="str">
        <f t="shared" si="89"/>
        <v/>
      </c>
      <c r="AK217" t="str">
        <f t="shared" si="90"/>
        <v/>
      </c>
      <c r="AP217" s="123"/>
      <c r="AQ217" s="123"/>
      <c r="AR217" s="123"/>
      <c r="AS217" s="3084"/>
      <c r="AT217" s="123"/>
      <c r="AU217" s="123"/>
      <c r="AV217" s="3085"/>
      <c r="AW217" s="3086"/>
      <c r="AX217" s="3087"/>
      <c r="AY217" s="3088"/>
      <c r="AZ217" s="3089"/>
      <c r="BA217" s="3090"/>
      <c r="BB217" s="3091"/>
    </row>
    <row r="218" spans="1:54" ht="27.75" customHeight="1">
      <c r="A218" s="2652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41" t="s">
        <v>1306</v>
      </c>
      <c r="H218" s="2636" t="s">
        <v>1307</v>
      </c>
      <c r="I218" s="2128" t="str">
        <f t="shared" si="96"/>
        <v>6-DaHall 1-PDU-09-30-30</v>
      </c>
      <c r="J218" s="2129" t="str">
        <f t="shared" si="97"/>
        <v>6-DaHall 1-PDU-10-30-30</v>
      </c>
      <c r="K218" s="1463">
        <v>220</v>
      </c>
      <c r="L218" s="1464">
        <v>30</v>
      </c>
      <c r="M218" s="2435" t="s">
        <v>6584</v>
      </c>
      <c r="N218" s="1465">
        <v>30</v>
      </c>
      <c r="O218" s="1466">
        <v>220</v>
      </c>
      <c r="P218" s="1467">
        <v>30</v>
      </c>
      <c r="Q218" s="2441" t="s">
        <v>6585</v>
      </c>
      <c r="R218" s="1468">
        <v>30</v>
      </c>
      <c r="S218" s="3356"/>
      <c r="T218" s="3365"/>
      <c r="U218" s="3364"/>
      <c r="V218" s="3365"/>
      <c r="W218" s="3364"/>
      <c r="X218" s="3365"/>
      <c r="Y218" s="253">
        <f>SUM('6층_부하량(월간_AVG)'!L98:N98)</f>
        <v>0</v>
      </c>
      <c r="Z218" s="253">
        <f>SUM('6층_부하량(월간_AVG)'!L128:N128)</f>
        <v>0</v>
      </c>
      <c r="AA218" s="2452">
        <f t="shared" si="98"/>
        <v>0</v>
      </c>
      <c r="AB218" s="2715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36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29">
        <f t="shared" si="95"/>
        <v>0</v>
      </c>
      <c r="AE218" s="2832"/>
      <c r="AG218" s="2367">
        <f t="shared" ref="AG218:AG250" si="99">AD218/(24*31)</f>
        <v>0</v>
      </c>
      <c r="AH218" s="2367">
        <f t="shared" ref="AH218:AH250" si="100">D218-AG218</f>
        <v>0</v>
      </c>
      <c r="AI218" s="123" t="str">
        <f t="shared" si="88"/>
        <v>무부하 랙</v>
      </c>
      <c r="AJ218" t="str">
        <f t="shared" si="89"/>
        <v/>
      </c>
      <c r="AK218" t="str">
        <f t="shared" si="90"/>
        <v/>
      </c>
      <c r="AP218" s="123"/>
      <c r="AQ218" s="123"/>
      <c r="AR218" s="123"/>
      <c r="AS218" s="3084"/>
      <c r="AT218" s="123"/>
      <c r="AU218" s="123"/>
      <c r="AV218" s="3085"/>
      <c r="AW218" s="3086"/>
      <c r="AX218" s="3087"/>
      <c r="AY218" s="3088"/>
      <c r="AZ218" s="3089"/>
      <c r="BA218" s="3090"/>
      <c r="BB218" s="3091"/>
    </row>
    <row r="219" spans="1:54" ht="27.75" customHeight="1">
      <c r="A219" s="2652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41" t="s">
        <v>1312</v>
      </c>
      <c r="H219" s="2636" t="s">
        <v>1313</v>
      </c>
      <c r="I219" s="2128" t="str">
        <f t="shared" si="96"/>
        <v>6-DaHall 1-PDU-09-30-32</v>
      </c>
      <c r="J219" s="2129" t="str">
        <f t="shared" si="97"/>
        <v>6-DaHall 1-PDU-10-30-32</v>
      </c>
      <c r="K219" s="1463">
        <v>220</v>
      </c>
      <c r="L219" s="1464">
        <v>30</v>
      </c>
      <c r="M219" s="2435" t="s">
        <v>6584</v>
      </c>
      <c r="N219" s="1465">
        <v>32</v>
      </c>
      <c r="O219" s="1466">
        <v>220</v>
      </c>
      <c r="P219" s="1467">
        <v>30</v>
      </c>
      <c r="Q219" s="2441" t="s">
        <v>6585</v>
      </c>
      <c r="R219" s="1468">
        <v>32</v>
      </c>
      <c r="S219" s="3356"/>
      <c r="T219" s="3365"/>
      <c r="U219" s="3364"/>
      <c r="V219" s="3365"/>
      <c r="W219" s="3364"/>
      <c r="X219" s="3365"/>
      <c r="Y219" s="253">
        <f>SUM('6층_부하량(월간_AVG)'!L99:N99)</f>
        <v>0</v>
      </c>
      <c r="Z219" s="253">
        <f>SUM('6층_부하량(월간_AVG)'!L129:N129)</f>
        <v>0</v>
      </c>
      <c r="AA219" s="2452">
        <f t="shared" si="98"/>
        <v>0</v>
      </c>
      <c r="AB219" s="2715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36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29">
        <f t="shared" si="95"/>
        <v>0</v>
      </c>
      <c r="AE219" s="2821"/>
      <c r="AG219" s="2367">
        <f t="shared" si="99"/>
        <v>0</v>
      </c>
      <c r="AH219" s="2367">
        <f t="shared" si="100"/>
        <v>0</v>
      </c>
      <c r="AI219" s="123" t="str">
        <f t="shared" si="88"/>
        <v>무부하 랙</v>
      </c>
      <c r="AJ219" t="str">
        <f t="shared" si="89"/>
        <v/>
      </c>
      <c r="AK219" t="str">
        <f t="shared" si="90"/>
        <v/>
      </c>
      <c r="AP219" s="123"/>
      <c r="AQ219" s="123"/>
      <c r="AR219" s="123"/>
      <c r="AS219" s="3084"/>
      <c r="AT219" s="123"/>
      <c r="AU219" s="123"/>
      <c r="AV219" s="3085"/>
      <c r="AW219" s="3086"/>
      <c r="AX219" s="3087"/>
      <c r="AY219" s="3088"/>
      <c r="AZ219" s="3089"/>
      <c r="BA219" s="3090"/>
      <c r="BB219" s="3091"/>
    </row>
    <row r="220" spans="1:54" ht="27.75" customHeight="1">
      <c r="A220" s="2652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41" t="s">
        <v>1318</v>
      </c>
      <c r="H220" s="2636" t="s">
        <v>1319</v>
      </c>
      <c r="I220" s="2128" t="str">
        <f t="shared" si="96"/>
        <v>6-DaHall 1-PDU-09-30-34</v>
      </c>
      <c r="J220" s="2129" t="str">
        <f t="shared" si="97"/>
        <v>6-DaHall 1-PDU-10-30-34</v>
      </c>
      <c r="K220" s="1463">
        <v>220</v>
      </c>
      <c r="L220" s="1464">
        <v>30</v>
      </c>
      <c r="M220" s="2435" t="s">
        <v>6584</v>
      </c>
      <c r="N220" s="1465">
        <v>34</v>
      </c>
      <c r="O220" s="1466">
        <v>220</v>
      </c>
      <c r="P220" s="1467">
        <v>30</v>
      </c>
      <c r="Q220" s="2441" t="s">
        <v>6585</v>
      </c>
      <c r="R220" s="1468">
        <v>34</v>
      </c>
      <c r="S220" s="3356"/>
      <c r="T220" s="3365"/>
      <c r="U220" s="3364"/>
      <c r="V220" s="3365"/>
      <c r="W220" s="3364"/>
      <c r="X220" s="3365"/>
      <c r="Y220" s="253">
        <f>SUM('6층_부하량(월간_AVG)'!L100:N100)</f>
        <v>0</v>
      </c>
      <c r="Z220" s="253">
        <f>SUM('6층_부하량(월간_AVG)'!L130:N130)</f>
        <v>0</v>
      </c>
      <c r="AA220" s="2452">
        <f t="shared" si="98"/>
        <v>0</v>
      </c>
      <c r="AB220" s="2715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36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29">
        <f t="shared" si="95"/>
        <v>0</v>
      </c>
      <c r="AE220" s="2821"/>
      <c r="AG220" s="2367">
        <f t="shared" si="99"/>
        <v>0</v>
      </c>
      <c r="AH220" s="2367">
        <f t="shared" si="100"/>
        <v>0</v>
      </c>
      <c r="AI220" s="123" t="str">
        <f t="shared" si="88"/>
        <v>무부하 랙</v>
      </c>
      <c r="AJ220" t="str">
        <f t="shared" si="89"/>
        <v/>
      </c>
      <c r="AK220" t="str">
        <f t="shared" si="90"/>
        <v/>
      </c>
      <c r="AP220" s="123"/>
      <c r="AQ220" s="123"/>
      <c r="AR220" s="123"/>
      <c r="AS220" s="3084"/>
      <c r="AT220" s="123"/>
      <c r="AU220" s="123"/>
      <c r="AV220" s="3085"/>
      <c r="AW220" s="3086"/>
      <c r="AX220" s="3087"/>
      <c r="AY220" s="3088"/>
      <c r="AZ220" s="3089"/>
      <c r="BA220" s="3090"/>
      <c r="BB220" s="3091"/>
    </row>
    <row r="221" spans="1:54" ht="27.75" customHeight="1" thickBot="1">
      <c r="A221" s="2660" t="s">
        <v>1320</v>
      </c>
      <c r="B221" s="2661" t="s">
        <v>1321</v>
      </c>
      <c r="C221" s="2661"/>
      <c r="D221" s="2661"/>
      <c r="E221" s="2661" t="s">
        <v>1322</v>
      </c>
      <c r="F221" s="2661" t="s">
        <v>1323</v>
      </c>
      <c r="G221" s="2643" t="s">
        <v>1324</v>
      </c>
      <c r="H221" s="2637" t="s">
        <v>1325</v>
      </c>
      <c r="I221" s="2128" t="str">
        <f t="shared" si="96"/>
        <v>6-DaHall 1-PDU-09-30-36</v>
      </c>
      <c r="J221" s="2129" t="str">
        <f t="shared" si="97"/>
        <v>6-DaHall 1-PDU-10-30-36</v>
      </c>
      <c r="K221" s="1471">
        <v>220</v>
      </c>
      <c r="L221" s="1472">
        <v>30</v>
      </c>
      <c r="M221" s="2438" t="s">
        <v>6584</v>
      </c>
      <c r="N221" s="1473">
        <v>36</v>
      </c>
      <c r="O221" s="1474">
        <v>220</v>
      </c>
      <c r="P221" s="1475">
        <v>30</v>
      </c>
      <c r="Q221" s="2444" t="s">
        <v>6585</v>
      </c>
      <c r="R221" s="1476">
        <v>36</v>
      </c>
      <c r="S221" s="3357"/>
      <c r="T221" s="3371"/>
      <c r="U221" s="3372"/>
      <c r="V221" s="3371"/>
      <c r="W221" s="3372"/>
      <c r="X221" s="3371"/>
      <c r="Y221" s="329">
        <f>SUM('6층_부하량(월간_AVG)'!L101:N101)</f>
        <v>0</v>
      </c>
      <c r="Z221" s="329">
        <f>SUM('6층_부하량(월간_AVG)'!L131:N131)</f>
        <v>0</v>
      </c>
      <c r="AA221" s="2453">
        <f t="shared" si="98"/>
        <v>0</v>
      </c>
      <c r="AB221" s="2715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33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34">
        <f t="shared" si="95"/>
        <v>0</v>
      </c>
      <c r="AE221" s="2823"/>
      <c r="AG221" s="2367">
        <f t="shared" si="99"/>
        <v>0</v>
      </c>
      <c r="AH221" s="2367">
        <f t="shared" si="100"/>
        <v>0</v>
      </c>
      <c r="AI221" s="123" t="str">
        <f t="shared" si="88"/>
        <v>무부하 랙</v>
      </c>
      <c r="AJ221" t="str">
        <f t="shared" si="89"/>
        <v/>
      </c>
      <c r="AK221" t="str">
        <f t="shared" si="90"/>
        <v/>
      </c>
      <c r="AP221" s="123"/>
      <c r="AQ221" s="123"/>
      <c r="AR221" s="123"/>
      <c r="AS221" s="3084"/>
      <c r="AT221" s="123"/>
      <c r="AU221" s="123"/>
      <c r="AV221" s="3085"/>
      <c r="AW221" s="3086"/>
      <c r="AX221" s="3087"/>
      <c r="AY221" s="3088"/>
      <c r="AZ221" s="3089"/>
      <c r="BA221" s="3090"/>
      <c r="BB221" s="3091"/>
    </row>
    <row r="222" spans="1:54" ht="28.5" hidden="1" customHeight="1">
      <c r="A222" s="1085"/>
      <c r="B222" s="327" t="s">
        <v>2337</v>
      </c>
      <c r="C222" s="327"/>
      <c r="D222" s="327"/>
      <c r="E222" s="327" t="s">
        <v>2338</v>
      </c>
      <c r="F222" s="327" t="s">
        <v>2339</v>
      </c>
      <c r="G222" s="2640" t="s">
        <v>2340</v>
      </c>
      <c r="H222" s="2642" t="s">
        <v>2341</v>
      </c>
      <c r="I222" s="2135" t="str">
        <f t="shared" ref="I222:I244" si="101">"6-DaHall 1-PDU-"&amp;M222&amp;"-"&amp;L222&amp;"-"&amp;N222</f>
        <v>6-DaHall 1-PDU-01-30-17</v>
      </c>
      <c r="J222" s="2136" t="str">
        <f t="shared" ref="J222:J242" si="102">"6-DaHall 1-PDU-"&amp;Q222&amp;"-"&amp;P222&amp;"-"&amp;R222</f>
        <v>6-DaHall 1-PDU-02-30-17</v>
      </c>
      <c r="K222" s="1506">
        <v>220</v>
      </c>
      <c r="L222" s="1507">
        <v>30</v>
      </c>
      <c r="M222" s="2437" t="s">
        <v>6497</v>
      </c>
      <c r="N222" s="1488">
        <v>17</v>
      </c>
      <c r="O222" s="1508">
        <v>220</v>
      </c>
      <c r="P222" s="1509">
        <v>30</v>
      </c>
      <c r="Q222" s="2443" t="s">
        <v>6493</v>
      </c>
      <c r="R222" s="1491">
        <v>17</v>
      </c>
      <c r="S222" s="3355" t="s">
        <v>1694</v>
      </c>
      <c r="T222" s="3361" t="s">
        <v>1695</v>
      </c>
      <c r="U222" s="3355" t="s">
        <v>1696</v>
      </c>
      <c r="V222" s="3361" t="s">
        <v>1697</v>
      </c>
      <c r="W222" s="3355" t="s">
        <v>1276</v>
      </c>
      <c r="X222" s="3361" t="s">
        <v>1881</v>
      </c>
      <c r="Y222" s="1094"/>
      <c r="Z222" s="1094"/>
      <c r="AA222" s="2462"/>
      <c r="AB222" s="2864"/>
      <c r="AC222" s="2865"/>
      <c r="AD222" s="2866">
        <f t="shared" ref="AD222:AD231" si="103">SUM(AB222:AC222)</f>
        <v>0</v>
      </c>
      <c r="AE222" s="2867"/>
      <c r="AF222" s="3417" t="s">
        <v>2342</v>
      </c>
      <c r="AG222" s="2367">
        <f t="shared" si="99"/>
        <v>0</v>
      </c>
      <c r="AH222" s="2367">
        <f t="shared" si="100"/>
        <v>0</v>
      </c>
      <c r="AI222" s="123" t="str">
        <f t="shared" si="88"/>
        <v>무부하 랙</v>
      </c>
      <c r="AJ222" t="str">
        <f t="shared" si="89"/>
        <v/>
      </c>
      <c r="AK222" t="str">
        <f t="shared" si="90"/>
        <v/>
      </c>
      <c r="AP222" s="123"/>
      <c r="AQ222" s="123"/>
      <c r="AR222" s="123"/>
      <c r="AS222" s="3084"/>
      <c r="AT222" s="123"/>
      <c r="AU222" s="123"/>
      <c r="AV222" s="3085"/>
      <c r="AW222" s="3086"/>
      <c r="AX222" s="3087"/>
      <c r="AY222" s="3088"/>
      <c r="AZ222" s="3089"/>
      <c r="BA222" s="3090"/>
      <c r="BB222" s="3091"/>
    </row>
    <row r="223" spans="1:54" ht="28.5" hidden="1" customHeight="1">
      <c r="A223" s="1086"/>
      <c r="B223" s="250" t="s">
        <v>2343</v>
      </c>
      <c r="C223" s="250"/>
      <c r="D223" s="250"/>
      <c r="E223" s="250" t="s">
        <v>2344</v>
      </c>
      <c r="F223" s="250" t="s">
        <v>2345</v>
      </c>
      <c r="G223" s="2641" t="s">
        <v>2346</v>
      </c>
      <c r="H223" s="2636" t="s">
        <v>2347</v>
      </c>
      <c r="I223" s="2128" t="str">
        <f t="shared" si="101"/>
        <v>6-DaHall 1-PDU-01-30-15</v>
      </c>
      <c r="J223" s="2129" t="str">
        <f t="shared" si="102"/>
        <v>6-DaHall 1-PDU-02-30-15</v>
      </c>
      <c r="K223" s="1477">
        <v>220</v>
      </c>
      <c r="L223" s="1478">
        <v>30</v>
      </c>
      <c r="M223" s="2435" t="s">
        <v>6497</v>
      </c>
      <c r="N223" s="1465">
        <v>15</v>
      </c>
      <c r="O223" s="1469">
        <v>220</v>
      </c>
      <c r="P223" s="1470">
        <v>30</v>
      </c>
      <c r="Q223" s="2441" t="s">
        <v>6493</v>
      </c>
      <c r="R223" s="1468">
        <v>15</v>
      </c>
      <c r="S223" s="3356"/>
      <c r="T223" s="3336"/>
      <c r="U223" s="3356"/>
      <c r="V223" s="3336"/>
      <c r="W223" s="3356"/>
      <c r="X223" s="3336"/>
      <c r="Y223" s="1095"/>
      <c r="Z223" s="1095"/>
      <c r="AA223" s="2463"/>
      <c r="AB223" s="2864"/>
      <c r="AC223" s="2865"/>
      <c r="AD223" s="2868">
        <f t="shared" si="103"/>
        <v>0</v>
      </c>
      <c r="AE223" s="2869"/>
      <c r="AF223" s="3418"/>
      <c r="AG223" s="2367">
        <f t="shared" si="99"/>
        <v>0</v>
      </c>
      <c r="AH223" s="2367">
        <f t="shared" si="100"/>
        <v>0</v>
      </c>
      <c r="AI223" s="123" t="str">
        <f t="shared" si="88"/>
        <v>무부하 랙</v>
      </c>
      <c r="AJ223" t="str">
        <f t="shared" si="89"/>
        <v/>
      </c>
      <c r="AK223" t="str">
        <f t="shared" si="90"/>
        <v/>
      </c>
      <c r="AP223" s="123"/>
      <c r="AQ223" s="123"/>
      <c r="AR223" s="123"/>
      <c r="AS223" s="3084"/>
      <c r="AT223" s="123"/>
      <c r="AU223" s="123"/>
      <c r="AV223" s="3085"/>
      <c r="AW223" s="3086"/>
      <c r="AX223" s="3087"/>
      <c r="AY223" s="3088"/>
      <c r="AZ223" s="3089"/>
      <c r="BA223" s="3090"/>
      <c r="BB223" s="3091"/>
    </row>
    <row r="224" spans="1:54" ht="28.5" hidden="1" customHeight="1">
      <c r="A224" s="1086"/>
      <c r="B224" s="250" t="s">
        <v>2348</v>
      </c>
      <c r="C224" s="250"/>
      <c r="D224" s="250"/>
      <c r="E224" s="250" t="s">
        <v>2349</v>
      </c>
      <c r="F224" s="250" t="s">
        <v>2350</v>
      </c>
      <c r="G224" s="2641" t="s">
        <v>2351</v>
      </c>
      <c r="H224" s="2636" t="s">
        <v>2352</v>
      </c>
      <c r="I224" s="2128" t="str">
        <f t="shared" si="101"/>
        <v>6-DaHall 1-PDU-01-30-13</v>
      </c>
      <c r="J224" s="2129" t="str">
        <f t="shared" si="102"/>
        <v>6-DaHall 1-PDU-02-30-13</v>
      </c>
      <c r="K224" s="1477">
        <v>220</v>
      </c>
      <c r="L224" s="1478">
        <v>30</v>
      </c>
      <c r="M224" s="2435" t="s">
        <v>6497</v>
      </c>
      <c r="N224" s="1465">
        <v>13</v>
      </c>
      <c r="O224" s="1469">
        <v>220</v>
      </c>
      <c r="P224" s="1470">
        <v>30</v>
      </c>
      <c r="Q224" s="2441" t="s">
        <v>6493</v>
      </c>
      <c r="R224" s="1468">
        <v>13</v>
      </c>
      <c r="S224" s="3356"/>
      <c r="T224" s="3336"/>
      <c r="U224" s="3356"/>
      <c r="V224" s="3336"/>
      <c r="W224" s="3356"/>
      <c r="X224" s="3336"/>
      <c r="Y224" s="1095"/>
      <c r="Z224" s="1095"/>
      <c r="AA224" s="2463"/>
      <c r="AB224" s="2864"/>
      <c r="AC224" s="2865"/>
      <c r="AD224" s="2868">
        <f t="shared" si="103"/>
        <v>0</v>
      </c>
      <c r="AE224" s="2869"/>
      <c r="AF224" s="3418"/>
      <c r="AG224" s="2367">
        <f t="shared" si="99"/>
        <v>0</v>
      </c>
      <c r="AH224" s="2367">
        <f t="shared" si="100"/>
        <v>0</v>
      </c>
      <c r="AI224" s="123" t="str">
        <f t="shared" si="88"/>
        <v>무부하 랙</v>
      </c>
      <c r="AJ224" t="str">
        <f t="shared" si="89"/>
        <v/>
      </c>
      <c r="AK224" t="str">
        <f t="shared" si="90"/>
        <v/>
      </c>
      <c r="AP224" s="123"/>
      <c r="AQ224" s="123"/>
      <c r="AR224" s="123"/>
      <c r="AS224" s="3084"/>
      <c r="AT224" s="123"/>
      <c r="AU224" s="123"/>
      <c r="AV224" s="3085"/>
      <c r="AW224" s="3086"/>
      <c r="AX224" s="3087"/>
      <c r="AY224" s="3088"/>
      <c r="AZ224" s="3089"/>
      <c r="BA224" s="3090"/>
      <c r="BB224" s="3091"/>
    </row>
    <row r="225" spans="1:54" ht="28.5" hidden="1" customHeight="1">
      <c r="A225" s="1086"/>
      <c r="B225" s="250" t="s">
        <v>2353</v>
      </c>
      <c r="C225" s="250"/>
      <c r="D225" s="250"/>
      <c r="E225" s="250" t="s">
        <v>2354</v>
      </c>
      <c r="F225" s="250" t="s">
        <v>2355</v>
      </c>
      <c r="G225" s="2641" t="s">
        <v>2356</v>
      </c>
      <c r="H225" s="2636" t="s">
        <v>2357</v>
      </c>
      <c r="I225" s="2128" t="str">
        <f t="shared" si="101"/>
        <v>6-DaHall 1-PDU-01-30-11</v>
      </c>
      <c r="J225" s="2129" t="str">
        <f t="shared" si="102"/>
        <v>6-DaHall 1-PDU-02-30-11</v>
      </c>
      <c r="K225" s="1477">
        <v>220</v>
      </c>
      <c r="L225" s="1478">
        <v>30</v>
      </c>
      <c r="M225" s="2435" t="s">
        <v>6497</v>
      </c>
      <c r="N225" s="1465">
        <v>11</v>
      </c>
      <c r="O225" s="1469">
        <v>220</v>
      </c>
      <c r="P225" s="1470">
        <v>30</v>
      </c>
      <c r="Q225" s="2441" t="s">
        <v>6493</v>
      </c>
      <c r="R225" s="1468">
        <v>11</v>
      </c>
      <c r="S225" s="3356"/>
      <c r="T225" s="3336"/>
      <c r="U225" s="3356"/>
      <c r="V225" s="3336"/>
      <c r="W225" s="3356"/>
      <c r="X225" s="3336"/>
      <c r="Y225" s="1095"/>
      <c r="Z225" s="1095"/>
      <c r="AA225" s="2463"/>
      <c r="AB225" s="2864"/>
      <c r="AC225" s="2865"/>
      <c r="AD225" s="2868">
        <f t="shared" si="103"/>
        <v>0</v>
      </c>
      <c r="AE225" s="2869"/>
      <c r="AF225" s="3418"/>
      <c r="AG225" s="2367">
        <f t="shared" si="99"/>
        <v>0</v>
      </c>
      <c r="AH225" s="2367">
        <f t="shared" si="100"/>
        <v>0</v>
      </c>
      <c r="AI225" s="123" t="str">
        <f t="shared" si="88"/>
        <v>무부하 랙</v>
      </c>
      <c r="AJ225" t="str">
        <f t="shared" si="89"/>
        <v/>
      </c>
      <c r="AK225" t="str">
        <f t="shared" si="90"/>
        <v/>
      </c>
      <c r="AP225" s="123"/>
      <c r="AQ225" s="123"/>
      <c r="AR225" s="123"/>
      <c r="AS225" s="3084"/>
      <c r="AT225" s="123"/>
      <c r="AU225" s="123"/>
      <c r="AV225" s="3085"/>
      <c r="AW225" s="3086"/>
      <c r="AX225" s="3087"/>
      <c r="AY225" s="3088"/>
      <c r="AZ225" s="3089"/>
      <c r="BA225" s="3090"/>
      <c r="BB225" s="3091"/>
    </row>
    <row r="226" spans="1:54" ht="28.5" hidden="1" customHeight="1">
      <c r="A226" s="1086"/>
      <c r="B226" s="250" t="s">
        <v>2358</v>
      </c>
      <c r="C226" s="250"/>
      <c r="D226" s="250"/>
      <c r="E226" s="250" t="s">
        <v>2359</v>
      </c>
      <c r="F226" s="250" t="s">
        <v>2360</v>
      </c>
      <c r="G226" s="2641" t="s">
        <v>2361</v>
      </c>
      <c r="H226" s="2636" t="s">
        <v>2362</v>
      </c>
      <c r="I226" s="2128" t="str">
        <f t="shared" si="101"/>
        <v>6-DaHall 1-PDU-01-30-9</v>
      </c>
      <c r="J226" s="2129" t="str">
        <f t="shared" si="102"/>
        <v>6-DaHall 1-PDU-02-30-9</v>
      </c>
      <c r="K226" s="1477">
        <v>220</v>
      </c>
      <c r="L226" s="1478">
        <v>30</v>
      </c>
      <c r="M226" s="2435" t="s">
        <v>6497</v>
      </c>
      <c r="N226" s="1465">
        <v>9</v>
      </c>
      <c r="O226" s="1469">
        <v>220</v>
      </c>
      <c r="P226" s="1470">
        <v>30</v>
      </c>
      <c r="Q226" s="2441" t="s">
        <v>6493</v>
      </c>
      <c r="R226" s="1468">
        <v>9</v>
      </c>
      <c r="S226" s="3356"/>
      <c r="T226" s="3336"/>
      <c r="U226" s="3356"/>
      <c r="V226" s="3336"/>
      <c r="W226" s="3356"/>
      <c r="X226" s="3336"/>
      <c r="Y226" s="1095"/>
      <c r="Z226" s="1095"/>
      <c r="AA226" s="2463"/>
      <c r="AB226" s="2864"/>
      <c r="AC226" s="2865"/>
      <c r="AD226" s="2868">
        <f t="shared" si="103"/>
        <v>0</v>
      </c>
      <c r="AE226" s="2869"/>
      <c r="AF226" s="3418"/>
      <c r="AG226" s="2367">
        <f t="shared" si="99"/>
        <v>0</v>
      </c>
      <c r="AH226" s="2367">
        <f t="shared" si="100"/>
        <v>0</v>
      </c>
      <c r="AI226" s="123" t="str">
        <f t="shared" si="88"/>
        <v>무부하 랙</v>
      </c>
      <c r="AJ226" t="str">
        <f t="shared" si="89"/>
        <v/>
      </c>
      <c r="AK226" t="str">
        <f t="shared" si="90"/>
        <v/>
      </c>
      <c r="AP226" s="123"/>
      <c r="AQ226" s="123"/>
      <c r="AR226" s="123"/>
      <c r="AS226" s="3084"/>
      <c r="AT226" s="123"/>
      <c r="AU226" s="123"/>
      <c r="AV226" s="3085"/>
      <c r="AW226" s="3086"/>
      <c r="AX226" s="3087"/>
      <c r="AY226" s="3088"/>
      <c r="AZ226" s="3089"/>
      <c r="BA226" s="3090"/>
      <c r="BB226" s="3091"/>
    </row>
    <row r="227" spans="1:54" ht="28.5" hidden="1" customHeight="1">
      <c r="A227" s="1086"/>
      <c r="B227" s="250" t="s">
        <v>2363</v>
      </c>
      <c r="C227" s="250"/>
      <c r="D227" s="250"/>
      <c r="E227" s="250" t="s">
        <v>2364</v>
      </c>
      <c r="F227" s="250" t="s">
        <v>2365</v>
      </c>
      <c r="G227" s="2641" t="s">
        <v>2366</v>
      </c>
      <c r="H227" s="2636" t="s">
        <v>2367</v>
      </c>
      <c r="I227" s="2128" t="str">
        <f t="shared" si="101"/>
        <v>6-DaHall 1-PDU-01-30-7</v>
      </c>
      <c r="J227" s="2129" t="str">
        <f t="shared" si="102"/>
        <v>6-DaHall 1-PDU-02-30-7</v>
      </c>
      <c r="K227" s="1477">
        <v>220</v>
      </c>
      <c r="L227" s="1478">
        <v>30</v>
      </c>
      <c r="M227" s="2435" t="s">
        <v>6497</v>
      </c>
      <c r="N227" s="1465">
        <v>7</v>
      </c>
      <c r="O227" s="1469">
        <v>220</v>
      </c>
      <c r="P227" s="1470">
        <v>30</v>
      </c>
      <c r="Q227" s="2441" t="s">
        <v>6493</v>
      </c>
      <c r="R227" s="1468">
        <v>7</v>
      </c>
      <c r="S227" s="3356"/>
      <c r="T227" s="3336"/>
      <c r="U227" s="3356"/>
      <c r="V227" s="3336"/>
      <c r="W227" s="3356"/>
      <c r="X227" s="3336"/>
      <c r="Y227" s="1095"/>
      <c r="Z227" s="1095"/>
      <c r="AA227" s="2463"/>
      <c r="AB227" s="2864"/>
      <c r="AC227" s="2865"/>
      <c r="AD227" s="2868">
        <f t="shared" si="103"/>
        <v>0</v>
      </c>
      <c r="AE227" s="2869"/>
      <c r="AF227" s="3418"/>
      <c r="AG227" s="2367">
        <f t="shared" si="99"/>
        <v>0</v>
      </c>
      <c r="AH227" s="2367">
        <f t="shared" si="100"/>
        <v>0</v>
      </c>
      <c r="AI227" s="123" t="str">
        <f t="shared" si="88"/>
        <v>무부하 랙</v>
      </c>
      <c r="AJ227" t="str">
        <f t="shared" si="89"/>
        <v/>
      </c>
      <c r="AK227" t="str">
        <f t="shared" si="90"/>
        <v/>
      </c>
      <c r="AP227" s="123"/>
      <c r="AQ227" s="123"/>
      <c r="AR227" s="123"/>
      <c r="AS227" s="3084"/>
      <c r="AT227" s="123"/>
      <c r="AU227" s="123"/>
      <c r="AV227" s="3085"/>
      <c r="AW227" s="3086"/>
      <c r="AX227" s="3087"/>
      <c r="AY227" s="3088"/>
      <c r="AZ227" s="3089"/>
      <c r="BA227" s="3090"/>
      <c r="BB227" s="3091"/>
    </row>
    <row r="228" spans="1:54" ht="15" hidden="1" customHeight="1">
      <c r="A228" s="1086"/>
      <c r="B228" s="2712" t="s">
        <v>2368</v>
      </c>
      <c r="C228" s="2712"/>
      <c r="D228" s="2712"/>
      <c r="E228" s="2712"/>
      <c r="F228" s="2712"/>
      <c r="G228" s="2708"/>
      <c r="H228" s="2691"/>
      <c r="I228" s="2137" t="str">
        <f t="shared" si="101"/>
        <v>6-DaHall 1-PDU--30-</v>
      </c>
      <c r="J228" s="2138" t="str">
        <f t="shared" si="102"/>
        <v>6-DaHall 1-PDU--30-</v>
      </c>
      <c r="K228" s="1492">
        <v>220</v>
      </c>
      <c r="L228" s="1493">
        <v>30</v>
      </c>
      <c r="M228" s="2708"/>
      <c r="N228" s="1494"/>
      <c r="O228" s="1495">
        <v>220</v>
      </c>
      <c r="P228" s="1496">
        <v>30</v>
      </c>
      <c r="Q228" s="2691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57">
        <f t="shared" ref="AA228:AA230" si="104">SUM(Y228:Z228)</f>
        <v>0</v>
      </c>
      <c r="AB228" s="2870"/>
      <c r="AC228" s="2871"/>
      <c r="AD228" s="2847">
        <f t="shared" si="103"/>
        <v>0</v>
      </c>
      <c r="AE228" s="2848" t="s">
        <v>1265</v>
      </c>
      <c r="AF228" s="3418"/>
      <c r="AG228" s="2367">
        <f t="shared" si="99"/>
        <v>0</v>
      </c>
      <c r="AH228" s="2367">
        <f t="shared" si="100"/>
        <v>0</v>
      </c>
      <c r="AI228" s="123" t="str">
        <f t="shared" si="88"/>
        <v>무부하 랙</v>
      </c>
      <c r="AJ228" t="str">
        <f t="shared" si="89"/>
        <v/>
      </c>
      <c r="AK228" t="str">
        <f t="shared" si="90"/>
        <v/>
      </c>
      <c r="AP228" s="123"/>
      <c r="AQ228" s="123"/>
      <c r="AR228" s="123"/>
      <c r="AS228" s="3084"/>
      <c r="AT228" s="123"/>
      <c r="AU228" s="123"/>
      <c r="AV228" s="3085"/>
      <c r="AW228" s="3086"/>
      <c r="AX228" s="3087"/>
      <c r="AY228" s="3088"/>
      <c r="AZ228" s="3089"/>
      <c r="BA228" s="3090"/>
      <c r="BB228" s="3091"/>
    </row>
    <row r="229" spans="1:54" ht="15" hidden="1" customHeight="1">
      <c r="A229" s="1086"/>
      <c r="B229" s="2712" t="s">
        <v>2369</v>
      </c>
      <c r="C229" s="2712"/>
      <c r="D229" s="2712"/>
      <c r="E229" s="2712"/>
      <c r="F229" s="2712"/>
      <c r="G229" s="2708"/>
      <c r="H229" s="2691"/>
      <c r="I229" s="2137" t="str">
        <f t="shared" si="101"/>
        <v>6-DaHall 1-PDU--30-</v>
      </c>
      <c r="J229" s="2138" t="str">
        <f t="shared" si="102"/>
        <v>6-DaHall 1-PDU--30-</v>
      </c>
      <c r="K229" s="1492">
        <v>220</v>
      </c>
      <c r="L229" s="1493">
        <v>30</v>
      </c>
      <c r="M229" s="2708"/>
      <c r="N229" s="1494"/>
      <c r="O229" s="1495">
        <v>220</v>
      </c>
      <c r="P229" s="1496">
        <v>30</v>
      </c>
      <c r="Q229" s="2691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57">
        <f t="shared" si="104"/>
        <v>0</v>
      </c>
      <c r="AB229" s="2870"/>
      <c r="AC229" s="2871"/>
      <c r="AD229" s="2847">
        <f t="shared" si="103"/>
        <v>0</v>
      </c>
      <c r="AE229" s="2848" t="s">
        <v>1265</v>
      </c>
      <c r="AF229" s="3418"/>
      <c r="AG229" s="2367">
        <f t="shared" si="99"/>
        <v>0</v>
      </c>
      <c r="AH229" s="2367">
        <f t="shared" si="100"/>
        <v>0</v>
      </c>
      <c r="AI229" s="123" t="str">
        <f t="shared" si="88"/>
        <v>무부하 랙</v>
      </c>
      <c r="AJ229" t="str">
        <f t="shared" si="89"/>
        <v/>
      </c>
      <c r="AK229" t="str">
        <f t="shared" si="90"/>
        <v/>
      </c>
      <c r="AP229" s="123"/>
      <c r="AQ229" s="123"/>
      <c r="AR229" s="123"/>
      <c r="AS229" s="3084"/>
      <c r="AT229" s="123"/>
      <c r="AU229" s="123"/>
      <c r="AV229" s="3085"/>
      <c r="AW229" s="3086"/>
      <c r="AX229" s="3087"/>
      <c r="AY229" s="3088"/>
      <c r="AZ229" s="3089"/>
      <c r="BA229" s="3090"/>
      <c r="BB229" s="3091"/>
    </row>
    <row r="230" spans="1:54" ht="15" hidden="1" customHeight="1">
      <c r="A230" s="1087"/>
      <c r="B230" s="839" t="s">
        <v>2370</v>
      </c>
      <c r="C230" s="839"/>
      <c r="D230" s="839"/>
      <c r="E230" s="839"/>
      <c r="F230" s="839"/>
      <c r="G230" s="2709"/>
      <c r="H230" s="2692"/>
      <c r="I230" s="2133" t="str">
        <f t="shared" si="101"/>
        <v>6-DaHall 1-PDU--30-</v>
      </c>
      <c r="J230" s="2134" t="str">
        <f t="shared" si="102"/>
        <v>6-DaHall 1-PDU--30-</v>
      </c>
      <c r="K230" s="1480">
        <v>220</v>
      </c>
      <c r="L230" s="1481">
        <v>30</v>
      </c>
      <c r="M230" s="2709"/>
      <c r="N230" s="1482"/>
      <c r="O230" s="1483">
        <v>220</v>
      </c>
      <c r="P230" s="1484">
        <v>30</v>
      </c>
      <c r="Q230" s="2692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56">
        <f t="shared" si="104"/>
        <v>0</v>
      </c>
      <c r="AB230" s="2870"/>
      <c r="AC230" s="2872"/>
      <c r="AD230" s="2834">
        <f t="shared" si="103"/>
        <v>0</v>
      </c>
      <c r="AE230" s="2873" t="s">
        <v>1265</v>
      </c>
      <c r="AF230" s="3418"/>
      <c r="AG230" s="2367">
        <f t="shared" si="99"/>
        <v>0</v>
      </c>
      <c r="AH230" s="2367">
        <f t="shared" si="100"/>
        <v>0</v>
      </c>
      <c r="AI230" s="123" t="str">
        <f t="shared" si="88"/>
        <v>무부하 랙</v>
      </c>
      <c r="AJ230" t="str">
        <f t="shared" si="89"/>
        <v/>
      </c>
      <c r="AK230" t="str">
        <f t="shared" si="90"/>
        <v/>
      </c>
      <c r="AP230" s="123"/>
      <c r="AQ230" s="123"/>
      <c r="AR230" s="123"/>
      <c r="AS230" s="3084"/>
      <c r="AT230" s="123"/>
      <c r="AU230" s="123"/>
      <c r="AV230" s="3085"/>
      <c r="AW230" s="3086"/>
      <c r="AX230" s="3087"/>
      <c r="AY230" s="3088"/>
      <c r="AZ230" s="3089"/>
      <c r="BA230" s="3090"/>
      <c r="BB230" s="3091"/>
    </row>
    <row r="231" spans="1:54" ht="27.75" customHeight="1" thickTop="1">
      <c r="A231" s="1084" t="s">
        <v>2371</v>
      </c>
      <c r="B231" s="996" t="s">
        <v>2372</v>
      </c>
      <c r="C231" s="2664" t="s">
        <v>2380</v>
      </c>
      <c r="D231" s="3053">
        <v>2.2000000000000002</v>
      </c>
      <c r="E231" s="327" t="s">
        <v>2373</v>
      </c>
      <c r="F231" s="327" t="s">
        <v>2374</v>
      </c>
      <c r="G231" s="2640" t="s">
        <v>2375</v>
      </c>
      <c r="H231" s="2642" t="s">
        <v>2376</v>
      </c>
      <c r="I231" s="2135" t="str">
        <f t="shared" si="101"/>
        <v>6-DaHall 1-PDU-01-30-2</v>
      </c>
      <c r="J231" s="2136" t="str">
        <f t="shared" si="102"/>
        <v>6-DaHall 1-PDU-02-30-2</v>
      </c>
      <c r="K231" s="1486">
        <v>220</v>
      </c>
      <c r="L231" s="1487">
        <v>30</v>
      </c>
      <c r="M231" s="2437" t="s">
        <v>6497</v>
      </c>
      <c r="N231" s="1488">
        <v>2</v>
      </c>
      <c r="O231" s="1489">
        <v>220</v>
      </c>
      <c r="P231" s="1490">
        <v>30</v>
      </c>
      <c r="Q231" s="2443" t="s">
        <v>6493</v>
      </c>
      <c r="R231" s="1491">
        <v>2</v>
      </c>
      <c r="S231" s="3355" t="s">
        <v>1694</v>
      </c>
      <c r="T231" s="3361" t="s">
        <v>1695</v>
      </c>
      <c r="U231" s="3355" t="s">
        <v>1696</v>
      </c>
      <c r="V231" s="3361" t="s">
        <v>1697</v>
      </c>
      <c r="W231" s="3355" t="s">
        <v>1880</v>
      </c>
      <c r="X231" s="3361" t="s">
        <v>1277</v>
      </c>
      <c r="Y231" s="328">
        <f>SUM('6층_부하량(월간_AVG)'!L202:N202)</f>
        <v>1.9684241641657396</v>
      </c>
      <c r="Z231" s="328">
        <f>SUM('6층_부하량(월간_AVG)'!L232:N232)</f>
        <v>1.4817222206550544</v>
      </c>
      <c r="AA231" s="2874">
        <f>SUM(Y231:Z231)</f>
        <v>3.4501463848207941</v>
      </c>
      <c r="AB231" s="2875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245.8</v>
      </c>
      <c r="AC231" s="2876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174.4</v>
      </c>
      <c r="AD231" s="2852">
        <f t="shared" si="103"/>
        <v>420.20000000000005</v>
      </c>
      <c r="AE231" s="2877" t="s">
        <v>2377</v>
      </c>
      <c r="AF231" s="851"/>
      <c r="AG231" s="2367">
        <f t="shared" si="99"/>
        <v>0.56478494623655917</v>
      </c>
      <c r="AH231" s="2367">
        <f t="shared" si="100"/>
        <v>1.6352150537634409</v>
      </c>
      <c r="AI231" s="123" t="str">
        <f t="shared" si="88"/>
        <v>적정함</v>
      </c>
      <c r="AJ231" t="str">
        <f t="shared" si="89"/>
        <v/>
      </c>
      <c r="AK231" t="str">
        <f t="shared" si="90"/>
        <v/>
      </c>
      <c r="AP231" s="123"/>
      <c r="AQ231" s="123"/>
      <c r="AR231" s="123"/>
      <c r="AS231" s="3084"/>
      <c r="AT231" s="123"/>
      <c r="AU231" s="123"/>
      <c r="AV231" s="3085"/>
      <c r="AW231" s="3086"/>
      <c r="AX231" s="3087"/>
      <c r="AY231" s="3088"/>
      <c r="AZ231" s="3089"/>
      <c r="BA231" s="3090"/>
      <c r="BB231" s="3091"/>
    </row>
    <row r="232" spans="1:54" ht="27" customHeight="1">
      <c r="A232" s="3325" t="s">
        <v>2378</v>
      </c>
      <c r="B232" s="3360" t="s">
        <v>2379</v>
      </c>
      <c r="C232" s="3362" t="s">
        <v>2380</v>
      </c>
      <c r="D232" s="3324">
        <v>4</v>
      </c>
      <c r="E232" s="853" t="s">
        <v>2381</v>
      </c>
      <c r="F232" s="853" t="s">
        <v>2382</v>
      </c>
      <c r="G232" s="2641" t="s">
        <v>2383</v>
      </c>
      <c r="H232" s="2636" t="s">
        <v>2384</v>
      </c>
      <c r="I232" s="2128" t="str">
        <f t="shared" si="101"/>
        <v>6-DaHall 1-PDU-01-30-36</v>
      </c>
      <c r="J232" s="2129" t="str">
        <f t="shared" si="102"/>
        <v>6-DaHall 1-PDU-02-30-36</v>
      </c>
      <c r="K232" s="1463">
        <v>220</v>
      </c>
      <c r="L232" s="1464">
        <v>30</v>
      </c>
      <c r="M232" s="2435" t="s">
        <v>6497</v>
      </c>
      <c r="N232" s="1465">
        <v>36</v>
      </c>
      <c r="O232" s="1466">
        <v>220</v>
      </c>
      <c r="P232" s="1467">
        <v>30</v>
      </c>
      <c r="Q232" s="2441" t="s">
        <v>6493</v>
      </c>
      <c r="R232" s="1468">
        <v>36</v>
      </c>
      <c r="S232" s="3356"/>
      <c r="T232" s="3336"/>
      <c r="U232" s="3356"/>
      <c r="V232" s="3336"/>
      <c r="W232" s="3356"/>
      <c r="X232" s="3336"/>
      <c r="Y232" s="253">
        <f>SUM('6층_부하량(월간_AVG)'!L219:N219)</f>
        <v>1.0341960661021028</v>
      </c>
      <c r="Z232" s="253">
        <f>SUM('6층_부하량(월간_AVG)'!L249:N249)</f>
        <v>1.3852848626177954</v>
      </c>
      <c r="AA232" s="3395">
        <f>SUM(Y232:Z233)</f>
        <v>2.4194809287198984</v>
      </c>
      <c r="AB232" s="2715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151.1</v>
      </c>
      <c r="AC232" s="2846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172.9</v>
      </c>
      <c r="AD232" s="3405">
        <f>SUM(AB232:AC233)</f>
        <v>324</v>
      </c>
      <c r="AE232" s="2878" t="s">
        <v>2385</v>
      </c>
      <c r="AG232" s="2367">
        <f t="shared" si="99"/>
        <v>0.43548387096774194</v>
      </c>
      <c r="AH232" s="2367">
        <f t="shared" si="100"/>
        <v>3.564516129032258</v>
      </c>
      <c r="AI232" s="123" t="str">
        <f t="shared" si="88"/>
        <v>적정함</v>
      </c>
      <c r="AJ232" t="str">
        <f t="shared" si="89"/>
        <v/>
      </c>
      <c r="AK232" t="str">
        <f t="shared" si="90"/>
        <v/>
      </c>
      <c r="AP232" s="123"/>
      <c r="AQ232" s="123"/>
      <c r="AR232" s="123"/>
      <c r="AS232" s="3084"/>
      <c r="AT232" s="123"/>
      <c r="AU232" s="123"/>
      <c r="AV232" s="3085"/>
      <c r="AW232" s="3086"/>
      <c r="AX232" s="3087"/>
      <c r="AY232" s="3088"/>
      <c r="AZ232" s="3089"/>
      <c r="BA232" s="3090"/>
      <c r="BB232" s="3091"/>
    </row>
    <row r="233" spans="1:54" ht="27" customHeight="1">
      <c r="A233" s="3325"/>
      <c r="B233" s="3360"/>
      <c r="C233" s="3363"/>
      <c r="D233" s="3324"/>
      <c r="E233" s="2039" t="s">
        <v>2386</v>
      </c>
      <c r="F233" s="853" t="s">
        <v>2387</v>
      </c>
      <c r="G233" s="2708" t="s">
        <v>2388</v>
      </c>
      <c r="H233" s="2636" t="s">
        <v>2389</v>
      </c>
      <c r="I233" s="2137" t="str">
        <f t="shared" si="101"/>
        <v>6-DaHall 1-PDU-01-30-38</v>
      </c>
      <c r="J233" s="2129" t="str">
        <f t="shared" si="102"/>
        <v>6-DaHall 1-PDU-02-30-38</v>
      </c>
      <c r="K233" s="1463">
        <v>220</v>
      </c>
      <c r="L233" s="1464">
        <v>30</v>
      </c>
      <c r="M233" s="2435" t="s">
        <v>6497</v>
      </c>
      <c r="N233" s="1465">
        <v>38</v>
      </c>
      <c r="O233" s="1466">
        <v>220</v>
      </c>
      <c r="P233" s="1467">
        <v>30</v>
      </c>
      <c r="Q233" s="2441" t="s">
        <v>6493</v>
      </c>
      <c r="R233" s="1468">
        <v>38</v>
      </c>
      <c r="S233" s="3356"/>
      <c r="T233" s="3336"/>
      <c r="U233" s="3356"/>
      <c r="V233" s="3336"/>
      <c r="W233" s="3356"/>
      <c r="X233" s="3336"/>
      <c r="Y233" s="834">
        <f>SUM('6층_부하량(월간_AVG)'!L220:N220)</f>
        <v>0</v>
      </c>
      <c r="Z233" s="253">
        <f>SUM('6층_부하량(월간_AVG)'!L250:N250)</f>
        <v>0</v>
      </c>
      <c r="AA233" s="3395"/>
      <c r="AB233" s="2715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46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407"/>
      <c r="AE233" s="2821" t="s">
        <v>2390</v>
      </c>
      <c r="AG233" s="2367">
        <f t="shared" si="99"/>
        <v>0</v>
      </c>
      <c r="AH233" s="2367">
        <f t="shared" si="100"/>
        <v>0</v>
      </c>
      <c r="AI233" s="123" t="str">
        <f t="shared" si="88"/>
        <v>무부하 랙</v>
      </c>
      <c r="AJ233" t="str">
        <f t="shared" si="89"/>
        <v/>
      </c>
      <c r="AK233" t="str">
        <f t="shared" si="90"/>
        <v/>
      </c>
      <c r="AP233" s="123"/>
      <c r="AQ233" s="123"/>
      <c r="AR233" s="123"/>
      <c r="AS233" s="3084"/>
      <c r="AT233" s="123"/>
      <c r="AU233" s="123"/>
      <c r="AV233" s="3085"/>
      <c r="AW233" s="3086"/>
      <c r="AX233" s="3087"/>
      <c r="AY233" s="3088"/>
      <c r="AZ233" s="3089"/>
      <c r="BA233" s="3090"/>
      <c r="BB233" s="3091"/>
    </row>
    <row r="234" spans="1:54" ht="29.4" thickBot="1">
      <c r="A234" s="2660" t="s">
        <v>2391</v>
      </c>
      <c r="B234" s="2661" t="s">
        <v>2392</v>
      </c>
      <c r="C234" s="2688" t="s">
        <v>2380</v>
      </c>
      <c r="D234" s="3053">
        <v>4</v>
      </c>
      <c r="E234" s="2661" t="s">
        <v>2393</v>
      </c>
      <c r="F234" s="2661" t="s">
        <v>2394</v>
      </c>
      <c r="G234" s="2643" t="s">
        <v>2395</v>
      </c>
      <c r="H234" s="2637" t="s">
        <v>2396</v>
      </c>
      <c r="I234" s="2130" t="str">
        <f t="shared" si="101"/>
        <v>6-DaHall 1-PDU-01-30-4</v>
      </c>
      <c r="J234" s="2131" t="str">
        <f t="shared" si="102"/>
        <v>6-DaHall 1-PDU-02-30-4</v>
      </c>
      <c r="K234" s="1471">
        <v>220</v>
      </c>
      <c r="L234" s="1472">
        <v>30</v>
      </c>
      <c r="M234" s="2438" t="s">
        <v>6497</v>
      </c>
      <c r="N234" s="1473">
        <v>4</v>
      </c>
      <c r="O234" s="1474">
        <v>220</v>
      </c>
      <c r="P234" s="1475">
        <v>30</v>
      </c>
      <c r="Q234" s="2444" t="s">
        <v>6493</v>
      </c>
      <c r="R234" s="1476">
        <v>4</v>
      </c>
      <c r="S234" s="3357"/>
      <c r="T234" s="3358"/>
      <c r="U234" s="3357"/>
      <c r="V234" s="3358"/>
      <c r="W234" s="3357"/>
      <c r="X234" s="3358"/>
      <c r="Y234" s="329">
        <f>SUM('6층_부하량(월간_AVG)'!L203:N203)</f>
        <v>3.0652937378992968</v>
      </c>
      <c r="Z234" s="329">
        <f>SUM('6층_부하량(월간_AVG)'!L233:N233)</f>
        <v>2.1413178672102142</v>
      </c>
      <c r="AA234" s="2879">
        <f>SUM(Y234:Z234)</f>
        <v>5.2066116051095115</v>
      </c>
      <c r="AB234" s="2862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470.9</v>
      </c>
      <c r="AC234" s="2863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347.2</v>
      </c>
      <c r="AD234" s="2834">
        <f t="shared" ref="AD234:AD250" si="105">SUM(AB234:AC234)</f>
        <v>818.09999999999991</v>
      </c>
      <c r="AE234" s="2823" t="s">
        <v>2397</v>
      </c>
      <c r="AG234" s="2367">
        <f t="shared" si="99"/>
        <v>1.0995967741935482</v>
      </c>
      <c r="AH234" s="2367">
        <f t="shared" si="100"/>
        <v>2.9004032258064516</v>
      </c>
      <c r="AI234" s="123" t="str">
        <f t="shared" si="88"/>
        <v>적정함</v>
      </c>
      <c r="AJ234" t="str">
        <f t="shared" si="89"/>
        <v/>
      </c>
      <c r="AK234" t="str">
        <f t="shared" si="90"/>
        <v/>
      </c>
      <c r="AP234" s="123"/>
      <c r="AQ234" s="123"/>
      <c r="AR234" s="123"/>
      <c r="AS234" s="3084"/>
      <c r="AT234" s="123"/>
      <c r="AU234" s="123"/>
      <c r="AV234" s="3085"/>
      <c r="AW234" s="3086"/>
      <c r="AX234" s="3087"/>
      <c r="AY234" s="3088"/>
      <c r="AZ234" s="3089"/>
      <c r="BA234" s="3090"/>
      <c r="BB234" s="3091"/>
    </row>
    <row r="235" spans="1:54" ht="43.8" thickTop="1">
      <c r="A235" s="1084" t="s">
        <v>2398</v>
      </c>
      <c r="B235" s="996" t="s">
        <v>2399</v>
      </c>
      <c r="C235" s="2976" t="s">
        <v>9248</v>
      </c>
      <c r="D235" s="3053">
        <v>2.2000000000000002</v>
      </c>
      <c r="E235" s="327" t="s">
        <v>2400</v>
      </c>
      <c r="F235" s="327" t="s">
        <v>2401</v>
      </c>
      <c r="G235" s="2640" t="s">
        <v>2402</v>
      </c>
      <c r="H235" s="2642" t="s">
        <v>2403</v>
      </c>
      <c r="I235" s="2135" t="str">
        <f t="shared" si="101"/>
        <v>6-DaHall 1-PDU-01-30-6</v>
      </c>
      <c r="J235" s="2136" t="str">
        <f t="shared" si="102"/>
        <v>6-DaHall 1-PDU-02-30-6</v>
      </c>
      <c r="K235" s="1486">
        <v>220</v>
      </c>
      <c r="L235" s="1487">
        <v>30</v>
      </c>
      <c r="M235" s="2437" t="s">
        <v>6497</v>
      </c>
      <c r="N235" s="1488">
        <v>6</v>
      </c>
      <c r="O235" s="1489">
        <v>220</v>
      </c>
      <c r="P235" s="1490">
        <v>30</v>
      </c>
      <c r="Q235" s="2443" t="s">
        <v>6493</v>
      </c>
      <c r="R235" s="1491">
        <v>6</v>
      </c>
      <c r="S235" s="3355" t="s">
        <v>1694</v>
      </c>
      <c r="T235" s="3361" t="s">
        <v>1695</v>
      </c>
      <c r="U235" s="3355" t="s">
        <v>1696</v>
      </c>
      <c r="V235" s="3361" t="s">
        <v>1697</v>
      </c>
      <c r="W235" s="3355" t="s">
        <v>1880</v>
      </c>
      <c r="X235" s="3361" t="s">
        <v>1277</v>
      </c>
      <c r="Y235" s="328">
        <f>SUM('6층_부하량(월간_AVG)'!L204:N204)</f>
        <v>2.9963156830366455</v>
      </c>
      <c r="Z235" s="328">
        <f>SUM('6층_부하량(월간_AVG)'!L234:N234)</f>
        <v>5.1115465055897271</v>
      </c>
      <c r="AA235" s="2880">
        <f t="shared" ref="AA235:AA249" si="106">SUM(Y235:Z235)</f>
        <v>8.1078621886263722</v>
      </c>
      <c r="AB235" s="2875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415.9</v>
      </c>
      <c r="AC235" s="2876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753.4</v>
      </c>
      <c r="AD235" s="2852">
        <f t="shared" si="105"/>
        <v>1169.3</v>
      </c>
      <c r="AE235" s="2825"/>
      <c r="AG235" s="2367">
        <f t="shared" si="99"/>
        <v>1.5716397849462365</v>
      </c>
      <c r="AH235" s="2367">
        <f t="shared" si="100"/>
        <v>0.62836021505376372</v>
      </c>
      <c r="AI235" s="123" t="str">
        <f t="shared" si="88"/>
        <v>적정함</v>
      </c>
      <c r="AJ235" t="str">
        <f t="shared" si="89"/>
        <v/>
      </c>
      <c r="AK235" t="str">
        <f t="shared" si="90"/>
        <v/>
      </c>
      <c r="AP235" s="123"/>
      <c r="AQ235" s="123"/>
      <c r="AR235" s="123"/>
      <c r="AS235" s="3084"/>
      <c r="AT235" s="123"/>
      <c r="AU235" s="123"/>
      <c r="AV235" s="3085"/>
      <c r="AW235" s="3086"/>
      <c r="AX235" s="3087"/>
      <c r="AY235" s="3088"/>
      <c r="AZ235" s="3089"/>
      <c r="BA235" s="3090"/>
      <c r="BB235" s="3091"/>
    </row>
    <row r="236" spans="1:54" ht="43.2">
      <c r="A236" s="2652" t="s">
        <v>2404</v>
      </c>
      <c r="B236" s="2653" t="s">
        <v>2405</v>
      </c>
      <c r="C236" s="2664" t="s">
        <v>9248</v>
      </c>
      <c r="D236" s="3053">
        <v>2.2000000000000002</v>
      </c>
      <c r="E236" s="250" t="s">
        <v>2406</v>
      </c>
      <c r="F236" s="250" t="s">
        <v>2407</v>
      </c>
      <c r="G236" s="2641" t="s">
        <v>2408</v>
      </c>
      <c r="H236" s="2636" t="s">
        <v>2409</v>
      </c>
      <c r="I236" s="2128" t="str">
        <f t="shared" si="101"/>
        <v>6-DaHall 1-PDU-01-30-8</v>
      </c>
      <c r="J236" s="2129" t="str">
        <f t="shared" si="102"/>
        <v>6-DaHall 1-PDU-02-30-8</v>
      </c>
      <c r="K236" s="1463">
        <v>220</v>
      </c>
      <c r="L236" s="1464">
        <v>30</v>
      </c>
      <c r="M236" s="2435" t="s">
        <v>6497</v>
      </c>
      <c r="N236" s="1465">
        <v>8</v>
      </c>
      <c r="O236" s="1466">
        <v>220</v>
      </c>
      <c r="P236" s="1467">
        <v>30</v>
      </c>
      <c r="Q236" s="2441" t="s">
        <v>6493</v>
      </c>
      <c r="R236" s="1468">
        <v>8</v>
      </c>
      <c r="S236" s="3356"/>
      <c r="T236" s="3336"/>
      <c r="U236" s="3356"/>
      <c r="V236" s="3336"/>
      <c r="W236" s="3356"/>
      <c r="X236" s="3336"/>
      <c r="Y236" s="253">
        <f>SUM('6층_부하량(월간_AVG)'!L205:N205)</f>
        <v>4.8501715193602069</v>
      </c>
      <c r="Z236" s="253">
        <f>SUM('6층_부하량(월간_AVG)'!L235:N235)</f>
        <v>3.3469574717223116</v>
      </c>
      <c r="AA236" s="2466">
        <f t="shared" si="106"/>
        <v>8.1971289910825185</v>
      </c>
      <c r="AB236" s="2715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739.9</v>
      </c>
      <c r="AC236" s="2846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455</v>
      </c>
      <c r="AD236" s="2829">
        <f t="shared" si="105"/>
        <v>1194.9000000000001</v>
      </c>
      <c r="AE236" s="2821"/>
      <c r="AG236" s="2367">
        <f t="shared" si="99"/>
        <v>1.6060483870967743</v>
      </c>
      <c r="AH236" s="2367">
        <f t="shared" si="100"/>
        <v>0.59395161290322585</v>
      </c>
      <c r="AI236" s="123" t="str">
        <f t="shared" si="88"/>
        <v>적정함</v>
      </c>
      <c r="AJ236" t="str">
        <f t="shared" si="89"/>
        <v/>
      </c>
      <c r="AK236" t="str">
        <f t="shared" si="90"/>
        <v/>
      </c>
      <c r="AP236" s="123"/>
      <c r="AQ236" s="123"/>
      <c r="AR236" s="123"/>
      <c r="AS236" s="3084"/>
      <c r="AT236" s="123"/>
      <c r="AU236" s="123"/>
      <c r="AV236" s="3085"/>
      <c r="AW236" s="3086"/>
      <c r="AX236" s="3087"/>
      <c r="AY236" s="3088"/>
      <c r="AZ236" s="3089"/>
      <c r="BA236" s="3090"/>
      <c r="BB236" s="3091"/>
    </row>
    <row r="237" spans="1:54" ht="43.2">
      <c r="A237" s="2652" t="s">
        <v>2410</v>
      </c>
      <c r="B237" s="2653" t="s">
        <v>2411</v>
      </c>
      <c r="C237" s="2664" t="s">
        <v>9248</v>
      </c>
      <c r="D237" s="3053">
        <v>2.2000000000000002</v>
      </c>
      <c r="E237" s="250" t="s">
        <v>2412</v>
      </c>
      <c r="F237" s="250" t="s">
        <v>2413</v>
      </c>
      <c r="G237" s="2641" t="s">
        <v>2414</v>
      </c>
      <c r="H237" s="2636" t="s">
        <v>2415</v>
      </c>
      <c r="I237" s="2128" t="str">
        <f t="shared" si="101"/>
        <v>6-DaHall 1-PDU-01-30-10</v>
      </c>
      <c r="J237" s="2129" t="str">
        <f t="shared" si="102"/>
        <v>6-DaHall 1-PDU-02-30-10</v>
      </c>
      <c r="K237" s="1463">
        <v>220</v>
      </c>
      <c r="L237" s="1464">
        <v>30</v>
      </c>
      <c r="M237" s="2435" t="s">
        <v>6497</v>
      </c>
      <c r="N237" s="1465">
        <v>10</v>
      </c>
      <c r="O237" s="1466">
        <v>220</v>
      </c>
      <c r="P237" s="1467">
        <v>30</v>
      </c>
      <c r="Q237" s="2441" t="s">
        <v>6493</v>
      </c>
      <c r="R237" s="1468">
        <v>10</v>
      </c>
      <c r="S237" s="3356"/>
      <c r="T237" s="3336"/>
      <c r="U237" s="3356"/>
      <c r="V237" s="3336"/>
      <c r="W237" s="3356"/>
      <c r="X237" s="3336"/>
      <c r="Y237" s="253">
        <f>SUM('6층_부하량(월간_AVG)'!L206:N206)</f>
        <v>7.8670533374070706</v>
      </c>
      <c r="Z237" s="253">
        <f>SUM('6층_부하량(월간_AVG)'!L236:N236)</f>
        <v>7.6113859585830141</v>
      </c>
      <c r="AA237" s="2466">
        <f t="shared" si="106"/>
        <v>15.478439295990086</v>
      </c>
      <c r="AB237" s="2715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1272.0999999999999</v>
      </c>
      <c r="AC237" s="2846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1228.7</v>
      </c>
      <c r="AD237" s="2829">
        <f t="shared" si="105"/>
        <v>2500.8000000000002</v>
      </c>
      <c r="AE237" s="2821"/>
      <c r="AG237" s="2367">
        <f t="shared" si="99"/>
        <v>3.3612903225806452</v>
      </c>
      <c r="AH237" s="2367">
        <f t="shared" si="100"/>
        <v>-1.161290322580645</v>
      </c>
      <c r="AI237" s="123" t="str">
        <f t="shared" si="88"/>
        <v>사용초과</v>
      </c>
      <c r="AJ237" t="str">
        <f t="shared" si="89"/>
        <v>삼성물산(주)패션부문</v>
      </c>
      <c r="AK237" t="str">
        <f t="shared" si="90"/>
        <v>G2103</v>
      </c>
      <c r="AP237" s="123"/>
      <c r="AQ237" s="123"/>
      <c r="AR237" s="123"/>
      <c r="AS237" s="3084"/>
      <c r="AT237" s="123"/>
      <c r="AU237" s="123"/>
      <c r="AV237" s="3085"/>
      <c r="AW237" s="3086"/>
      <c r="AX237" s="3087"/>
      <c r="AY237" s="3088"/>
      <c r="AZ237" s="3089"/>
      <c r="BA237" s="3090"/>
      <c r="BB237" s="3091"/>
    </row>
    <row r="238" spans="1:54" ht="43.2">
      <c r="A238" s="2652" t="s">
        <v>2416</v>
      </c>
      <c r="B238" s="2653" t="s">
        <v>2417</v>
      </c>
      <c r="C238" s="2664" t="s">
        <v>9248</v>
      </c>
      <c r="D238" s="3053">
        <v>2.2000000000000002</v>
      </c>
      <c r="E238" s="250" t="s">
        <v>2418</v>
      </c>
      <c r="F238" s="250" t="s">
        <v>2419</v>
      </c>
      <c r="G238" s="2641" t="s">
        <v>2420</v>
      </c>
      <c r="H238" s="2636" t="s">
        <v>2421</v>
      </c>
      <c r="I238" s="2128" t="str">
        <f t="shared" si="101"/>
        <v>6-DaHall 1-PDU-01-30-12</v>
      </c>
      <c r="J238" s="2129" t="str">
        <f t="shared" si="102"/>
        <v>6-DaHall 1-PDU-02-30-12</v>
      </c>
      <c r="K238" s="1477">
        <v>220</v>
      </c>
      <c r="L238" s="1478">
        <v>30</v>
      </c>
      <c r="M238" s="2435" t="s">
        <v>6497</v>
      </c>
      <c r="N238" s="1465">
        <v>12</v>
      </c>
      <c r="O238" s="1469">
        <v>220</v>
      </c>
      <c r="P238" s="1470">
        <v>30</v>
      </c>
      <c r="Q238" s="2441" t="s">
        <v>6493</v>
      </c>
      <c r="R238" s="1468">
        <v>12</v>
      </c>
      <c r="S238" s="3356"/>
      <c r="T238" s="3336"/>
      <c r="U238" s="3356"/>
      <c r="V238" s="3336"/>
      <c r="W238" s="3356"/>
      <c r="X238" s="3336"/>
      <c r="Y238" s="253">
        <f>SUM('6층_부하량(월간_AVG)'!L207:N207)</f>
        <v>7.3902725353726035</v>
      </c>
      <c r="Z238" s="253">
        <f>SUM('6층_부하량(월간_AVG)'!L237:N237)</f>
        <v>9.4678261068513816</v>
      </c>
      <c r="AA238" s="2466">
        <f t="shared" si="106"/>
        <v>16.858098642223986</v>
      </c>
      <c r="AB238" s="2715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1204.5</v>
      </c>
      <c r="AC238" s="2846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1555.9</v>
      </c>
      <c r="AD238" s="2829">
        <f t="shared" si="105"/>
        <v>2760.4</v>
      </c>
      <c r="AE238" s="2821"/>
      <c r="AG238" s="2367">
        <f t="shared" si="99"/>
        <v>3.7102150537634411</v>
      </c>
      <c r="AH238" s="2367">
        <f t="shared" si="100"/>
        <v>-1.5102150537634409</v>
      </c>
      <c r="AI238" s="123" t="str">
        <f t="shared" si="88"/>
        <v>사용초과</v>
      </c>
      <c r="AJ238" t="str">
        <f t="shared" si="89"/>
        <v>삼성물산(주)패션부문</v>
      </c>
      <c r="AK238" t="str">
        <f t="shared" si="90"/>
        <v>G2104</v>
      </c>
      <c r="AP238" s="123"/>
      <c r="AQ238" s="123"/>
      <c r="AR238" s="123"/>
      <c r="AS238" s="3084"/>
      <c r="AT238" s="123"/>
      <c r="AU238" s="123"/>
      <c r="AV238" s="3085"/>
      <c r="AW238" s="3086"/>
      <c r="AX238" s="3087"/>
      <c r="AY238" s="3088"/>
      <c r="AZ238" s="3089"/>
      <c r="BA238" s="3090"/>
      <c r="BB238" s="3091"/>
    </row>
    <row r="239" spans="1:54" ht="43.2">
      <c r="A239" s="2652" t="s">
        <v>2422</v>
      </c>
      <c r="B239" s="2653" t="s">
        <v>2423</v>
      </c>
      <c r="C239" s="2664" t="s">
        <v>9248</v>
      </c>
      <c r="D239" s="3053">
        <v>2.2000000000000002</v>
      </c>
      <c r="E239" s="250" t="s">
        <v>2424</v>
      </c>
      <c r="F239" s="250" t="s">
        <v>2425</v>
      </c>
      <c r="G239" s="2641" t="s">
        <v>2426</v>
      </c>
      <c r="H239" s="2636" t="s">
        <v>2427</v>
      </c>
      <c r="I239" s="2128" t="str">
        <f t="shared" si="101"/>
        <v>6-DaHall 1-PDU-01-30-14</v>
      </c>
      <c r="J239" s="2129" t="str">
        <f t="shared" si="102"/>
        <v>6-DaHall 1-PDU-02-30-14</v>
      </c>
      <c r="K239" s="1477">
        <v>220</v>
      </c>
      <c r="L239" s="1478">
        <v>30</v>
      </c>
      <c r="M239" s="2435" t="s">
        <v>6497</v>
      </c>
      <c r="N239" s="1465">
        <v>14</v>
      </c>
      <c r="O239" s="1469">
        <v>220</v>
      </c>
      <c r="P239" s="1470">
        <v>30</v>
      </c>
      <c r="Q239" s="2441" t="s">
        <v>6493</v>
      </c>
      <c r="R239" s="1468">
        <v>14</v>
      </c>
      <c r="S239" s="3356"/>
      <c r="T239" s="3336"/>
      <c r="U239" s="3356"/>
      <c r="V239" s="3336"/>
      <c r="W239" s="3356"/>
      <c r="X239" s="3336"/>
      <c r="Y239" s="253">
        <f>SUM('6층_부하량(월간_AVG)'!L208:N208)</f>
        <v>5.3587230623337989</v>
      </c>
      <c r="Z239" s="253">
        <f>SUM('6층_부하량(월간_AVG)'!L238:N238)</f>
        <v>7.0984734859865739</v>
      </c>
      <c r="AA239" s="2466">
        <f t="shared" si="106"/>
        <v>12.457196548320372</v>
      </c>
      <c r="AB239" s="2715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857.9</v>
      </c>
      <c r="AC239" s="2846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1158.5</v>
      </c>
      <c r="AD239" s="2829">
        <f t="shared" si="105"/>
        <v>2016.4</v>
      </c>
      <c r="AE239" s="2821"/>
      <c r="AG239" s="2367">
        <f t="shared" si="99"/>
        <v>2.7102150537634411</v>
      </c>
      <c r="AH239" s="2367">
        <f t="shared" si="100"/>
        <v>-0.5102150537634409</v>
      </c>
      <c r="AI239" s="123" t="str">
        <f t="shared" si="88"/>
        <v>사용초과</v>
      </c>
      <c r="AJ239" t="str">
        <f t="shared" si="89"/>
        <v>삼성물산(주)패션부문</v>
      </c>
      <c r="AK239" t="str">
        <f t="shared" si="90"/>
        <v>G2105</v>
      </c>
      <c r="AP239" s="123"/>
      <c r="AQ239" s="123"/>
      <c r="AR239" s="123"/>
      <c r="AS239" s="3084"/>
      <c r="AT239" s="123"/>
      <c r="AU239" s="123"/>
      <c r="AV239" s="3085"/>
      <c r="AW239" s="3086"/>
      <c r="AX239" s="3087"/>
      <c r="AY239" s="3088"/>
      <c r="AZ239" s="3089"/>
      <c r="BA239" s="3090"/>
      <c r="BB239" s="3091"/>
    </row>
    <row r="240" spans="1:54" ht="43.2">
      <c r="A240" s="2652" t="s">
        <v>2428</v>
      </c>
      <c r="B240" s="2653" t="s">
        <v>2429</v>
      </c>
      <c r="C240" s="2664" t="s">
        <v>9248</v>
      </c>
      <c r="D240" s="3053">
        <v>2.2000000000000002</v>
      </c>
      <c r="E240" s="250" t="s">
        <v>2430</v>
      </c>
      <c r="F240" s="250" t="s">
        <v>2431</v>
      </c>
      <c r="G240" s="2641" t="s">
        <v>2432</v>
      </c>
      <c r="H240" s="2636" t="s">
        <v>2433</v>
      </c>
      <c r="I240" s="2128" t="str">
        <f t="shared" si="101"/>
        <v>6-DaHall 1-PDU-01-30-16</v>
      </c>
      <c r="J240" s="2129" t="str">
        <f t="shared" si="102"/>
        <v>6-DaHall 1-PDU-02-30-16</v>
      </c>
      <c r="K240" s="1463">
        <v>220</v>
      </c>
      <c r="L240" s="1464">
        <v>30</v>
      </c>
      <c r="M240" s="2435" t="s">
        <v>6497</v>
      </c>
      <c r="N240" s="1465">
        <v>16</v>
      </c>
      <c r="O240" s="1466">
        <v>220</v>
      </c>
      <c r="P240" s="1467">
        <v>30</v>
      </c>
      <c r="Q240" s="2441" t="s">
        <v>6493</v>
      </c>
      <c r="R240" s="1468">
        <v>16</v>
      </c>
      <c r="S240" s="3356"/>
      <c r="T240" s="3336"/>
      <c r="U240" s="3356"/>
      <c r="V240" s="3336"/>
      <c r="W240" s="3356"/>
      <c r="X240" s="3336"/>
      <c r="Y240" s="253">
        <f>SUM('6층_부하량(월간_AVG)'!L209:N209)</f>
        <v>4.9050937105733414</v>
      </c>
      <c r="Z240" s="253">
        <f>SUM('6층_부하량(월간_AVG)'!L239:N239)</f>
        <v>4.9602064553655181</v>
      </c>
      <c r="AA240" s="2466">
        <f t="shared" si="106"/>
        <v>9.8653001659388586</v>
      </c>
      <c r="AB240" s="2715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761.8</v>
      </c>
      <c r="AC240" s="2846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779.7</v>
      </c>
      <c r="AD240" s="2829">
        <f t="shared" si="105"/>
        <v>1541.5</v>
      </c>
      <c r="AE240" s="2821"/>
      <c r="AG240" s="2367">
        <f t="shared" si="99"/>
        <v>2.0719086021505375</v>
      </c>
      <c r="AH240" s="2367">
        <f t="shared" si="100"/>
        <v>0.12809139784946266</v>
      </c>
      <c r="AI240" s="123" t="str">
        <f t="shared" si="88"/>
        <v>적정함</v>
      </c>
      <c r="AJ240" t="str">
        <f t="shared" si="89"/>
        <v/>
      </c>
      <c r="AK240" t="str">
        <f t="shared" si="90"/>
        <v/>
      </c>
      <c r="AP240" s="123"/>
      <c r="AQ240" s="123"/>
      <c r="AR240" s="123"/>
      <c r="AS240" s="3084"/>
      <c r="AT240" s="123"/>
      <c r="AU240" s="123"/>
      <c r="AV240" s="3085"/>
      <c r="AW240" s="3086"/>
      <c r="AX240" s="3087"/>
      <c r="AY240" s="3088"/>
      <c r="AZ240" s="3089"/>
      <c r="BA240" s="3090"/>
      <c r="BB240" s="3091"/>
    </row>
    <row r="241" spans="1:54" ht="27" customHeight="1">
      <c r="A241" s="2652" t="s">
        <v>2434</v>
      </c>
      <c r="B241" s="2653" t="s">
        <v>2435</v>
      </c>
      <c r="C241" s="2664" t="s">
        <v>9248</v>
      </c>
      <c r="D241" s="3053">
        <v>2.2000000000000002</v>
      </c>
      <c r="E241" s="250" t="s">
        <v>2436</v>
      </c>
      <c r="F241" s="250" t="s">
        <v>2437</v>
      </c>
      <c r="G241" s="2641" t="s">
        <v>2438</v>
      </c>
      <c r="H241" s="2636" t="s">
        <v>2439</v>
      </c>
      <c r="I241" s="2128" t="str">
        <f t="shared" si="101"/>
        <v>6-DaHall 1-PDU-11-30-19</v>
      </c>
      <c r="J241" s="2129" t="str">
        <f t="shared" si="102"/>
        <v>6-DaHall 1-PDU-12-30-19</v>
      </c>
      <c r="K241" s="1463">
        <v>220</v>
      </c>
      <c r="L241" s="1464">
        <v>30</v>
      </c>
      <c r="M241" s="2435" t="s">
        <v>6541</v>
      </c>
      <c r="N241" s="1465">
        <v>19</v>
      </c>
      <c r="O241" s="1466">
        <v>220</v>
      </c>
      <c r="P241" s="1467">
        <v>30</v>
      </c>
      <c r="Q241" s="2441" t="s">
        <v>6548</v>
      </c>
      <c r="R241" s="1468">
        <v>19</v>
      </c>
      <c r="S241" s="3356" t="s">
        <v>2440</v>
      </c>
      <c r="T241" s="3336" t="s">
        <v>1511</v>
      </c>
      <c r="U241" s="3356" t="s">
        <v>2441</v>
      </c>
      <c r="V241" s="3336" t="s">
        <v>1512</v>
      </c>
      <c r="W241" s="3356"/>
      <c r="X241" s="3336"/>
      <c r="Y241" s="253">
        <f>SUM('6층_부하량(월간_AVG)'!D153:F153)</f>
        <v>5.3136812767290955</v>
      </c>
      <c r="Z241" s="253">
        <f>SUM('6층_부하량(월간_AVG)'!D182:F182)</f>
        <v>5.305453248569922</v>
      </c>
      <c r="AA241" s="2466">
        <f t="shared" si="106"/>
        <v>10.619134525299017</v>
      </c>
      <c r="AB241" s="2715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46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829.7</v>
      </c>
      <c r="AD241" s="2829">
        <f t="shared" si="105"/>
        <v>1635.7</v>
      </c>
      <c r="AE241" s="2821"/>
      <c r="AG241" s="2367">
        <f t="shared" si="99"/>
        <v>2.1985215053763443</v>
      </c>
      <c r="AH241" s="2367">
        <f t="shared" si="100"/>
        <v>1.4784946236559016E-3</v>
      </c>
      <c r="AI241" s="123" t="str">
        <f t="shared" si="88"/>
        <v>적정함</v>
      </c>
      <c r="AJ241" t="str">
        <f t="shared" si="89"/>
        <v/>
      </c>
      <c r="AK241" t="str">
        <f t="shared" si="90"/>
        <v/>
      </c>
      <c r="AP241" s="123"/>
      <c r="AQ241" s="123"/>
      <c r="AR241" s="123"/>
      <c r="AS241" s="3084"/>
      <c r="AT241" s="123"/>
      <c r="AU241" s="123"/>
      <c r="AV241" s="3085"/>
      <c r="AW241" s="3086"/>
      <c r="AX241" s="3087"/>
      <c r="AY241" s="3088"/>
      <c r="AZ241" s="3089"/>
      <c r="BA241" s="3090"/>
      <c r="BB241" s="3091"/>
    </row>
    <row r="242" spans="1:54" ht="25.5" customHeight="1" thickBot="1">
      <c r="A242" s="2660" t="s">
        <v>2442</v>
      </c>
      <c r="B242" s="2661" t="s">
        <v>2443</v>
      </c>
      <c r="C242" s="2661"/>
      <c r="D242" s="3054">
        <v>2.2000000000000002</v>
      </c>
      <c r="E242" s="2661" t="s">
        <v>2444</v>
      </c>
      <c r="F242" s="2661" t="s">
        <v>2445</v>
      </c>
      <c r="G242" s="2643" t="s">
        <v>2446</v>
      </c>
      <c r="H242" s="2637" t="s">
        <v>2447</v>
      </c>
      <c r="I242" s="2130" t="str">
        <f t="shared" si="101"/>
        <v>6-DaHall 1-PDU-11-30-44</v>
      </c>
      <c r="J242" s="2131" t="str">
        <f t="shared" si="102"/>
        <v>6-DaHall 1-PDU-12-30-44</v>
      </c>
      <c r="K242" s="1471">
        <v>220</v>
      </c>
      <c r="L242" s="1472">
        <v>30</v>
      </c>
      <c r="M242" s="2438" t="s">
        <v>6541</v>
      </c>
      <c r="N242" s="1473">
        <v>44</v>
      </c>
      <c r="O242" s="1474">
        <v>220</v>
      </c>
      <c r="P242" s="1475">
        <v>30</v>
      </c>
      <c r="Q242" s="2444" t="s">
        <v>6548</v>
      </c>
      <c r="R242" s="1476">
        <v>44</v>
      </c>
      <c r="S242" s="3357"/>
      <c r="T242" s="3358"/>
      <c r="U242" s="3357"/>
      <c r="V242" s="3358"/>
      <c r="W242" s="3357"/>
      <c r="X242" s="3358"/>
      <c r="Y242" s="329">
        <f>SUM('6층_부하량(월간_AVG)'!L165:N165)</f>
        <v>0</v>
      </c>
      <c r="Z242" s="329">
        <f>SUM('6층_부하량(월간_AVG)'!L194:N194)</f>
        <v>0</v>
      </c>
      <c r="AA242" s="2879">
        <f t="shared" si="106"/>
        <v>0</v>
      </c>
      <c r="AB242" s="2881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82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34">
        <f t="shared" si="105"/>
        <v>0</v>
      </c>
      <c r="AE242" s="2473" t="s">
        <v>2448</v>
      </c>
      <c r="AG242" s="2367">
        <f t="shared" si="99"/>
        <v>0</v>
      </c>
      <c r="AH242" s="2367">
        <f t="shared" si="100"/>
        <v>2.2000000000000002</v>
      </c>
      <c r="AI242" s="123" t="str">
        <f t="shared" si="88"/>
        <v>무부하 랙</v>
      </c>
      <c r="AJ242" t="str">
        <f t="shared" si="89"/>
        <v/>
      </c>
      <c r="AK242" t="str">
        <f t="shared" si="90"/>
        <v/>
      </c>
      <c r="AP242" s="123"/>
      <c r="AQ242" s="123"/>
      <c r="AR242" s="123"/>
      <c r="AS242" s="3084"/>
      <c r="AT242" s="123"/>
      <c r="AU242" s="123"/>
      <c r="AV242" s="3085"/>
      <c r="AW242" s="3086"/>
      <c r="AX242" s="3087"/>
      <c r="AY242" s="3088"/>
      <c r="AZ242" s="3089"/>
      <c r="BA242" s="3090"/>
      <c r="BB242" s="3091"/>
    </row>
    <row r="243" spans="1:54" ht="25.5" customHeight="1" thickTop="1">
      <c r="A243" s="1356"/>
      <c r="B243" s="327" t="s">
        <v>2449</v>
      </c>
      <c r="C243" s="3399" t="s">
        <v>2450</v>
      </c>
      <c r="D243" s="2986"/>
      <c r="E243" s="327" t="s">
        <v>2451</v>
      </c>
      <c r="F243" s="1357"/>
      <c r="G243" s="2640" t="s">
        <v>2452</v>
      </c>
      <c r="H243" s="2632"/>
      <c r="I243" s="2135" t="str">
        <f t="shared" si="101"/>
        <v>6-DaHall 1-PDU-13-30-2</v>
      </c>
      <c r="J243" s="2139"/>
      <c r="K243" s="1486">
        <v>220</v>
      </c>
      <c r="L243" s="1487">
        <v>30</v>
      </c>
      <c r="M243" s="2437" t="s">
        <v>6542</v>
      </c>
      <c r="N243" s="1488">
        <v>2</v>
      </c>
      <c r="O243" s="1510"/>
      <c r="P243" s="1511"/>
      <c r="Q243" s="2632"/>
      <c r="R243" s="1512"/>
      <c r="S243" s="3355" t="s">
        <v>1405</v>
      </c>
      <c r="T243" s="3402"/>
      <c r="U243" s="3345" t="s">
        <v>1407</v>
      </c>
      <c r="V243" s="3402"/>
      <c r="W243" s="3345" t="s">
        <v>1276</v>
      </c>
      <c r="X243" s="3402"/>
      <c r="Y243" s="328">
        <f>SUM('6층_부하량(월간_AVG)'!L20:N20)</f>
        <v>0</v>
      </c>
      <c r="Z243" s="848"/>
      <c r="AA243" s="2466">
        <f t="shared" si="106"/>
        <v>0</v>
      </c>
      <c r="AB243" s="2883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84"/>
      <c r="AD243" s="2885">
        <f t="shared" si="105"/>
        <v>0</v>
      </c>
      <c r="AE243" s="2474" t="s">
        <v>2453</v>
      </c>
      <c r="AG243" s="2367">
        <f t="shared" si="99"/>
        <v>0</v>
      </c>
      <c r="AH243" s="2367">
        <f t="shared" si="100"/>
        <v>0</v>
      </c>
      <c r="AI243" s="123" t="str">
        <f t="shared" si="88"/>
        <v>무부하 랙</v>
      </c>
      <c r="AJ243" t="str">
        <f t="shared" si="89"/>
        <v/>
      </c>
      <c r="AK243" t="str">
        <f t="shared" si="90"/>
        <v/>
      </c>
      <c r="AP243" s="123"/>
      <c r="AQ243" s="123"/>
      <c r="AR243" s="123"/>
      <c r="AS243" s="3084"/>
      <c r="AT243" s="123"/>
      <c r="AU243" s="123"/>
      <c r="AV243" s="3085"/>
      <c r="AW243" s="3086"/>
      <c r="AX243" s="3087"/>
      <c r="AY243" s="3088"/>
      <c r="AZ243" s="3089"/>
      <c r="BA243" s="3090"/>
      <c r="BB243" s="3091"/>
    </row>
    <row r="244" spans="1:54" ht="25.5" customHeight="1">
      <c r="A244" s="1356"/>
      <c r="B244" s="250" t="s">
        <v>2454</v>
      </c>
      <c r="C244" s="3400"/>
      <c r="D244" s="2644"/>
      <c r="E244" s="250" t="s">
        <v>2455</v>
      </c>
      <c r="F244" s="1358"/>
      <c r="G244" s="2641" t="s">
        <v>2456</v>
      </c>
      <c r="H244" s="2633"/>
      <c r="I244" s="2128" t="str">
        <f t="shared" si="101"/>
        <v>6-DaHall 1-PDU-13-30-4</v>
      </c>
      <c r="J244" s="2140"/>
      <c r="K244" s="1463">
        <v>220</v>
      </c>
      <c r="L244" s="1464">
        <v>30</v>
      </c>
      <c r="M244" s="2435" t="s">
        <v>6542</v>
      </c>
      <c r="N244" s="1465">
        <v>4</v>
      </c>
      <c r="O244" s="1513"/>
      <c r="P244" s="1514"/>
      <c r="Q244" s="2633"/>
      <c r="R244" s="1515"/>
      <c r="S244" s="3356"/>
      <c r="T244" s="3403"/>
      <c r="U244" s="3359"/>
      <c r="V244" s="3403"/>
      <c r="W244" s="3359"/>
      <c r="X244" s="3403"/>
      <c r="Y244" s="253">
        <f>SUM('6층_부하량(월간_AVG)'!L21:N21)</f>
        <v>0</v>
      </c>
      <c r="Z244" s="252"/>
      <c r="AA244" s="2466">
        <f t="shared" si="106"/>
        <v>0</v>
      </c>
      <c r="AB244" s="2886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87"/>
      <c r="AD244" s="2888">
        <f t="shared" si="105"/>
        <v>0</v>
      </c>
      <c r="AE244" s="2475" t="s">
        <v>2457</v>
      </c>
      <c r="AG244" s="2367">
        <f t="shared" si="99"/>
        <v>0</v>
      </c>
      <c r="AH244" s="2367">
        <f t="shared" si="100"/>
        <v>0</v>
      </c>
      <c r="AI244" s="123" t="str">
        <f t="shared" si="88"/>
        <v>무부하 랙</v>
      </c>
      <c r="AJ244" t="str">
        <f t="shared" si="89"/>
        <v/>
      </c>
      <c r="AK244" t="str">
        <f t="shared" si="90"/>
        <v/>
      </c>
      <c r="AP244" s="123"/>
      <c r="AQ244" s="123"/>
      <c r="AR244" s="123"/>
      <c r="AS244" s="3084"/>
      <c r="AT244" s="123"/>
      <c r="AU244" s="123"/>
      <c r="AV244" s="3085"/>
      <c r="AW244" s="3086"/>
      <c r="AX244" s="3087"/>
      <c r="AY244" s="3088"/>
      <c r="AZ244" s="3089"/>
      <c r="BA244" s="3090"/>
      <c r="BB244" s="3091"/>
    </row>
    <row r="245" spans="1:54" ht="25.5" customHeight="1">
      <c r="A245" s="1356"/>
      <c r="B245" s="250" t="s">
        <v>2458</v>
      </c>
      <c r="C245" s="3400"/>
      <c r="D245" s="2644"/>
      <c r="E245" s="1358"/>
      <c r="F245" s="250" t="s">
        <v>2459</v>
      </c>
      <c r="G245" s="2634"/>
      <c r="H245" s="2636" t="s">
        <v>2460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34"/>
      <c r="N245" s="1518"/>
      <c r="O245" s="1466">
        <v>220</v>
      </c>
      <c r="P245" s="1467">
        <v>30</v>
      </c>
      <c r="Q245" s="2441" t="s">
        <v>6549</v>
      </c>
      <c r="R245" s="1468">
        <v>2</v>
      </c>
      <c r="S245" s="3408"/>
      <c r="T245" s="3336" t="s">
        <v>1406</v>
      </c>
      <c r="U245" s="3410"/>
      <c r="V245" s="3339" t="s">
        <v>1408</v>
      </c>
      <c r="W245" s="3410"/>
      <c r="X245" s="3339" t="s">
        <v>1277</v>
      </c>
      <c r="Y245" s="252"/>
      <c r="Z245" s="253">
        <f>SUM('6층_부하량(월간_AVG)'!L52:N52)</f>
        <v>0</v>
      </c>
      <c r="AA245" s="2466">
        <f t="shared" si="106"/>
        <v>0</v>
      </c>
      <c r="AB245" s="2886"/>
      <c r="AC245" s="2887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88">
        <f t="shared" si="105"/>
        <v>0</v>
      </c>
      <c r="AE245" s="2475" t="s">
        <v>2457</v>
      </c>
      <c r="AG245" s="2367">
        <f t="shared" si="99"/>
        <v>0</v>
      </c>
      <c r="AH245" s="2367">
        <f t="shared" si="100"/>
        <v>0</v>
      </c>
      <c r="AI245" s="123" t="str">
        <f t="shared" si="88"/>
        <v>무부하 랙</v>
      </c>
      <c r="AJ245" t="str">
        <f t="shared" si="89"/>
        <v/>
      </c>
      <c r="AK245" t="str">
        <f t="shared" si="90"/>
        <v/>
      </c>
      <c r="AP245" s="123"/>
      <c r="AQ245" s="123"/>
      <c r="AR245" s="123"/>
      <c r="AS245" s="3084"/>
      <c r="AT245" s="123"/>
      <c r="AU245" s="123"/>
      <c r="AV245" s="3085"/>
      <c r="AW245" s="3086"/>
      <c r="AX245" s="3087"/>
      <c r="AY245" s="3088"/>
      <c r="AZ245" s="3089"/>
      <c r="BA245" s="3090"/>
      <c r="BB245" s="3091"/>
    </row>
    <row r="246" spans="1:54" ht="25.5" customHeight="1" thickBot="1">
      <c r="A246" s="1356"/>
      <c r="B246" s="2661" t="s">
        <v>2461</v>
      </c>
      <c r="C246" s="3401"/>
      <c r="D246" s="2987"/>
      <c r="E246" s="1354"/>
      <c r="F246" s="2661" t="s">
        <v>2462</v>
      </c>
      <c r="G246" s="2635"/>
      <c r="H246" s="2637" t="s">
        <v>2463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35"/>
      <c r="N246" s="1521"/>
      <c r="O246" s="1474">
        <v>220</v>
      </c>
      <c r="P246" s="1475">
        <v>30</v>
      </c>
      <c r="Q246" s="2444" t="s">
        <v>6549</v>
      </c>
      <c r="R246" s="1476">
        <v>4</v>
      </c>
      <c r="S246" s="3409"/>
      <c r="T246" s="3358"/>
      <c r="U246" s="3411"/>
      <c r="V246" s="3341"/>
      <c r="W246" s="3411"/>
      <c r="X246" s="3341"/>
      <c r="Y246" s="1355"/>
      <c r="Z246" s="329">
        <f>SUM('6층_부하량(월간_AVG)'!L53:N53)</f>
        <v>0</v>
      </c>
      <c r="AA246" s="2466">
        <f t="shared" si="106"/>
        <v>0</v>
      </c>
      <c r="AB246" s="2889"/>
      <c r="AC246" s="2890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91">
        <f t="shared" si="105"/>
        <v>0</v>
      </c>
      <c r="AE246" s="2473" t="s">
        <v>2457</v>
      </c>
      <c r="AG246" s="2367">
        <f t="shared" si="99"/>
        <v>0</v>
      </c>
      <c r="AH246" s="2367">
        <f t="shared" si="100"/>
        <v>0</v>
      </c>
      <c r="AI246" s="123" t="str">
        <f t="shared" si="88"/>
        <v>무부하 랙</v>
      </c>
      <c r="AJ246" t="str">
        <f t="shared" si="89"/>
        <v/>
      </c>
      <c r="AK246" t="str">
        <f t="shared" si="90"/>
        <v/>
      </c>
      <c r="AP246" s="123"/>
      <c r="AQ246" s="123"/>
      <c r="AR246" s="123"/>
      <c r="AS246" s="3084"/>
      <c r="AT246" s="123"/>
      <c r="AU246" s="123"/>
      <c r="AV246" s="3085"/>
      <c r="AW246" s="3086"/>
      <c r="AX246" s="3087"/>
      <c r="AY246" s="3088"/>
      <c r="AZ246" s="3089"/>
      <c r="BA246" s="3090"/>
      <c r="BB246" s="3091"/>
    </row>
    <row r="247" spans="1:54" ht="43.8" thickTop="1">
      <c r="A247" s="1084"/>
      <c r="B247" s="996" t="s">
        <v>2464</v>
      </c>
      <c r="C247" s="327"/>
      <c r="D247" s="327"/>
      <c r="E247" s="974"/>
      <c r="F247" s="327" t="s">
        <v>1211</v>
      </c>
      <c r="G247" s="974"/>
      <c r="H247" s="2642" t="s">
        <v>2465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43" t="s">
        <v>6549</v>
      </c>
      <c r="R247" s="1491">
        <v>20</v>
      </c>
      <c r="S247" s="974"/>
      <c r="T247" s="2642" t="s">
        <v>1406</v>
      </c>
      <c r="U247" s="974"/>
      <c r="V247" s="2642" t="s">
        <v>1408</v>
      </c>
      <c r="W247" s="974"/>
      <c r="X247" s="2642" t="s">
        <v>1277</v>
      </c>
      <c r="Y247" s="328"/>
      <c r="Z247" s="328">
        <f>SUM('6층_부하량(월간_AVG)'!L61:N61)</f>
        <v>0</v>
      </c>
      <c r="AA247" s="2880">
        <f t="shared" si="106"/>
        <v>0</v>
      </c>
      <c r="AB247" s="2839"/>
      <c r="AC247" s="2892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52">
        <f t="shared" si="105"/>
        <v>0</v>
      </c>
      <c r="AE247" s="2474"/>
      <c r="AG247" s="2367">
        <f t="shared" si="99"/>
        <v>0</v>
      </c>
      <c r="AH247" s="2367">
        <f t="shared" si="100"/>
        <v>0</v>
      </c>
      <c r="AI247" s="123" t="str">
        <f t="shared" si="88"/>
        <v>무부하 랙</v>
      </c>
      <c r="AJ247" t="str">
        <f t="shared" si="89"/>
        <v/>
      </c>
      <c r="AK247" t="str">
        <f t="shared" si="90"/>
        <v/>
      </c>
      <c r="AP247" s="123"/>
      <c r="AQ247" s="123"/>
      <c r="AR247" s="123"/>
      <c r="AS247" s="3084"/>
      <c r="AT247" s="123"/>
      <c r="AU247" s="123"/>
      <c r="AV247" s="3085"/>
      <c r="AW247" s="3086"/>
      <c r="AX247" s="3087"/>
      <c r="AY247" s="3088"/>
      <c r="AZ247" s="3089"/>
      <c r="BA247" s="3090"/>
      <c r="BB247" s="3091"/>
    </row>
    <row r="248" spans="1:54" s="56" customFormat="1" ht="43.2">
      <c r="A248" s="1096"/>
      <c r="B248" s="2686" t="s">
        <v>2466</v>
      </c>
      <c r="C248" s="2664"/>
      <c r="D248" s="2664"/>
      <c r="E248" s="2664" t="s">
        <v>2467</v>
      </c>
      <c r="F248" s="886"/>
      <c r="G248" s="2641" t="s">
        <v>2468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35" t="s">
        <v>6542</v>
      </c>
      <c r="N248" s="1465">
        <v>40</v>
      </c>
      <c r="O248" s="1523"/>
      <c r="P248" s="1524"/>
      <c r="Q248" s="886"/>
      <c r="R248" s="1525"/>
      <c r="S248" s="2641" t="s">
        <v>1405</v>
      </c>
      <c r="T248" s="886"/>
      <c r="U248" s="2641" t="s">
        <v>1407</v>
      </c>
      <c r="V248" s="886"/>
      <c r="W248" s="3356" t="s">
        <v>1276</v>
      </c>
      <c r="X248" s="886"/>
      <c r="Y248" s="852">
        <f>SUM('6층_부하량(월간_AVG)'!L39:N39)</f>
        <v>0</v>
      </c>
      <c r="Z248" s="886"/>
      <c r="AA248" s="2464">
        <f t="shared" si="106"/>
        <v>0</v>
      </c>
      <c r="AB248" s="2715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93"/>
      <c r="AD248" s="2894">
        <f t="shared" si="105"/>
        <v>0</v>
      </c>
      <c r="AE248" s="2507"/>
      <c r="AG248" s="2367">
        <f t="shared" si="99"/>
        <v>0</v>
      </c>
      <c r="AH248" s="2367">
        <f t="shared" si="100"/>
        <v>0</v>
      </c>
      <c r="AI248" s="123" t="str">
        <f t="shared" si="88"/>
        <v>무부하 랙</v>
      </c>
      <c r="AJ248" t="str">
        <f t="shared" si="89"/>
        <v/>
      </c>
      <c r="AK248" t="str">
        <f t="shared" si="90"/>
        <v/>
      </c>
      <c r="AP248" s="123"/>
      <c r="AQ248" s="123"/>
      <c r="AR248" s="123"/>
      <c r="AS248" s="3084"/>
      <c r="AT248" s="123"/>
      <c r="AU248" s="123"/>
      <c r="AV248" s="3085"/>
      <c r="AW248" s="3086"/>
      <c r="AX248" s="3087"/>
      <c r="AY248" s="3088"/>
      <c r="AZ248" s="3089"/>
      <c r="BA248" s="3090"/>
      <c r="BB248" s="3091"/>
    </row>
    <row r="249" spans="1:54" ht="58.2" thickBot="1">
      <c r="A249" s="2660"/>
      <c r="B249" s="2687" t="s">
        <v>2469</v>
      </c>
      <c r="C249" s="2688"/>
      <c r="D249" s="2688"/>
      <c r="E249" s="2661"/>
      <c r="F249" s="975"/>
      <c r="G249" s="2643" t="s">
        <v>2470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39" t="s">
        <v>6497</v>
      </c>
      <c r="N249" s="1528">
        <v>50</v>
      </c>
      <c r="O249" s="1529"/>
      <c r="P249" s="1530"/>
      <c r="Q249" s="1531"/>
      <c r="R249" s="1532"/>
      <c r="S249" s="2643" t="s">
        <v>1694</v>
      </c>
      <c r="T249" s="975"/>
      <c r="U249" s="2643" t="s">
        <v>1696</v>
      </c>
      <c r="V249" s="975"/>
      <c r="W249" s="3357"/>
      <c r="X249" s="975"/>
      <c r="Y249" s="329">
        <f>SUM('6층_부하량(월간_AVG)'!L226:N226)</f>
        <v>0</v>
      </c>
      <c r="Z249" s="975"/>
      <c r="AA249" s="2879">
        <f t="shared" si="106"/>
        <v>0</v>
      </c>
      <c r="AB249" s="2862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33"/>
      <c r="AD249" s="2834">
        <f t="shared" si="105"/>
        <v>0</v>
      </c>
      <c r="AE249" s="2473"/>
      <c r="AG249" s="2367">
        <f t="shared" si="99"/>
        <v>0</v>
      </c>
      <c r="AH249" s="2367">
        <f t="shared" si="100"/>
        <v>0</v>
      </c>
      <c r="AI249" s="123" t="str">
        <f t="shared" si="88"/>
        <v>무부하 랙</v>
      </c>
      <c r="AJ249" t="str">
        <f t="shared" si="89"/>
        <v/>
      </c>
      <c r="AK249" t="str">
        <f t="shared" si="90"/>
        <v/>
      </c>
      <c r="AP249" s="123"/>
      <c r="AQ249" s="123"/>
      <c r="AR249" s="123"/>
      <c r="AS249" s="3084"/>
      <c r="AT249" s="123"/>
      <c r="AU249" s="123"/>
      <c r="AV249" s="3085"/>
      <c r="AW249" s="3086"/>
      <c r="AX249" s="3087"/>
      <c r="AY249" s="3088"/>
      <c r="AZ249" s="3089"/>
      <c r="BA249" s="3090"/>
      <c r="BB249" s="3091"/>
    </row>
    <row r="250" spans="1:54" ht="58.8" thickTop="1" thickBot="1">
      <c r="A250" s="2285"/>
      <c r="B250" s="2286" t="s">
        <v>2471</v>
      </c>
      <c r="C250" s="1120"/>
      <c r="D250" s="3056">
        <v>2.2000000000000002</v>
      </c>
      <c r="E250" s="1098"/>
      <c r="F250" s="1120"/>
      <c r="G250" s="2287"/>
      <c r="H250" s="1120"/>
      <c r="I250" s="2288" t="str">
        <f>"6-DaHall 1-PDU-"&amp;M250&amp;"-"&amp;L250&amp;"-"&amp;N250</f>
        <v>6-DaHall 1-PDU-01-30-46</v>
      </c>
      <c r="J250" s="2289"/>
      <c r="K250" s="2290">
        <v>220</v>
      </c>
      <c r="L250" s="2291">
        <v>30</v>
      </c>
      <c r="M250" s="2440" t="s">
        <v>6497</v>
      </c>
      <c r="N250" s="2292">
        <v>46</v>
      </c>
      <c r="O250" s="2293"/>
      <c r="P250" s="2294"/>
      <c r="Q250" s="2295"/>
      <c r="R250" s="2296"/>
      <c r="S250" s="2287" t="s">
        <v>1694</v>
      </c>
      <c r="T250" s="2295"/>
      <c r="U250" s="2287" t="s">
        <v>1696</v>
      </c>
      <c r="V250" s="2295"/>
      <c r="W250" s="2287"/>
      <c r="X250" s="1120"/>
      <c r="Y250" s="1123">
        <f>SUM('6층_부하량(월간_AVG)'!L224:N224)</f>
        <v>0.55982583374898165</v>
      </c>
      <c r="Z250" s="2295"/>
      <c r="AA250" s="2895">
        <f t="shared" ref="AA250" si="107">SUM(Y250:Z250)</f>
        <v>0.55982583374898165</v>
      </c>
      <c r="AB250" s="2896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77.599999999999994</v>
      </c>
      <c r="AC250" s="2872"/>
      <c r="AD250" s="2897">
        <f t="shared" si="105"/>
        <v>77.599999999999994</v>
      </c>
      <c r="AE250" s="2898"/>
      <c r="AG250" s="2367">
        <f t="shared" si="99"/>
        <v>0.1043010752688172</v>
      </c>
      <c r="AH250" s="2367">
        <f t="shared" si="100"/>
        <v>2.0956989247311828</v>
      </c>
      <c r="AI250" s="123" t="str">
        <f t="shared" si="88"/>
        <v>적정함</v>
      </c>
      <c r="AJ250" t="str">
        <f t="shared" si="89"/>
        <v/>
      </c>
      <c r="AK250" t="str">
        <f t="shared" si="90"/>
        <v/>
      </c>
      <c r="AP250" s="123"/>
      <c r="AQ250" s="123"/>
      <c r="AR250" s="123"/>
      <c r="AS250" s="3084"/>
      <c r="AT250" s="123"/>
      <c r="AU250" s="123"/>
      <c r="AV250" s="3085"/>
      <c r="AW250" s="3086"/>
      <c r="AX250" s="3087"/>
      <c r="AY250" s="3088"/>
      <c r="AZ250" s="3089"/>
      <c r="BA250" s="3090"/>
      <c r="BB250" s="3091"/>
    </row>
    <row r="251" spans="1:54" ht="15" thickTop="1"/>
    <row r="252" spans="1:54">
      <c r="AA252" s="249">
        <f>SUM(AA5:AA250)</f>
        <v>364.30658014795938</v>
      </c>
      <c r="AB252" s="1359">
        <f>SUM(AB5:AB249)/1000</f>
        <v>28.7407</v>
      </c>
      <c r="AC252" s="1359"/>
      <c r="AD252" s="1359"/>
    </row>
    <row r="253" spans="1:54">
      <c r="Z253" s="249" t="s">
        <v>2472</v>
      </c>
    </row>
  </sheetData>
  <mergeCells count="316">
    <mergeCell ref="AF222:AF230"/>
    <mergeCell ref="AP3:AP4"/>
    <mergeCell ref="AQ3:AQ4"/>
    <mergeCell ref="AR3:AR4"/>
    <mergeCell ref="AT3:AU3"/>
    <mergeCell ref="AV3:AX3"/>
    <mergeCell ref="AY3:AZ3"/>
    <mergeCell ref="BA3:BA4"/>
    <mergeCell ref="BB3:BB4"/>
    <mergeCell ref="AH3:AH4"/>
    <mergeCell ref="AI3:AI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D42:AD43"/>
    <mergeCell ref="AD44:AD45"/>
    <mergeCell ref="AD57:AD58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</mergeCells>
  <phoneticPr fontId="13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318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B1" sqref="B1:AE1"/>
    </sheetView>
  </sheetViews>
  <sheetFormatPr defaultRowHeight="14.4"/>
  <cols>
    <col min="1" max="1" width="8.8984375" style="1083"/>
    <col min="2" max="2" width="8.8984375" style="123"/>
    <col min="3" max="4" width="12.69921875" style="3001" customWidth="1"/>
    <col min="5" max="6" width="9.3984375" hidden="1" customWidth="1"/>
    <col min="7" max="8" width="11.19921875" hidden="1" customWidth="1"/>
    <col min="9" max="10" width="24.69921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69921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69921875" style="249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37" max="37" width="14.8984375" customWidth="1"/>
    <col min="43" max="43" width="11" bestFit="1" customWidth="1"/>
    <col min="44" max="44" width="19.3984375" bestFit="1" customWidth="1"/>
    <col min="46" max="47" width="25.8984375" bestFit="1" customWidth="1"/>
    <col min="51" max="51" width="9.69921875" bestFit="1" customWidth="1"/>
    <col min="52" max="52" width="12.3984375" bestFit="1" customWidth="1"/>
    <col min="53" max="53" width="10.3984375" bestFit="1" customWidth="1"/>
    <col min="54" max="54" width="21.3984375" bestFit="1" customWidth="1"/>
  </cols>
  <sheetData>
    <row r="1" spans="1:54" ht="25.8">
      <c r="A1" s="3007"/>
      <c r="B1" s="3373" t="s">
        <v>8724</v>
      </c>
      <c r="C1" s="3373"/>
      <c r="D1" s="3373"/>
      <c r="E1" s="3373"/>
      <c r="F1" s="3373"/>
      <c r="G1" s="3373"/>
      <c r="H1" s="3373"/>
      <c r="I1" s="3373"/>
      <c r="J1" s="3373"/>
      <c r="K1" s="3373"/>
      <c r="L1" s="3373"/>
      <c r="M1" s="3373"/>
      <c r="N1" s="3373"/>
      <c r="O1" s="3373"/>
      <c r="P1" s="3373"/>
      <c r="Q1" s="3373"/>
      <c r="R1" s="3373"/>
      <c r="S1" s="3373"/>
      <c r="T1" s="3373"/>
      <c r="U1" s="3373"/>
      <c r="V1" s="3373"/>
      <c r="W1" s="3373"/>
      <c r="X1" s="3373"/>
      <c r="Y1" s="3373"/>
      <c r="Z1" s="3373"/>
      <c r="AA1" s="3373"/>
      <c r="AB1" s="3373"/>
      <c r="AC1" s="3373"/>
      <c r="AD1" s="3373"/>
      <c r="AE1" s="3373"/>
      <c r="AP1" s="123"/>
      <c r="AQ1" s="123"/>
      <c r="AR1" s="123"/>
      <c r="AT1" s="123"/>
      <c r="AU1" s="123"/>
      <c r="AX1" s="123" t="str">
        <f>'7층~4층_고객 총사용량(삭제X)'!G2</f>
        <v>sejong</v>
      </c>
      <c r="AY1" s="3074" t="s">
        <v>9265</v>
      </c>
      <c r="AZ1" s="3075" t="s">
        <v>9267</v>
      </c>
      <c r="BA1" s="3076" t="s">
        <v>9268</v>
      </c>
      <c r="BB1" s="3066" t="s">
        <v>9269</v>
      </c>
    </row>
    <row r="2" spans="1:54" ht="16.2" thickBot="1">
      <c r="AE2" s="251"/>
      <c r="AP2" s="123"/>
      <c r="AQ2" s="123"/>
      <c r="AR2" s="123"/>
      <c r="AS2" s="3080"/>
      <c r="AT2" s="123"/>
      <c r="AU2" s="123"/>
      <c r="AY2" s="3097">
        <f>SUBTOTAL(109,AS5:AS251)</f>
        <v>17</v>
      </c>
      <c r="AZ2" s="3098">
        <f>SUBTOTAL(109,BA5:BA251)/(24*31)</f>
        <v>6.6514784946236558</v>
      </c>
      <c r="BA2" s="3097">
        <f>AY2-AZ2</f>
        <v>10.348521505376343</v>
      </c>
      <c r="BB2" s="3093" t="str">
        <f>IF(SIGN(BA2)&gt;=0,IF(AZ2=0,"미사용 랙","적정 사용"),"사용초과")</f>
        <v>적정 사용</v>
      </c>
    </row>
    <row r="3" spans="1:54" ht="13.5" customHeight="1" thickTop="1" thickBot="1">
      <c r="A3" s="3366" t="s">
        <v>1204</v>
      </c>
      <c r="B3" s="3482" t="s">
        <v>1205</v>
      </c>
      <c r="C3" s="3479" t="s">
        <v>1206</v>
      </c>
      <c r="D3" s="3022" t="s">
        <v>9265</v>
      </c>
      <c r="E3" s="3380" t="s">
        <v>2473</v>
      </c>
      <c r="F3" s="3368"/>
      <c r="G3" s="3381" t="s">
        <v>1208</v>
      </c>
      <c r="H3" s="3382"/>
      <c r="I3" s="3387" t="s">
        <v>6631</v>
      </c>
      <c r="J3" s="3388"/>
      <c r="K3" s="3387" t="s">
        <v>7</v>
      </c>
      <c r="L3" s="3389"/>
      <c r="M3" s="3389"/>
      <c r="N3" s="3389"/>
      <c r="O3" s="3389"/>
      <c r="P3" s="3389"/>
      <c r="Q3" s="3389"/>
      <c r="R3" s="3388"/>
      <c r="S3" s="3381" t="s">
        <v>1209</v>
      </c>
      <c r="T3" s="3382"/>
      <c r="U3" s="3481" t="s">
        <v>13</v>
      </c>
      <c r="V3" s="3481"/>
      <c r="W3" s="3481" t="s">
        <v>14</v>
      </c>
      <c r="X3" s="3481"/>
      <c r="Y3" s="3383" t="s">
        <v>8722</v>
      </c>
      <c r="Z3" s="3384"/>
      <c r="AA3" s="3384"/>
      <c r="AB3" s="3374" t="s">
        <v>8723</v>
      </c>
      <c r="AC3" s="3375"/>
      <c r="AD3" s="3385" t="s">
        <v>6632</v>
      </c>
      <c r="AE3" s="3376" t="s">
        <v>1210</v>
      </c>
      <c r="AG3" s="3293" t="s">
        <v>9267</v>
      </c>
      <c r="AH3" s="3295" t="s">
        <v>9268</v>
      </c>
      <c r="AI3" s="3297" t="s">
        <v>9269</v>
      </c>
      <c r="AJ3" s="3066" t="s">
        <v>9270</v>
      </c>
      <c r="AK3" s="3066"/>
      <c r="AL3" s="3066" t="s">
        <v>9271</v>
      </c>
      <c r="AM3" s="3066" t="s">
        <v>9272</v>
      </c>
      <c r="AP3" s="3419" t="s">
        <v>3734</v>
      </c>
      <c r="AQ3" s="3421" t="s">
        <v>1204</v>
      </c>
      <c r="AR3" s="3423" t="s">
        <v>1206</v>
      </c>
      <c r="AS3" s="3081" t="s">
        <v>9265</v>
      </c>
      <c r="AT3" s="3223" t="s">
        <v>6630</v>
      </c>
      <c r="AU3" s="3224"/>
      <c r="AV3" s="3425" t="s">
        <v>8722</v>
      </c>
      <c r="AW3" s="3384"/>
      <c r="AX3" s="3384"/>
      <c r="AY3" s="3426" t="s">
        <v>8723</v>
      </c>
      <c r="AZ3" s="3427"/>
      <c r="BA3" s="3428" t="s">
        <v>6632</v>
      </c>
      <c r="BB3" s="3652" t="s">
        <v>1210</v>
      </c>
    </row>
    <row r="4" spans="1:54" ht="15.6" thickTop="1" thickBot="1">
      <c r="A4" s="3478"/>
      <c r="B4" s="3483"/>
      <c r="C4" s="3480"/>
      <c r="D4" s="3023" t="s">
        <v>9266</v>
      </c>
      <c r="E4" s="2685" t="s">
        <v>19</v>
      </c>
      <c r="F4" s="2685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390" t="s">
        <v>19</v>
      </c>
      <c r="L4" s="3391"/>
      <c r="M4" s="3391"/>
      <c r="N4" s="3392"/>
      <c r="O4" s="3393" t="s">
        <v>20</v>
      </c>
      <c r="P4" s="3393"/>
      <c r="Q4" s="3393"/>
      <c r="R4" s="3394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1" t="s">
        <v>23</v>
      </c>
      <c r="AB4" s="2723" t="s">
        <v>19</v>
      </c>
      <c r="AC4" s="2724" t="s">
        <v>20</v>
      </c>
      <c r="AD4" s="3386"/>
      <c r="AE4" s="3377"/>
      <c r="AG4" s="3294"/>
      <c r="AH4" s="3296"/>
      <c r="AI4" s="3298"/>
      <c r="AJ4" s="3067">
        <f>COUNTIF(AI5:AI501,"사용초과")</f>
        <v>27</v>
      </c>
      <c r="AK4" s="3067"/>
      <c r="AL4" s="3067">
        <f>COUNTIF(AI5:AI501,AL3)</f>
        <v>77</v>
      </c>
      <c r="AM4" s="3067">
        <f>COUNTIF(AI5:AI501,AM3)</f>
        <v>207</v>
      </c>
      <c r="AP4" s="3420"/>
      <c r="AQ4" s="3422"/>
      <c r="AR4" s="3424"/>
      <c r="AS4" s="3082" t="s">
        <v>9266</v>
      </c>
      <c r="AT4" s="2065" t="s">
        <v>3737</v>
      </c>
      <c r="AU4" s="2066" t="s">
        <v>3738</v>
      </c>
      <c r="AV4" s="3083" t="s">
        <v>3737</v>
      </c>
      <c r="AW4" s="2067" t="s">
        <v>3738</v>
      </c>
      <c r="AX4" s="2651" t="s">
        <v>23</v>
      </c>
      <c r="AY4" s="2713" t="s">
        <v>3737</v>
      </c>
      <c r="AZ4" s="2714" t="s">
        <v>3738</v>
      </c>
      <c r="BA4" s="3429"/>
      <c r="BB4" s="3653"/>
    </row>
    <row r="5" spans="1:54" ht="35.4" thickTop="1">
      <c r="A5" s="1084" t="s">
        <v>2474</v>
      </c>
      <c r="B5" s="996" t="s">
        <v>2475</v>
      </c>
      <c r="C5" s="2992" t="s">
        <v>9186</v>
      </c>
      <c r="D5" s="3030">
        <v>2.2000000000000002</v>
      </c>
      <c r="E5" s="2996" t="s">
        <v>2476</v>
      </c>
      <c r="F5" s="822" t="s">
        <v>2477</v>
      </c>
      <c r="G5" s="2682" t="s">
        <v>2478</v>
      </c>
      <c r="H5" s="2683" t="s">
        <v>2479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398" t="s">
        <v>6541</v>
      </c>
      <c r="N5" s="1537">
        <v>3</v>
      </c>
      <c r="O5" s="1538">
        <v>220</v>
      </c>
      <c r="P5" s="1539">
        <v>30</v>
      </c>
      <c r="Q5" s="2423" t="s">
        <v>6548</v>
      </c>
      <c r="R5" s="1540">
        <v>3</v>
      </c>
      <c r="S5" s="3487" t="s">
        <v>2480</v>
      </c>
      <c r="T5" s="3488" t="s">
        <v>2481</v>
      </c>
      <c r="U5" s="3487" t="s">
        <v>2482</v>
      </c>
      <c r="V5" s="3488" t="s">
        <v>2483</v>
      </c>
      <c r="W5" s="3487" t="s">
        <v>2484</v>
      </c>
      <c r="X5" s="3488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54">
        <f>SUM(Y5:Z5)</f>
        <v>0</v>
      </c>
      <c r="AB5" s="2725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26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79">
        <f>SUM(AB5:AC5)</f>
        <v>0</v>
      </c>
      <c r="AE5" s="2469"/>
      <c r="AG5" s="2367">
        <f>AD5/(24*31)</f>
        <v>0</v>
      </c>
      <c r="AH5" s="2367">
        <f>D5-AG5</f>
        <v>2.2000000000000002</v>
      </c>
      <c r="AI5" s="123" t="str">
        <f t="shared" ref="AI5:AI68" si="2">IF(SIGN(AH5)&gt;=0,IF(AD5=0,"무부하 랙","적정함"),"사용초과")</f>
        <v>무부하 랙</v>
      </c>
      <c r="AJ5" t="str">
        <f>IF(AI5="사용초과",C5,"")</f>
        <v/>
      </c>
      <c r="AK5" t="str">
        <f>IF(AJ5="","",A5)</f>
        <v/>
      </c>
      <c r="AP5" s="123" t="str" cm="1">
        <f t="array" ref="AP5:AS11">IF($AX$1="", "", _xlfn._xlws.FILTER(A5:D1065, ISNUMBER(SEARCH($AX$1,C5:C1065)), "찾을 수 없음"))</f>
        <v>A603</v>
      </c>
      <c r="AQ5" s="123">
        <v>0</v>
      </c>
      <c r="AR5" s="123" t="str">
        <v>Sejong Telecom Inc.</v>
      </c>
      <c r="AS5" s="3084">
        <v>3</v>
      </c>
      <c r="AT5" s="123" t="str" cm="1">
        <f t="array" ref="AT5:AU11">IF($AX$1="", "", _xlfn._xlws.FILTER(I5:J1065, ISNUMBER(SEARCH($AX$1,C5:C1065)), "찾을 수 없음"))</f>
        <v>5-DaHall1-PDU-15-30-11</v>
      </c>
      <c r="AU5" s="123" t="str">
        <v>5-DaHall1-PDU-16-30-11</v>
      </c>
      <c r="AV5" s="3092" cm="1">
        <f t="array" ref="AV5:BB11">IF($AX$1="", "", _xlfn._xlws.FILTER(Y5:AE1065, ISNUMBER(SEARCH($AX$1,C5:C1065)), "찾을 수 없음"))</f>
        <v>0</v>
      </c>
      <c r="AW5" s="3086">
        <v>0</v>
      </c>
      <c r="AX5" s="3087">
        <v>3.3094342614457197</v>
      </c>
      <c r="AY5" s="3088">
        <v>0</v>
      </c>
      <c r="AZ5" s="3089">
        <v>0</v>
      </c>
      <c r="BA5" s="3090">
        <v>383.6</v>
      </c>
      <c r="BB5" s="1" t="str">
        <v>23/08/23 차단기 투입</v>
      </c>
    </row>
    <row r="6" spans="1:54" ht="28.8">
      <c r="A6" s="2652" t="s">
        <v>2486</v>
      </c>
      <c r="B6" s="2124" t="s">
        <v>2487</v>
      </c>
      <c r="C6" s="2993"/>
      <c r="D6" s="3031"/>
      <c r="E6" s="2997" t="s">
        <v>2489</v>
      </c>
      <c r="F6" s="823" t="s">
        <v>2490</v>
      </c>
      <c r="G6" s="2679" t="s">
        <v>2491</v>
      </c>
      <c r="H6" s="2680" t="s">
        <v>2492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396" t="s">
        <v>6541</v>
      </c>
      <c r="N6" s="1543">
        <v>5</v>
      </c>
      <c r="O6" s="1544">
        <v>220</v>
      </c>
      <c r="P6" s="1545">
        <v>30</v>
      </c>
      <c r="Q6" s="2421" t="s">
        <v>6548</v>
      </c>
      <c r="R6" s="1546">
        <v>5</v>
      </c>
      <c r="S6" s="3485"/>
      <c r="T6" s="3489"/>
      <c r="U6" s="3485"/>
      <c r="V6" s="3489"/>
      <c r="W6" s="3485"/>
      <c r="X6" s="3494"/>
      <c r="Y6" s="253">
        <f>SUM('5층_부하량(월간_AVG)'!D318:F318)</f>
        <v>0</v>
      </c>
      <c r="Z6" s="253">
        <f>SUM('5층_부하량(월간_AVG)'!D377:F377)</f>
        <v>0</v>
      </c>
      <c r="AA6" s="2452">
        <f t="shared" ref="AA6" si="3">SUM(Y6:Z6)</f>
        <v>0</v>
      </c>
      <c r="AB6" s="2727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28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77">
        <f>SUM(AB6:AC6)</f>
        <v>0</v>
      </c>
      <c r="AE6" s="2467"/>
      <c r="AG6" s="2367">
        <f t="shared" ref="AG6:AG69" si="4">AD6/(24*31)</f>
        <v>0</v>
      </c>
      <c r="AH6" s="2367">
        <f t="shared" ref="AH6:AH69" si="5">D6-AG6</f>
        <v>0</v>
      </c>
      <c r="AI6" s="123" t="str">
        <f t="shared" si="2"/>
        <v>무부하 랙</v>
      </c>
      <c r="AJ6" t="str">
        <f t="shared" ref="AJ6:AJ69" si="6">IF(AI6="사용초과",C6,"")</f>
        <v/>
      </c>
      <c r="AK6" t="str">
        <f t="shared" ref="AK6:AK69" si="7">IF(AJ6="","",A6)</f>
        <v/>
      </c>
      <c r="AP6" s="123" t="str">
        <v>A608</v>
      </c>
      <c r="AQ6" s="123" t="str">
        <v>5F-B17</v>
      </c>
      <c r="AR6" s="123" t="str">
        <v>Sejong Telecom Inc.</v>
      </c>
      <c r="AS6" s="3084">
        <v>2.2000000000000002</v>
      </c>
      <c r="AT6" s="123" t="str">
        <v>5-DaHall1-PDU-11-20-29</v>
      </c>
      <c r="AU6" s="123" t="str">
        <v>5-DaHall1-PDU-12-20-27</v>
      </c>
      <c r="AV6" s="3092">
        <v>0</v>
      </c>
      <c r="AW6" s="3086">
        <v>0</v>
      </c>
      <c r="AX6" s="3087">
        <v>11.363747973996194</v>
      </c>
      <c r="AY6" s="3088">
        <v>0</v>
      </c>
      <c r="AZ6" s="3089">
        <v>0</v>
      </c>
      <c r="BA6" s="3090">
        <v>1630.3000000000002</v>
      </c>
      <c r="BB6" s="1" t="str">
        <v>미사용</v>
      </c>
    </row>
    <row r="7" spans="1:54" ht="28.8">
      <c r="A7" s="3325" t="s">
        <v>2493</v>
      </c>
      <c r="B7" s="3486" t="s">
        <v>2494</v>
      </c>
      <c r="C7" s="3490" t="s">
        <v>9219</v>
      </c>
      <c r="D7" s="3493">
        <v>2.2000000000000002</v>
      </c>
      <c r="E7" s="2998" t="s">
        <v>2495</v>
      </c>
      <c r="F7" s="2681" t="s">
        <v>2496</v>
      </c>
      <c r="G7" s="2679" t="s">
        <v>2497</v>
      </c>
      <c r="H7" s="2680" t="s">
        <v>2498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396" t="s">
        <v>6541</v>
      </c>
      <c r="N7" s="1543">
        <v>9</v>
      </c>
      <c r="O7" s="1544">
        <v>220</v>
      </c>
      <c r="P7" s="1545">
        <v>20</v>
      </c>
      <c r="Q7" s="2421" t="s">
        <v>6548</v>
      </c>
      <c r="R7" s="1546">
        <v>26</v>
      </c>
      <c r="S7" s="3485"/>
      <c r="T7" s="3489"/>
      <c r="U7" s="3485"/>
      <c r="V7" s="3489"/>
      <c r="W7" s="3485"/>
      <c r="X7" s="3494"/>
      <c r="Y7" s="824">
        <f>SUM('5층_부하량(월간_AVG)'!D320:F320)</f>
        <v>5.2356864871800779</v>
      </c>
      <c r="Z7" s="824">
        <f>SUM('5층_부하량(월간_AVG)'!N387:P387)</f>
        <v>4.9997072965470322</v>
      </c>
      <c r="AA7" s="3495">
        <f>SUM(Y7:Z8)</f>
        <v>22.196605589827527</v>
      </c>
      <c r="AB7" s="2729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828.8</v>
      </c>
      <c r="AC7" s="2730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795.6</v>
      </c>
      <c r="AD7" s="3531">
        <f>SUM(AB7:AC8)</f>
        <v>3535.5</v>
      </c>
      <c r="AE7" s="2513"/>
      <c r="AG7" s="2367">
        <f t="shared" si="4"/>
        <v>4.752016129032258</v>
      </c>
      <c r="AH7" s="2367">
        <f t="shared" si="5"/>
        <v>-2.5520161290322578</v>
      </c>
      <c r="AI7" s="123" t="str">
        <f t="shared" si="2"/>
        <v>사용초과</v>
      </c>
      <c r="AJ7" t="str">
        <f t="shared" si="6"/>
        <v>PCCW Global Korea Limited</v>
      </c>
      <c r="AK7" t="str">
        <f t="shared" si="7"/>
        <v>A503</v>
      </c>
      <c r="AP7" s="123" t="str">
        <v>A703</v>
      </c>
      <c r="AQ7" s="123" t="str">
        <v>5F-C12</v>
      </c>
      <c r="AR7" s="123" t="str">
        <v>Sejong Telecom Inc.</v>
      </c>
      <c r="AS7" s="3084">
        <v>2.2000000000000002</v>
      </c>
      <c r="AT7" s="123" t="str">
        <v>5-DaHall1-PDU-11-30-6</v>
      </c>
      <c r="AU7" s="123" t="str">
        <v>5-DaHall1-PDU-12-30-4</v>
      </c>
      <c r="AV7" s="3092">
        <v>1.990112214214371</v>
      </c>
      <c r="AW7" s="3086">
        <v>1.9052151930913293</v>
      </c>
      <c r="AX7" s="3087">
        <v>3.8953274073057003</v>
      </c>
      <c r="AY7" s="3088">
        <v>277.10000000000002</v>
      </c>
      <c r="AZ7" s="3089">
        <v>250</v>
      </c>
      <c r="BA7" s="3090">
        <v>527.1</v>
      </c>
      <c r="BB7" s="1" t="str">
        <v>21/11/30 전기투입</v>
      </c>
    </row>
    <row r="8" spans="1:54" ht="28.8">
      <c r="A8" s="3325"/>
      <c r="B8" s="3486"/>
      <c r="C8" s="3490"/>
      <c r="D8" s="3493"/>
      <c r="E8" s="2998" t="s">
        <v>2499</v>
      </c>
      <c r="F8" s="2681" t="s">
        <v>2500</v>
      </c>
      <c r="G8" s="2679" t="s">
        <v>2501</v>
      </c>
      <c r="H8" s="2680" t="s">
        <v>2502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396" t="s">
        <v>6541</v>
      </c>
      <c r="N8" s="1543">
        <v>26</v>
      </c>
      <c r="O8" s="1544">
        <v>220</v>
      </c>
      <c r="P8" s="1545">
        <v>20</v>
      </c>
      <c r="Q8" s="2421" t="s">
        <v>6548</v>
      </c>
      <c r="R8" s="1546">
        <v>30</v>
      </c>
      <c r="S8" s="3485"/>
      <c r="T8" s="3489"/>
      <c r="U8" s="3485"/>
      <c r="V8" s="3489"/>
      <c r="W8" s="3485"/>
      <c r="X8" s="3494"/>
      <c r="Y8" s="824">
        <f>SUM('5층_부하량(월간_AVG)'!N328:P328)</f>
        <v>5.4626835762464498</v>
      </c>
      <c r="Z8" s="824">
        <f>SUM('5층_부하량(월간_AVG)'!N389:P389)</f>
        <v>6.4985282298539664</v>
      </c>
      <c r="AA8" s="3496"/>
      <c r="AB8" s="2729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871</v>
      </c>
      <c r="AC8" s="2730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1040.0999999999999</v>
      </c>
      <c r="AD8" s="3532"/>
      <c r="AE8" s="2513"/>
      <c r="AG8" s="2367">
        <f t="shared" si="4"/>
        <v>0</v>
      </c>
      <c r="AH8" s="2367">
        <f t="shared" si="5"/>
        <v>0</v>
      </c>
      <c r="AI8" s="123" t="str">
        <f t="shared" si="2"/>
        <v>무부하 랙</v>
      </c>
      <c r="AJ8" t="str">
        <f t="shared" si="6"/>
        <v/>
      </c>
      <c r="AK8" t="str">
        <f t="shared" si="7"/>
        <v/>
      </c>
      <c r="AP8" s="123" t="str">
        <v>A704</v>
      </c>
      <c r="AQ8" s="123" t="str">
        <v>5F-C13</v>
      </c>
      <c r="AR8" s="123" t="str">
        <v>Sejong Telecom Inc.</v>
      </c>
      <c r="AS8" s="3084">
        <v>2.2000000000000002</v>
      </c>
      <c r="AT8" s="123" t="str">
        <v>5-DaHall1-PDU-11-20-8</v>
      </c>
      <c r="AU8" s="123" t="str">
        <v>5-DaHall1-PDU-12-30-6</v>
      </c>
      <c r="AV8" s="3092">
        <v>0</v>
      </c>
      <c r="AW8" s="3086">
        <v>0</v>
      </c>
      <c r="AX8" s="3087">
        <v>0</v>
      </c>
      <c r="AY8" s="3088">
        <v>0</v>
      </c>
      <c r="AZ8" s="3089">
        <v>0</v>
      </c>
      <c r="BA8" s="3090">
        <v>0</v>
      </c>
      <c r="BB8" s="1" t="str">
        <v>QDF
전기 미사용</v>
      </c>
    </row>
    <row r="9" spans="1:54" ht="28.8">
      <c r="A9" s="3325" t="s">
        <v>270</v>
      </c>
      <c r="B9" s="3360" t="s">
        <v>2503</v>
      </c>
      <c r="C9" s="3490" t="s">
        <v>9219</v>
      </c>
      <c r="D9" s="3493">
        <v>2.2000000000000002</v>
      </c>
      <c r="E9" s="2997" t="s">
        <v>2504</v>
      </c>
      <c r="F9" s="823" t="s">
        <v>2505</v>
      </c>
      <c r="G9" s="2679" t="s">
        <v>2506</v>
      </c>
      <c r="H9" s="2680" t="s">
        <v>2507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396" t="s">
        <v>6541</v>
      </c>
      <c r="N9" s="1543">
        <v>11</v>
      </c>
      <c r="O9" s="1544">
        <v>220</v>
      </c>
      <c r="P9" s="1545">
        <v>30</v>
      </c>
      <c r="Q9" s="2421" t="s">
        <v>6548</v>
      </c>
      <c r="R9" s="1546">
        <v>9</v>
      </c>
      <c r="S9" s="3485"/>
      <c r="T9" s="3489"/>
      <c r="U9" s="3485"/>
      <c r="V9" s="3489"/>
      <c r="W9" s="3485"/>
      <c r="X9" s="3494"/>
      <c r="Y9" s="268">
        <f>SUM('5층_부하량(월간_AVG)'!D321:F321)</f>
        <v>0</v>
      </c>
      <c r="Z9" s="253">
        <f>SUM('5층_부하량(월간_AVG)'!D379:F379)</f>
        <v>2.931692392125302</v>
      </c>
      <c r="AA9" s="3396">
        <f>SUM(Y9:Z10)</f>
        <v>4.8850174830541109</v>
      </c>
      <c r="AB9" s="2731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32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456.4</v>
      </c>
      <c r="AD9" s="3533">
        <f>SUM(AB9:AC10)</f>
        <v>760.09999999999991</v>
      </c>
      <c r="AE9" s="2467"/>
      <c r="AG9" s="2367">
        <f t="shared" si="4"/>
        <v>1.0216397849462364</v>
      </c>
      <c r="AH9" s="2367">
        <f t="shared" si="5"/>
        <v>1.1783602150537638</v>
      </c>
      <c r="AI9" s="123" t="str">
        <f t="shared" si="2"/>
        <v>적정함</v>
      </c>
      <c r="AJ9" t="str">
        <f t="shared" si="6"/>
        <v/>
      </c>
      <c r="AK9" t="str">
        <f t="shared" si="7"/>
        <v/>
      </c>
      <c r="AP9" s="123" t="str">
        <v>A806</v>
      </c>
      <c r="AQ9" s="123" t="str">
        <v>5F-D15</v>
      </c>
      <c r="AR9" s="123" t="str">
        <v>Sejong Telecom Inc.</v>
      </c>
      <c r="AS9" s="3084">
        <v>3</v>
      </c>
      <c r="AT9" s="123" t="str">
        <v>5-DaHall1-PDU-13-20-17</v>
      </c>
      <c r="AU9" s="123" t="str">
        <v>5-DaHall1-PDU-14-20-15</v>
      </c>
      <c r="AV9" s="3092">
        <v>0</v>
      </c>
      <c r="AW9" s="3086">
        <v>0</v>
      </c>
      <c r="AX9" s="3087">
        <v>0</v>
      </c>
      <c r="AY9" s="3088">
        <v>0</v>
      </c>
      <c r="AZ9" s="3089">
        <v>0</v>
      </c>
      <c r="BA9" s="3090">
        <v>620.09999999999991</v>
      </c>
      <c r="BB9" s="1" t="str">
        <v>랙 미설치</v>
      </c>
    </row>
    <row r="10" spans="1:54" ht="28.8">
      <c r="A10" s="3325"/>
      <c r="B10" s="3360"/>
      <c r="C10" s="3490"/>
      <c r="D10" s="3493"/>
      <c r="E10" s="2997" t="s">
        <v>2508</v>
      </c>
      <c r="F10" s="823" t="s">
        <v>2509</v>
      </c>
      <c r="G10" s="2679" t="s">
        <v>2510</v>
      </c>
      <c r="H10" s="2680" t="s">
        <v>2511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396" t="s">
        <v>6541</v>
      </c>
      <c r="N10" s="1543">
        <v>13</v>
      </c>
      <c r="O10" s="1544">
        <v>220</v>
      </c>
      <c r="P10" s="1545">
        <v>30</v>
      </c>
      <c r="Q10" s="2421" t="s">
        <v>6548</v>
      </c>
      <c r="R10" s="1546">
        <v>11</v>
      </c>
      <c r="S10" s="3485"/>
      <c r="T10" s="3489"/>
      <c r="U10" s="3485"/>
      <c r="V10" s="3489"/>
      <c r="W10" s="3485"/>
      <c r="X10" s="3494"/>
      <c r="Y10" s="268">
        <f>SUM('5층_부하량(월간_AVG)'!D322:F322)</f>
        <v>1.9533250909288089</v>
      </c>
      <c r="Z10" s="253">
        <f>SUM('5층_부하량(월간_AVG)'!D380:F380)</f>
        <v>0</v>
      </c>
      <c r="AA10" s="3397"/>
      <c r="AB10" s="2731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303.7</v>
      </c>
      <c r="AC10" s="2732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534"/>
      <c r="AE10" s="2467"/>
      <c r="AG10" s="2367">
        <f t="shared" si="4"/>
        <v>0</v>
      </c>
      <c r="AH10" s="2367">
        <f t="shared" si="5"/>
        <v>0</v>
      </c>
      <c r="AI10" s="123" t="str">
        <f t="shared" si="2"/>
        <v>무부하 랙</v>
      </c>
      <c r="AJ10" t="str">
        <f t="shared" si="6"/>
        <v/>
      </c>
      <c r="AK10" t="str">
        <f t="shared" si="7"/>
        <v/>
      </c>
      <c r="AP10" s="123" t="str">
        <v>A807</v>
      </c>
      <c r="AQ10" s="123" t="str">
        <v>5F-D16</v>
      </c>
      <c r="AR10" s="123" t="str">
        <v>Sejong Telecom Inc.</v>
      </c>
      <c r="AS10" s="3084">
        <v>2.2000000000000002</v>
      </c>
      <c r="AT10" s="123" t="str">
        <v>5-DaHall1-PDU-13-20-19</v>
      </c>
      <c r="AU10" s="123" t="str">
        <v>5-DaHall1-PDU-14-20-17</v>
      </c>
      <c r="AV10" s="3092">
        <v>5.2356076642778699</v>
      </c>
      <c r="AW10" s="3086">
        <v>0.96224317999940046</v>
      </c>
      <c r="AX10" s="3087">
        <v>6.1978508442772702</v>
      </c>
      <c r="AY10" s="3088">
        <v>849.3</v>
      </c>
      <c r="AZ10" s="3089">
        <v>120.8</v>
      </c>
      <c r="BA10" s="3090">
        <v>970.09999999999991</v>
      </c>
      <c r="BB10" s="1" t="str">
        <v>랙 미설치</v>
      </c>
    </row>
    <row r="11" spans="1:54" ht="34.799999999999997">
      <c r="A11" s="2652" t="s">
        <v>266</v>
      </c>
      <c r="B11" s="2653" t="s">
        <v>2512</v>
      </c>
      <c r="C11" s="2993" t="s">
        <v>9219</v>
      </c>
      <c r="D11" s="3032">
        <v>2.2000000000000002</v>
      </c>
      <c r="E11" s="2997" t="s">
        <v>2513</v>
      </c>
      <c r="F11" s="823" t="s">
        <v>2514</v>
      </c>
      <c r="G11" s="2679" t="s">
        <v>2515</v>
      </c>
      <c r="H11" s="2680" t="s">
        <v>2516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396" t="s">
        <v>6492</v>
      </c>
      <c r="N11" s="1543">
        <v>1</v>
      </c>
      <c r="O11" s="1544">
        <v>220</v>
      </c>
      <c r="P11" s="1545">
        <v>30</v>
      </c>
      <c r="Q11" s="2421" t="s">
        <v>6504</v>
      </c>
      <c r="R11" s="1546">
        <v>7</v>
      </c>
      <c r="S11" s="3484" t="s">
        <v>2517</v>
      </c>
      <c r="T11" s="3489" t="s">
        <v>2518</v>
      </c>
      <c r="U11" s="3484" t="s">
        <v>2519</v>
      </c>
      <c r="V11" s="3489" t="s">
        <v>2520</v>
      </c>
      <c r="W11" s="3485"/>
      <c r="X11" s="3494"/>
      <c r="Y11" s="268">
        <f>SUM('5층_부하량(월간_AVG)'!D226:F226)</f>
        <v>7.7299224353135179</v>
      </c>
      <c r="Z11" s="253">
        <f>SUM('5층_부하량(월간_AVG)'!D274:F274)</f>
        <v>5.3868240610107865</v>
      </c>
      <c r="AA11" s="2452">
        <f t="shared" ref="AA11:AA13" si="8">SUM(Y11:Z11)</f>
        <v>13.116746496324303</v>
      </c>
      <c r="AB11" s="2727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1231.3</v>
      </c>
      <c r="AC11" s="2728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795.8</v>
      </c>
      <c r="AD11" s="2477">
        <f>SUM(AB11:AC11)</f>
        <v>2027.1</v>
      </c>
      <c r="AE11" s="2467"/>
      <c r="AG11" s="2367">
        <f t="shared" si="4"/>
        <v>2.7245967741935484</v>
      </c>
      <c r="AH11" s="2367">
        <f t="shared" si="5"/>
        <v>-0.52459677419354822</v>
      </c>
      <c r="AI11" s="123" t="str">
        <f t="shared" si="2"/>
        <v>사용초과</v>
      </c>
      <c r="AJ11" t="str">
        <f t="shared" si="6"/>
        <v>PCCW Global Korea Limited</v>
      </c>
      <c r="AK11" t="str">
        <f t="shared" si="7"/>
        <v>A505</v>
      </c>
      <c r="AP11" s="123" t="str">
        <v>A808</v>
      </c>
      <c r="AQ11" s="123" t="str">
        <v>5F-D17</v>
      </c>
      <c r="AR11" s="123" t="str">
        <v>Sejong Telecom Inc.</v>
      </c>
      <c r="AS11" s="3084">
        <v>2.2000000000000002</v>
      </c>
      <c r="AT11" s="123" t="str">
        <v>5-DaHall1-PDU-13-20-21</v>
      </c>
      <c r="AU11" s="123" t="str">
        <v>5-DaHall1-PDU-14-20-19</v>
      </c>
      <c r="AV11" s="3092">
        <v>3.1819935809540172</v>
      </c>
      <c r="AW11" s="3086">
        <v>2.5601456704547765</v>
      </c>
      <c r="AX11" s="3087">
        <v>5.7421392514087941</v>
      </c>
      <c r="AY11" s="3088">
        <v>427.3</v>
      </c>
      <c r="AZ11" s="3089">
        <v>390.2</v>
      </c>
      <c r="BA11" s="3090">
        <v>817.5</v>
      </c>
      <c r="BB11" s="1">
        <v>0</v>
      </c>
    </row>
    <row r="12" spans="1:54" ht="34.799999999999997">
      <c r="A12" s="2652" t="s">
        <v>2521</v>
      </c>
      <c r="B12" s="2653" t="s">
        <v>2522</v>
      </c>
      <c r="C12" s="2993" t="s">
        <v>9219</v>
      </c>
      <c r="D12" s="3032">
        <v>2.2000000000000002</v>
      </c>
      <c r="E12" s="2997" t="s">
        <v>2523</v>
      </c>
      <c r="F12" s="823" t="s">
        <v>2524</v>
      </c>
      <c r="G12" s="2679" t="s">
        <v>2525</v>
      </c>
      <c r="H12" s="2680" t="s">
        <v>2526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396" t="s">
        <v>6492</v>
      </c>
      <c r="N12" s="1543">
        <v>3</v>
      </c>
      <c r="O12" s="1544">
        <v>220</v>
      </c>
      <c r="P12" s="1545">
        <v>30</v>
      </c>
      <c r="Q12" s="2421" t="s">
        <v>6504</v>
      </c>
      <c r="R12" s="1546">
        <v>3</v>
      </c>
      <c r="S12" s="3485"/>
      <c r="T12" s="3494"/>
      <c r="U12" s="3485"/>
      <c r="V12" s="3489"/>
      <c r="W12" s="3485"/>
      <c r="X12" s="3494"/>
      <c r="Y12" s="268">
        <f>SUM('5층_부하량(월간_AVG)'!D227:F227)</f>
        <v>1.2904128077737169</v>
      </c>
      <c r="Z12" s="253">
        <f>SUM('5층_부하량(월간_AVG)'!D272:F272)</f>
        <v>1.3953580245916024</v>
      </c>
      <c r="AA12" s="2452">
        <f t="shared" si="8"/>
        <v>2.6857708323653195</v>
      </c>
      <c r="AB12" s="2727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108</v>
      </c>
      <c r="AC12" s="2728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121.2</v>
      </c>
      <c r="AD12" s="2477">
        <f t="shared" ref="AD12:AD13" si="9">SUM(AB12:AC12)</f>
        <v>229.2</v>
      </c>
      <c r="AE12" s="2467"/>
      <c r="AG12" s="2367">
        <f t="shared" si="4"/>
        <v>0.30806451612903224</v>
      </c>
      <c r="AH12" s="2367">
        <f t="shared" si="5"/>
        <v>1.8919354838709679</v>
      </c>
      <c r="AI12" s="123" t="str">
        <f t="shared" si="2"/>
        <v>적정함</v>
      </c>
      <c r="AJ12" t="str">
        <f t="shared" si="6"/>
        <v/>
      </c>
      <c r="AK12" t="str">
        <f t="shared" si="7"/>
        <v/>
      </c>
      <c r="AP12" s="123"/>
      <c r="AQ12" s="123"/>
      <c r="AR12" s="123"/>
      <c r="AS12" s="3084"/>
      <c r="AT12" s="123"/>
      <c r="AU12" s="123"/>
      <c r="AV12" s="3092"/>
      <c r="AW12" s="3086"/>
      <c r="AX12" s="3087"/>
      <c r="AY12" s="3088"/>
      <c r="AZ12" s="3089"/>
      <c r="BA12" s="3090"/>
      <c r="BB12" s="1"/>
    </row>
    <row r="13" spans="1:54" ht="34.799999999999997">
      <c r="A13" s="2652" t="s">
        <v>2527</v>
      </c>
      <c r="B13" s="2653" t="s">
        <v>2528</v>
      </c>
      <c r="C13" s="2993" t="s">
        <v>9219</v>
      </c>
      <c r="D13" s="3032">
        <v>2.2000000000000002</v>
      </c>
      <c r="E13" s="2997" t="s">
        <v>2529</v>
      </c>
      <c r="F13" s="823" t="s">
        <v>2530</v>
      </c>
      <c r="G13" s="2679" t="s">
        <v>2531</v>
      </c>
      <c r="H13" s="2680" t="s">
        <v>2532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396" t="s">
        <v>6492</v>
      </c>
      <c r="N13" s="1543">
        <v>5</v>
      </c>
      <c r="O13" s="1544">
        <v>220</v>
      </c>
      <c r="P13" s="1545">
        <v>30</v>
      </c>
      <c r="Q13" s="2421" t="s">
        <v>6504</v>
      </c>
      <c r="R13" s="1546">
        <v>5</v>
      </c>
      <c r="S13" s="3485"/>
      <c r="T13" s="3494"/>
      <c r="U13" s="3485"/>
      <c r="V13" s="3489"/>
      <c r="W13" s="3485"/>
      <c r="X13" s="3494"/>
      <c r="Y13" s="268">
        <f>SUM('5층_부하량(월간_AVG)'!D228:F228)</f>
        <v>0.40000000000000019</v>
      </c>
      <c r="Z13" s="253">
        <f>SUM('5층_부하량(월간_AVG)'!D273:F273)</f>
        <v>0</v>
      </c>
      <c r="AA13" s="2452">
        <f t="shared" si="8"/>
        <v>0.40000000000000019</v>
      </c>
      <c r="AB13" s="2727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56.8</v>
      </c>
      <c r="AC13" s="2728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77">
        <f t="shared" si="9"/>
        <v>56.8</v>
      </c>
      <c r="AE13" s="2467"/>
      <c r="AG13" s="2367">
        <f t="shared" si="4"/>
        <v>7.6344086021505372E-2</v>
      </c>
      <c r="AH13" s="2367">
        <f t="shared" si="5"/>
        <v>2.123655913978495</v>
      </c>
      <c r="AI13" s="123" t="str">
        <f t="shared" si="2"/>
        <v>적정함</v>
      </c>
      <c r="AJ13" t="str">
        <f t="shared" si="6"/>
        <v/>
      </c>
      <c r="AK13" t="str">
        <f t="shared" si="7"/>
        <v/>
      </c>
      <c r="AP13" s="123"/>
      <c r="AQ13" s="123"/>
      <c r="AR13" s="123"/>
      <c r="AS13" s="3084"/>
      <c r="AT13" s="123"/>
      <c r="AU13" s="123"/>
      <c r="AV13" s="3092"/>
      <c r="AW13" s="3086"/>
      <c r="AX13" s="3087"/>
      <c r="AY13" s="3088"/>
      <c r="AZ13" s="3089"/>
      <c r="BA13" s="3090"/>
      <c r="BB13" s="1"/>
    </row>
    <row r="14" spans="1:54" ht="28.8">
      <c r="A14" s="3325" t="s">
        <v>2533</v>
      </c>
      <c r="B14" s="3360" t="s">
        <v>2534</v>
      </c>
      <c r="C14" s="3490" t="s">
        <v>9220</v>
      </c>
      <c r="D14" s="3493">
        <v>2.2000000000000002</v>
      </c>
      <c r="E14" s="2997" t="s">
        <v>2535</v>
      </c>
      <c r="F14" s="823" t="s">
        <v>2536</v>
      </c>
      <c r="G14" s="2679" t="s">
        <v>2537</v>
      </c>
      <c r="H14" s="2680" t="s">
        <v>2538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396" t="s">
        <v>6492</v>
      </c>
      <c r="N14" s="1543">
        <v>2</v>
      </c>
      <c r="O14" s="1544">
        <v>220</v>
      </c>
      <c r="P14" s="1545">
        <v>30</v>
      </c>
      <c r="Q14" s="2421" t="s">
        <v>6504</v>
      </c>
      <c r="R14" s="1546">
        <v>2</v>
      </c>
      <c r="S14" s="3485"/>
      <c r="T14" s="3494"/>
      <c r="U14" s="3485"/>
      <c r="V14" s="3489"/>
      <c r="W14" s="3485"/>
      <c r="X14" s="3494"/>
      <c r="Y14" s="253">
        <f>SUM('5층_부하량(월간_AVG)'!N226:P226)</f>
        <v>1.0017553331575562</v>
      </c>
      <c r="Z14" s="253">
        <f>SUM('5층_부하량(월간_AVG)'!N271:P271)</f>
        <v>1.1724297861971957</v>
      </c>
      <c r="AA14" s="3396">
        <f>SUM(Y14:Z15)</f>
        <v>13.380411083365825</v>
      </c>
      <c r="AB14" s="2731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32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151.9</v>
      </c>
      <c r="AD14" s="3533">
        <f>SUM(AB14:AC15)</f>
        <v>2052.6</v>
      </c>
      <c r="AE14" s="2467"/>
      <c r="AG14" s="2367">
        <f t="shared" si="4"/>
        <v>2.7588709677419354</v>
      </c>
      <c r="AH14" s="2367">
        <f t="shared" si="5"/>
        <v>-0.55887096774193523</v>
      </c>
      <c r="AI14" s="123" t="str">
        <f t="shared" si="2"/>
        <v>사용초과</v>
      </c>
      <c r="AJ14" t="str">
        <f t="shared" si="6"/>
        <v>Lumen Technologies Korea</v>
      </c>
      <c r="AK14" t="str">
        <f t="shared" si="7"/>
        <v>A508</v>
      </c>
      <c r="AP14" s="123"/>
      <c r="AQ14" s="123"/>
      <c r="AR14" s="123"/>
      <c r="AS14" s="3084"/>
      <c r="AT14" s="123"/>
      <c r="AU14" s="123"/>
      <c r="AV14" s="3092"/>
      <c r="AW14" s="3086"/>
      <c r="AX14" s="3087"/>
      <c r="AY14" s="3088"/>
      <c r="AZ14" s="3089"/>
      <c r="BA14" s="3090"/>
      <c r="BB14" s="1"/>
    </row>
    <row r="15" spans="1:54" ht="57.6">
      <c r="A15" s="3325"/>
      <c r="B15" s="3360"/>
      <c r="C15" s="3490"/>
      <c r="D15" s="3493"/>
      <c r="E15" s="2997" t="s">
        <v>2539</v>
      </c>
      <c r="F15" s="823" t="s">
        <v>2540</v>
      </c>
      <c r="G15" s="2679" t="s">
        <v>2541</v>
      </c>
      <c r="H15" s="2680" t="s">
        <v>2542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396" t="s">
        <v>6541</v>
      </c>
      <c r="N15" s="1543">
        <v>28</v>
      </c>
      <c r="O15" s="1544">
        <v>220</v>
      </c>
      <c r="P15" s="1545">
        <v>20</v>
      </c>
      <c r="Q15" s="2421" t="s">
        <v>6548</v>
      </c>
      <c r="R15" s="1546">
        <v>28</v>
      </c>
      <c r="S15" s="2679" t="s">
        <v>2480</v>
      </c>
      <c r="T15" s="2680" t="s">
        <v>2481</v>
      </c>
      <c r="U15" s="2679" t="s">
        <v>2482</v>
      </c>
      <c r="V15" s="2680" t="s">
        <v>2483</v>
      </c>
      <c r="W15" s="3485"/>
      <c r="X15" s="3494"/>
      <c r="Y15" s="253">
        <f>SUM('5층_부하량(월간_AVG)'!N329:P329)</f>
        <v>5.4233258895056773</v>
      </c>
      <c r="Z15" s="253">
        <f>SUM('5층_부하량(월간_AVG)'!N388:P388)</f>
        <v>5.7829000745053944</v>
      </c>
      <c r="AA15" s="3397"/>
      <c r="AB15" s="2731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868.3</v>
      </c>
      <c r="AC15" s="2732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922.6</v>
      </c>
      <c r="AD15" s="3534"/>
      <c r="AE15" s="2467"/>
      <c r="AG15" s="2367">
        <f t="shared" si="4"/>
        <v>0</v>
      </c>
      <c r="AH15" s="2367">
        <f t="shared" si="5"/>
        <v>0</v>
      </c>
      <c r="AI15" s="123" t="str">
        <f t="shared" si="2"/>
        <v>무부하 랙</v>
      </c>
      <c r="AJ15" t="str">
        <f t="shared" si="6"/>
        <v/>
      </c>
      <c r="AK15" t="str">
        <f t="shared" si="7"/>
        <v/>
      </c>
      <c r="AP15" s="123"/>
      <c r="AQ15" s="123"/>
      <c r="AR15" s="123"/>
      <c r="AS15" s="3084"/>
      <c r="AT15" s="123"/>
      <c r="AU15" s="123"/>
      <c r="AV15" s="3092"/>
      <c r="AW15" s="3086"/>
      <c r="AX15" s="3087"/>
      <c r="AY15" s="3088"/>
      <c r="AZ15" s="3089"/>
      <c r="BA15" s="3090"/>
      <c r="BB15" s="1"/>
    </row>
    <row r="16" spans="1:54" ht="28.8">
      <c r="A16" s="2652" t="s">
        <v>239</v>
      </c>
      <c r="B16" s="250" t="s">
        <v>2543</v>
      </c>
      <c r="C16" s="2993"/>
      <c r="D16" s="3031"/>
      <c r="E16" s="2997" t="s">
        <v>2544</v>
      </c>
      <c r="F16" s="823" t="s">
        <v>2545</v>
      </c>
      <c r="G16" s="2679" t="s">
        <v>2546</v>
      </c>
      <c r="H16" s="2680" t="s">
        <v>2547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396" t="s">
        <v>6492</v>
      </c>
      <c r="N16" s="1543">
        <v>4</v>
      </c>
      <c r="O16" s="1544">
        <v>220</v>
      </c>
      <c r="P16" s="1545">
        <v>30</v>
      </c>
      <c r="Q16" s="2421" t="s">
        <v>6504</v>
      </c>
      <c r="R16" s="1546">
        <v>4</v>
      </c>
      <c r="S16" s="3484" t="s">
        <v>2517</v>
      </c>
      <c r="T16" s="3489" t="s">
        <v>2518</v>
      </c>
      <c r="U16" s="3484" t="s">
        <v>2519</v>
      </c>
      <c r="V16" s="3489" t="s">
        <v>2520</v>
      </c>
      <c r="W16" s="3485"/>
      <c r="X16" s="3494"/>
      <c r="Y16" s="253">
        <f>SUM('5층_부하량(월간_AVG)'!N227:P227)</f>
        <v>0</v>
      </c>
      <c r="Z16" s="253">
        <f>SUM('5층_부하량(월간_AVG)'!N272:P272)</f>
        <v>0</v>
      </c>
      <c r="AA16" s="2452">
        <f t="shared" ref="AA16:AA19" si="10">SUM(Y16:Z16)</f>
        <v>0</v>
      </c>
      <c r="AB16" s="2727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28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77">
        <f>SUM(AB16:AC16)</f>
        <v>0</v>
      </c>
      <c r="AE16" s="2467"/>
      <c r="AG16" s="2367">
        <f t="shared" si="4"/>
        <v>0</v>
      </c>
      <c r="AH16" s="2367">
        <f t="shared" si="5"/>
        <v>0</v>
      </c>
      <c r="AI16" s="123" t="str">
        <f t="shared" si="2"/>
        <v>무부하 랙</v>
      </c>
      <c r="AJ16" t="str">
        <f t="shared" si="6"/>
        <v/>
      </c>
      <c r="AK16" t="str">
        <f t="shared" si="7"/>
        <v/>
      </c>
      <c r="AP16" s="123"/>
      <c r="AQ16" s="123"/>
      <c r="AR16" s="123"/>
      <c r="AS16" s="3084"/>
      <c r="AT16" s="123"/>
      <c r="AU16" s="123"/>
      <c r="AV16" s="3092"/>
      <c r="AW16" s="3086"/>
      <c r="AX16" s="3087"/>
      <c r="AY16" s="3088"/>
      <c r="AZ16" s="3089"/>
      <c r="BA16" s="3090"/>
      <c r="BB16" s="1"/>
    </row>
    <row r="17" spans="1:54" ht="35.4" thickBot="1">
      <c r="A17" s="2660" t="s">
        <v>2548</v>
      </c>
      <c r="B17" s="2672" t="s">
        <v>2549</v>
      </c>
      <c r="C17" s="3010" t="s">
        <v>9186</v>
      </c>
      <c r="D17" s="3033">
        <v>2.2000000000000002</v>
      </c>
      <c r="E17" s="2999" t="s">
        <v>2550</v>
      </c>
      <c r="F17" s="825" t="s">
        <v>2551</v>
      </c>
      <c r="G17" s="872" t="s">
        <v>2552</v>
      </c>
      <c r="H17" s="873" t="s">
        <v>2553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397" t="s">
        <v>6492</v>
      </c>
      <c r="N17" s="1551">
        <v>6</v>
      </c>
      <c r="O17" s="1552">
        <v>220</v>
      </c>
      <c r="P17" s="1553">
        <v>30</v>
      </c>
      <c r="Q17" s="2422" t="s">
        <v>6504</v>
      </c>
      <c r="R17" s="1554">
        <v>6</v>
      </c>
      <c r="S17" s="3491"/>
      <c r="T17" s="3492"/>
      <c r="U17" s="3491"/>
      <c r="V17" s="3492"/>
      <c r="W17" s="3491"/>
      <c r="X17" s="3492"/>
      <c r="Y17" s="329">
        <f>SUM('5층_부하량(월간_AVG)'!N228:P228)</f>
        <v>0.37584276397951122</v>
      </c>
      <c r="Z17" s="329">
        <f>SUM('5층_부하량(월간_AVG)'!N273:P273)</f>
        <v>1.3557560528233588</v>
      </c>
      <c r="AA17" s="2453">
        <f t="shared" si="10"/>
        <v>1.73159881680287</v>
      </c>
      <c r="AB17" s="2733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34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184.4</v>
      </c>
      <c r="AD17" s="2478">
        <f>SUM(AB17:AC17)</f>
        <v>242.5</v>
      </c>
      <c r="AE17" s="2468"/>
      <c r="AG17" s="2367">
        <f t="shared" si="4"/>
        <v>0.32594086021505375</v>
      </c>
      <c r="AH17" s="2367">
        <f t="shared" si="5"/>
        <v>1.8740591397849464</v>
      </c>
      <c r="AI17" s="123" t="str">
        <f t="shared" si="2"/>
        <v>적정함</v>
      </c>
      <c r="AJ17" t="str">
        <f t="shared" si="6"/>
        <v/>
      </c>
      <c r="AK17" t="str">
        <f t="shared" si="7"/>
        <v/>
      </c>
      <c r="AP17" s="123"/>
      <c r="AQ17" s="123"/>
      <c r="AR17" s="123"/>
      <c r="AS17" s="3084"/>
      <c r="AT17" s="123"/>
      <c r="AU17" s="123"/>
      <c r="AV17" s="3092"/>
      <c r="AW17" s="3086"/>
      <c r="AX17" s="3087"/>
      <c r="AY17" s="3088"/>
      <c r="AZ17" s="3089"/>
      <c r="BA17" s="3090"/>
      <c r="BB17" s="1"/>
    </row>
    <row r="18" spans="1:54" ht="27.75" customHeight="1" thickTop="1">
      <c r="A18" s="1084" t="s">
        <v>2554</v>
      </c>
      <c r="B18" s="996" t="s">
        <v>2555</v>
      </c>
      <c r="C18" s="2994" t="s">
        <v>9186</v>
      </c>
      <c r="D18" s="3034">
        <v>2.2000000000000002</v>
      </c>
      <c r="E18" s="847" t="s">
        <v>2556</v>
      </c>
      <c r="F18" s="327" t="s">
        <v>2557</v>
      </c>
      <c r="G18" s="2673" t="s">
        <v>2558</v>
      </c>
      <c r="H18" s="2674" t="s">
        <v>2559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79" t="s">
        <v>6541</v>
      </c>
      <c r="N18" s="1557">
        <v>15</v>
      </c>
      <c r="O18" s="1558">
        <v>220</v>
      </c>
      <c r="P18" s="1559">
        <v>20</v>
      </c>
      <c r="Q18" s="2409" t="s">
        <v>6548</v>
      </c>
      <c r="R18" s="1560">
        <v>13</v>
      </c>
      <c r="S18" s="3498" t="s">
        <v>2480</v>
      </c>
      <c r="T18" s="3501" t="s">
        <v>2481</v>
      </c>
      <c r="U18" s="3345" t="s">
        <v>2482</v>
      </c>
      <c r="V18" s="3354" t="s">
        <v>2483</v>
      </c>
      <c r="W18" s="3355" t="s">
        <v>2484</v>
      </c>
      <c r="X18" s="3361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54">
        <f t="shared" si="10"/>
        <v>0</v>
      </c>
      <c r="AB18" s="2725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26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79">
        <f>SUM(AB18:AC18)</f>
        <v>0</v>
      </c>
      <c r="AE18" s="2514" t="s">
        <v>2560</v>
      </c>
      <c r="AG18" s="2367">
        <f t="shared" si="4"/>
        <v>0</v>
      </c>
      <c r="AH18" s="2367">
        <f t="shared" si="5"/>
        <v>2.2000000000000002</v>
      </c>
      <c r="AI18" s="123" t="str">
        <f t="shared" si="2"/>
        <v>무부하 랙</v>
      </c>
      <c r="AJ18" t="str">
        <f t="shared" si="6"/>
        <v/>
      </c>
      <c r="AK18" t="str">
        <f t="shared" si="7"/>
        <v/>
      </c>
      <c r="AP18" s="123"/>
      <c r="AQ18" s="123"/>
      <c r="AR18" s="123"/>
      <c r="AS18" s="3084"/>
      <c r="AT18" s="123"/>
      <c r="AU18" s="123"/>
      <c r="AV18" s="3092"/>
      <c r="AW18" s="3086"/>
      <c r="AX18" s="3087"/>
      <c r="AY18" s="3088"/>
      <c r="AZ18" s="3089"/>
      <c r="BA18" s="3090"/>
      <c r="BB18" s="1"/>
    </row>
    <row r="19" spans="1:54" ht="28.8">
      <c r="A19" s="2652" t="s">
        <v>2561</v>
      </c>
      <c r="B19" s="2653" t="s">
        <v>2562</v>
      </c>
      <c r="C19" s="2993"/>
      <c r="D19" s="3031"/>
      <c r="E19" s="837" t="s">
        <v>2563</v>
      </c>
      <c r="F19" s="250" t="s">
        <v>2564</v>
      </c>
      <c r="G19" s="2665" t="s">
        <v>2565</v>
      </c>
      <c r="H19" s="2666" t="s">
        <v>2566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0" t="s">
        <v>6541</v>
      </c>
      <c r="N19" s="1563">
        <v>17</v>
      </c>
      <c r="O19" s="1564">
        <v>220</v>
      </c>
      <c r="P19" s="1565">
        <v>20</v>
      </c>
      <c r="Q19" s="2410" t="s">
        <v>6548</v>
      </c>
      <c r="R19" s="1566">
        <v>15</v>
      </c>
      <c r="S19" s="3500"/>
      <c r="T19" s="3503"/>
      <c r="U19" s="3359"/>
      <c r="V19" s="3346"/>
      <c r="W19" s="3364"/>
      <c r="X19" s="3365"/>
      <c r="Y19" s="253">
        <f>SUM('5층_부하량(월간_AVG)'!D324:F324)</f>
        <v>0</v>
      </c>
      <c r="Z19" s="253">
        <f>SUM('5층_부하량(월간_AVG)'!D382:F382)</f>
        <v>0</v>
      </c>
      <c r="AA19" s="2452">
        <f t="shared" si="10"/>
        <v>0</v>
      </c>
      <c r="AB19" s="2727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28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77">
        <f>SUM(AB19:AC19)</f>
        <v>0</v>
      </c>
      <c r="AE19" s="2467"/>
      <c r="AG19" s="2367">
        <f t="shared" si="4"/>
        <v>0</v>
      </c>
      <c r="AH19" s="2367">
        <f t="shared" si="5"/>
        <v>0</v>
      </c>
      <c r="AI19" s="123" t="str">
        <f t="shared" si="2"/>
        <v>무부하 랙</v>
      </c>
      <c r="AJ19" t="str">
        <f t="shared" si="6"/>
        <v/>
      </c>
      <c r="AK19" t="str">
        <f t="shared" si="7"/>
        <v/>
      </c>
      <c r="AP19" s="123"/>
      <c r="AQ19" s="123"/>
      <c r="AR19" s="123"/>
      <c r="AS19" s="3084"/>
      <c r="AT19" s="123"/>
      <c r="AU19" s="123"/>
      <c r="AV19" s="3092"/>
      <c r="AW19" s="3086"/>
      <c r="AX19" s="3087"/>
      <c r="AY19" s="3088"/>
      <c r="AZ19" s="3089"/>
      <c r="BA19" s="3090"/>
      <c r="BB19" s="1"/>
    </row>
    <row r="20" spans="1:54">
      <c r="A20" s="3330" t="s">
        <v>2567</v>
      </c>
      <c r="B20" s="3348"/>
      <c r="C20" s="3452" t="s">
        <v>9174</v>
      </c>
      <c r="D20" s="3437">
        <v>3</v>
      </c>
      <c r="E20" s="837"/>
      <c r="F20" s="250"/>
      <c r="G20" s="2665"/>
      <c r="H20" s="2666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0" t="s">
        <v>6543</v>
      </c>
      <c r="N20" s="1563">
        <v>11</v>
      </c>
      <c r="O20" s="1564">
        <v>220</v>
      </c>
      <c r="P20" s="1565">
        <v>30</v>
      </c>
      <c r="Q20" s="2410" t="s">
        <v>6550</v>
      </c>
      <c r="R20" s="1566">
        <v>11</v>
      </c>
      <c r="S20" s="3512" t="s">
        <v>2568</v>
      </c>
      <c r="T20" s="3504" t="s">
        <v>2569</v>
      </c>
      <c r="U20" s="3342" t="s">
        <v>2570</v>
      </c>
      <c r="V20" s="3339" t="s">
        <v>2571</v>
      </c>
      <c r="W20" s="3364"/>
      <c r="X20" s="3365"/>
      <c r="Y20" s="253">
        <f>SUM('5층_부하량(월간_AVG)'!D361:F361)</f>
        <v>0</v>
      </c>
      <c r="Z20" s="253">
        <f>SUM('5층_부하량(월간_AVG)'!D420:F420)</f>
        <v>0</v>
      </c>
      <c r="AA20" s="3396">
        <f>SUM(Y20:Z21)</f>
        <v>3.3094342614457197</v>
      </c>
      <c r="AB20" s="2731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35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533">
        <f>SUM(AB20:AC22)</f>
        <v>383.6</v>
      </c>
      <c r="AE20" s="3536" t="s">
        <v>2572</v>
      </c>
      <c r="AG20" s="2367">
        <f t="shared" si="4"/>
        <v>0.5155913978494624</v>
      </c>
      <c r="AH20" s="2367">
        <f t="shared" si="5"/>
        <v>2.4844086021505376</v>
      </c>
      <c r="AI20" s="123" t="str">
        <f t="shared" si="2"/>
        <v>적정함</v>
      </c>
      <c r="AJ20" t="str">
        <f t="shared" si="6"/>
        <v/>
      </c>
      <c r="AK20" t="str">
        <f t="shared" si="7"/>
        <v/>
      </c>
      <c r="AP20" s="123"/>
      <c r="AQ20" s="123"/>
      <c r="AR20" s="123"/>
      <c r="AS20" s="3084"/>
      <c r="AT20" s="123"/>
      <c r="AU20" s="123"/>
      <c r="AV20" s="3092"/>
      <c r="AW20" s="3086"/>
      <c r="AX20" s="3087"/>
      <c r="AY20" s="3088"/>
      <c r="AZ20" s="3089"/>
      <c r="BA20" s="3090"/>
      <c r="BB20" s="1"/>
    </row>
    <row r="21" spans="1:54" ht="15" thickBot="1">
      <c r="A21" s="3331"/>
      <c r="B21" s="3349"/>
      <c r="C21" s="3530"/>
      <c r="D21" s="3438"/>
      <c r="E21" s="837"/>
      <c r="F21" s="250"/>
      <c r="G21" s="2665"/>
      <c r="H21" s="2666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0" t="s">
        <v>6543</v>
      </c>
      <c r="N21" s="1563">
        <v>14</v>
      </c>
      <c r="O21" s="1564">
        <v>220</v>
      </c>
      <c r="P21" s="1565">
        <v>30</v>
      </c>
      <c r="Q21" s="2410" t="s">
        <v>6550</v>
      </c>
      <c r="R21" s="1566">
        <v>14</v>
      </c>
      <c r="S21" s="3513"/>
      <c r="T21" s="3505"/>
      <c r="U21" s="3344"/>
      <c r="V21" s="3341"/>
      <c r="W21" s="3364"/>
      <c r="X21" s="3365"/>
      <c r="Y21" s="253">
        <f>SUM('5층_부하량(월간_AVG)'!N362:P362)</f>
        <v>1.5828345674932118</v>
      </c>
      <c r="Z21" s="253">
        <f>SUM('5층_부하량(월간_AVG)'!N421:P421)</f>
        <v>1.7265996939525079</v>
      </c>
      <c r="AA21" s="3397"/>
      <c r="AB21" s="2731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177.6</v>
      </c>
      <c r="AC21" s="2735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206</v>
      </c>
      <c r="AD21" s="3535"/>
      <c r="AE21" s="3537"/>
      <c r="AG21" s="2367">
        <f t="shared" si="4"/>
        <v>0</v>
      </c>
      <c r="AH21" s="2367">
        <f t="shared" si="5"/>
        <v>0</v>
      </c>
      <c r="AI21" s="123" t="str">
        <f t="shared" si="2"/>
        <v>무부하 랙</v>
      </c>
      <c r="AJ21" t="str">
        <f t="shared" si="6"/>
        <v/>
      </c>
      <c r="AK21" t="str">
        <f t="shared" si="7"/>
        <v/>
      </c>
      <c r="AP21" s="123"/>
      <c r="AQ21" s="123"/>
      <c r="AR21" s="123"/>
      <c r="AS21" s="3084"/>
      <c r="AT21" s="123"/>
      <c r="AU21" s="123"/>
      <c r="AV21" s="3092"/>
      <c r="AW21" s="3086"/>
      <c r="AX21" s="3087"/>
      <c r="AY21" s="3088"/>
      <c r="AZ21" s="3089"/>
      <c r="BA21" s="3090"/>
      <c r="BB21" s="1"/>
    </row>
    <row r="22" spans="1:54" ht="29.4" thickTop="1">
      <c r="A22" s="3332"/>
      <c r="B22" s="250" t="s">
        <v>2573</v>
      </c>
      <c r="C22" s="3450"/>
      <c r="D22" s="3439"/>
      <c r="E22" s="837" t="s">
        <v>2574</v>
      </c>
      <c r="F22" s="250" t="s">
        <v>2575</v>
      </c>
      <c r="G22" s="2665" t="s">
        <v>2576</v>
      </c>
      <c r="H22" s="2666" t="s">
        <v>2577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0" t="s">
        <v>6541</v>
      </c>
      <c r="N22" s="1563">
        <v>19</v>
      </c>
      <c r="O22" s="1564">
        <v>220</v>
      </c>
      <c r="P22" s="1565">
        <v>20</v>
      </c>
      <c r="Q22" s="2410" t="s">
        <v>6548</v>
      </c>
      <c r="R22" s="1566">
        <v>17</v>
      </c>
      <c r="S22" s="3498" t="s">
        <v>2480</v>
      </c>
      <c r="T22" s="3501" t="s">
        <v>2481</v>
      </c>
      <c r="U22" s="3345" t="s">
        <v>2482</v>
      </c>
      <c r="V22" s="3354" t="s">
        <v>2483</v>
      </c>
      <c r="W22" s="3364"/>
      <c r="X22" s="3365"/>
      <c r="Y22" s="268">
        <f>SUM('5층_부하량(월간_AVG)'!D325:F325)</f>
        <v>0</v>
      </c>
      <c r="Z22" s="253">
        <f>SUM('5층_부하량(월간_AVG)'!D383:F383)</f>
        <v>0</v>
      </c>
      <c r="AA22" s="2452">
        <f t="shared" ref="AA22:AA24" si="11">SUM(Y22:Z22)</f>
        <v>0</v>
      </c>
      <c r="AB22" s="2727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36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534"/>
      <c r="AE22" s="2467"/>
      <c r="AG22" s="2367">
        <f t="shared" si="4"/>
        <v>0</v>
      </c>
      <c r="AH22" s="2367">
        <f t="shared" si="5"/>
        <v>0</v>
      </c>
      <c r="AI22" s="123" t="str">
        <f t="shared" si="2"/>
        <v>무부하 랙</v>
      </c>
      <c r="AJ22" t="str">
        <f t="shared" si="6"/>
        <v/>
      </c>
      <c r="AK22" t="str">
        <f t="shared" si="7"/>
        <v/>
      </c>
      <c r="AP22" s="123"/>
      <c r="AQ22" s="123"/>
      <c r="AR22" s="123"/>
      <c r="AS22" s="3084"/>
      <c r="AT22" s="123"/>
      <c r="AU22" s="123"/>
      <c r="AV22" s="3092"/>
      <c r="AW22" s="3086"/>
      <c r="AX22" s="3087"/>
      <c r="AY22" s="3088"/>
      <c r="AZ22" s="3089"/>
      <c r="BA22" s="3090"/>
      <c r="BB22" s="1"/>
    </row>
    <row r="23" spans="1:54" ht="34.799999999999997">
      <c r="A23" s="2652" t="s">
        <v>2578</v>
      </c>
      <c r="B23" s="250" t="s">
        <v>2579</v>
      </c>
      <c r="C23" s="2993" t="s">
        <v>9221</v>
      </c>
      <c r="D23" s="3032">
        <v>2.2000000000000002</v>
      </c>
      <c r="E23" s="837" t="s">
        <v>2580</v>
      </c>
      <c r="F23" s="250" t="s">
        <v>2581</v>
      </c>
      <c r="G23" s="2665" t="s">
        <v>2582</v>
      </c>
      <c r="H23" s="2666" t="s">
        <v>2583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0" t="s">
        <v>6541</v>
      </c>
      <c r="N23" s="1563">
        <v>21</v>
      </c>
      <c r="O23" s="1564">
        <v>220</v>
      </c>
      <c r="P23" s="1565">
        <v>20</v>
      </c>
      <c r="Q23" s="2410" t="s">
        <v>6548</v>
      </c>
      <c r="R23" s="1566">
        <v>19</v>
      </c>
      <c r="S23" s="3499"/>
      <c r="T23" s="3502"/>
      <c r="U23" s="3343"/>
      <c r="V23" s="3340"/>
      <c r="W23" s="3364"/>
      <c r="X23" s="3365"/>
      <c r="Y23" s="268">
        <f>SUM('5층_부하량(월간_AVG)'!D326:F326)</f>
        <v>2.5448782152450251</v>
      </c>
      <c r="Z23" s="253">
        <f>SUM('5층_부하량(월간_AVG)'!D384:F384)</f>
        <v>2.9542053429985802</v>
      </c>
      <c r="AA23" s="2452">
        <f t="shared" si="11"/>
        <v>5.4990835582436048</v>
      </c>
      <c r="AB23" s="2727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358.1</v>
      </c>
      <c r="AC23" s="2736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387.5</v>
      </c>
      <c r="AD23" s="2477">
        <f>SUM(AB23:AC23)</f>
        <v>745.6</v>
      </c>
      <c r="AE23" s="2467"/>
      <c r="AG23" s="2367">
        <f t="shared" si="4"/>
        <v>1.0021505376344086</v>
      </c>
      <c r="AH23" s="2367">
        <f t="shared" si="5"/>
        <v>1.1978494623655915</v>
      </c>
      <c r="AI23" s="123" t="str">
        <f t="shared" si="2"/>
        <v>적정함</v>
      </c>
      <c r="AJ23" t="str">
        <f t="shared" si="6"/>
        <v/>
      </c>
      <c r="AK23" t="str">
        <f t="shared" si="7"/>
        <v/>
      </c>
      <c r="AP23" s="123"/>
      <c r="AQ23" s="123"/>
      <c r="AR23" s="123"/>
      <c r="AS23" s="3084"/>
      <c r="AT23" s="123"/>
      <c r="AU23" s="123"/>
      <c r="AV23" s="3092"/>
      <c r="AW23" s="3086"/>
      <c r="AX23" s="3087"/>
      <c r="AY23" s="3088"/>
      <c r="AZ23" s="3089"/>
      <c r="BA23" s="3090"/>
      <c r="BB23" s="1"/>
    </row>
    <row r="24" spans="1:54" ht="28.8">
      <c r="A24" s="2652" t="s">
        <v>2584</v>
      </c>
      <c r="B24" s="2653" t="s">
        <v>2585</v>
      </c>
      <c r="C24" s="2993" t="s">
        <v>9222</v>
      </c>
      <c r="D24" s="3032">
        <v>2.2000000000000002</v>
      </c>
      <c r="E24" s="837" t="s">
        <v>2586</v>
      </c>
      <c r="F24" s="250" t="s">
        <v>2587</v>
      </c>
      <c r="G24" s="2665" t="s">
        <v>2588</v>
      </c>
      <c r="H24" s="2666" t="s">
        <v>2589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0" t="s">
        <v>6541</v>
      </c>
      <c r="N24" s="1563">
        <v>23</v>
      </c>
      <c r="O24" s="1564">
        <v>220</v>
      </c>
      <c r="P24" s="1565">
        <v>20</v>
      </c>
      <c r="Q24" s="2410" t="s">
        <v>6548</v>
      </c>
      <c r="R24" s="1566">
        <v>21</v>
      </c>
      <c r="S24" s="3499"/>
      <c r="T24" s="3502"/>
      <c r="U24" s="3343"/>
      <c r="V24" s="3340"/>
      <c r="W24" s="3364"/>
      <c r="X24" s="3365"/>
      <c r="Y24" s="268">
        <f>SUM('5층_부하량(월간_AVG)'!D327:F327)</f>
        <v>4.912290579446446</v>
      </c>
      <c r="Z24" s="253">
        <f>SUM('5층_부하량(월간_AVG)'!D385:F385)</f>
        <v>4.5585017443228937</v>
      </c>
      <c r="AA24" s="2452">
        <f t="shared" si="11"/>
        <v>9.4707923237693397</v>
      </c>
      <c r="AB24" s="2727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765.2</v>
      </c>
      <c r="AC24" s="2736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690.6</v>
      </c>
      <c r="AD24" s="2477">
        <f>SUM(AB24:AC24)</f>
        <v>1455.8000000000002</v>
      </c>
      <c r="AE24" s="2471" t="s">
        <v>2590</v>
      </c>
      <c r="AG24" s="2367">
        <f t="shared" si="4"/>
        <v>1.9567204301075272</v>
      </c>
      <c r="AH24" s="2367">
        <f t="shared" si="5"/>
        <v>0.24327956989247301</v>
      </c>
      <c r="AI24" s="123" t="str">
        <f t="shared" si="2"/>
        <v>적정함</v>
      </c>
      <c r="AJ24" t="str">
        <f t="shared" si="6"/>
        <v/>
      </c>
      <c r="AK24" t="str">
        <f t="shared" si="7"/>
        <v/>
      </c>
      <c r="AP24" s="123"/>
      <c r="AQ24" s="123"/>
      <c r="AR24" s="123"/>
      <c r="AS24" s="3084"/>
      <c r="AT24" s="123"/>
      <c r="AU24" s="123"/>
      <c r="AV24" s="3092"/>
      <c r="AW24" s="3086"/>
      <c r="AX24" s="3087"/>
      <c r="AY24" s="3088"/>
      <c r="AZ24" s="3089"/>
      <c r="BA24" s="3090"/>
      <c r="BB24" s="1"/>
    </row>
    <row r="25" spans="1:54" ht="28.8">
      <c r="A25" s="3325" t="s">
        <v>2591</v>
      </c>
      <c r="B25" s="3360" t="s">
        <v>2592</v>
      </c>
      <c r="C25" s="3490" t="s">
        <v>9223</v>
      </c>
      <c r="D25" s="3440">
        <v>1.1000000000000001</v>
      </c>
      <c r="E25" s="837" t="s">
        <v>2594</v>
      </c>
      <c r="F25" s="250" t="s">
        <v>2595</v>
      </c>
      <c r="G25" s="2665" t="s">
        <v>2596</v>
      </c>
      <c r="H25" s="2666" t="s">
        <v>2597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0" t="s">
        <v>6541</v>
      </c>
      <c r="N25" s="1563">
        <v>25</v>
      </c>
      <c r="O25" s="1564">
        <v>220</v>
      </c>
      <c r="P25" s="1565">
        <v>20</v>
      </c>
      <c r="Q25" s="2410" t="s">
        <v>6548</v>
      </c>
      <c r="R25" s="1566">
        <v>23</v>
      </c>
      <c r="S25" s="3500"/>
      <c r="T25" s="3503"/>
      <c r="U25" s="3359"/>
      <c r="V25" s="3346"/>
      <c r="W25" s="3364"/>
      <c r="X25" s="3365"/>
      <c r="Y25" s="268">
        <f>'5층_부하량(월간_AVG)'!F328</f>
        <v>0</v>
      </c>
      <c r="Z25" s="253">
        <f>SUM('5층_부하량(월간_AVG)'!D386:F386)</f>
        <v>0</v>
      </c>
      <c r="AA25" s="3396">
        <f>SUM(Y25:Z26)</f>
        <v>1.0052413351756537</v>
      </c>
      <c r="AB25" s="2731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35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533">
        <f>SUM(AB25:AC26)</f>
        <v>99.7</v>
      </c>
      <c r="AE25" s="2467"/>
      <c r="AG25" s="2367">
        <f t="shared" si="4"/>
        <v>0.13400537634408602</v>
      </c>
      <c r="AH25" s="2367">
        <f t="shared" si="5"/>
        <v>0.96599462365591404</v>
      </c>
      <c r="AI25" s="123" t="str">
        <f t="shared" si="2"/>
        <v>적정함</v>
      </c>
      <c r="AJ25" t="str">
        <f t="shared" si="6"/>
        <v/>
      </c>
      <c r="AK25" t="str">
        <f t="shared" si="7"/>
        <v/>
      </c>
      <c r="AP25" s="123"/>
      <c r="AQ25" s="123"/>
      <c r="AR25" s="123"/>
      <c r="AS25" s="3084"/>
      <c r="AT25" s="123"/>
      <c r="AU25" s="123"/>
      <c r="AV25" s="3092"/>
      <c r="AW25" s="3086"/>
      <c r="AX25" s="3087"/>
      <c r="AY25" s="3088"/>
      <c r="AZ25" s="3089"/>
      <c r="BA25" s="3090"/>
      <c r="BB25" s="1"/>
    </row>
    <row r="26" spans="1:54" ht="54" customHeight="1">
      <c r="A26" s="3325"/>
      <c r="B26" s="3360"/>
      <c r="C26" s="3490"/>
      <c r="D26" s="3441"/>
      <c r="E26" s="837" t="s">
        <v>2598</v>
      </c>
      <c r="F26" s="250" t="s">
        <v>2599</v>
      </c>
      <c r="G26" s="2665" t="s">
        <v>2600</v>
      </c>
      <c r="H26" s="2666" t="s">
        <v>2601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0" t="s">
        <v>6543</v>
      </c>
      <c r="N26" s="1563">
        <v>28</v>
      </c>
      <c r="O26" s="1564">
        <v>220</v>
      </c>
      <c r="P26" s="1565">
        <v>20</v>
      </c>
      <c r="Q26" s="2410" t="s">
        <v>6550</v>
      </c>
      <c r="R26" s="1566">
        <v>28</v>
      </c>
      <c r="S26" s="2665" t="s">
        <v>2568</v>
      </c>
      <c r="T26" s="2666" t="s">
        <v>2569</v>
      </c>
      <c r="U26" s="2641" t="s">
        <v>2570</v>
      </c>
      <c r="V26" s="2636" t="s">
        <v>2571</v>
      </c>
      <c r="W26" s="3364"/>
      <c r="X26" s="3365"/>
      <c r="Y26" s="268">
        <f>SUM('5층_부하량(월간_AVG)'!N369:Q369)</f>
        <v>0.71008850481115438</v>
      </c>
      <c r="Z26" s="253">
        <f>SUM('5층_부하량(월간_AVG)'!N428:Q428)</f>
        <v>0.29515283036449924</v>
      </c>
      <c r="AA26" s="3397"/>
      <c r="AB26" s="2731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35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534"/>
      <c r="AE26" s="2467"/>
      <c r="AG26" s="2367">
        <f t="shared" si="4"/>
        <v>0</v>
      </c>
      <c r="AH26" s="2367">
        <f t="shared" si="5"/>
        <v>0</v>
      </c>
      <c r="AI26" s="123" t="str">
        <f t="shared" si="2"/>
        <v>무부하 랙</v>
      </c>
      <c r="AJ26" t="str">
        <f t="shared" si="6"/>
        <v/>
      </c>
      <c r="AK26" t="str">
        <f t="shared" si="7"/>
        <v/>
      </c>
      <c r="AP26" s="123"/>
      <c r="AQ26" s="123"/>
      <c r="AR26" s="123"/>
      <c r="AS26" s="3084"/>
      <c r="AT26" s="123"/>
      <c r="AU26" s="123"/>
      <c r="AV26" s="3092"/>
      <c r="AW26" s="3086"/>
      <c r="AX26" s="3087"/>
      <c r="AY26" s="3088"/>
      <c r="AZ26" s="3089"/>
      <c r="BA26" s="3090"/>
      <c r="BB26" s="1"/>
    </row>
    <row r="27" spans="1:54" ht="27" customHeight="1">
      <c r="A27" s="2652" t="s">
        <v>2057</v>
      </c>
      <c r="B27" s="2653" t="s">
        <v>2602</v>
      </c>
      <c r="C27" s="2993" t="s">
        <v>9224</v>
      </c>
      <c r="D27" s="3032">
        <v>1.1000000000000001</v>
      </c>
      <c r="E27" s="837" t="s">
        <v>2603</v>
      </c>
      <c r="F27" s="250" t="s">
        <v>2604</v>
      </c>
      <c r="G27" s="2665" t="s">
        <v>2605</v>
      </c>
      <c r="H27" s="2666" t="s">
        <v>2606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0" t="s">
        <v>6541</v>
      </c>
      <c r="N27" s="1563">
        <v>27</v>
      </c>
      <c r="O27" s="1564">
        <v>220</v>
      </c>
      <c r="P27" s="1565">
        <v>20</v>
      </c>
      <c r="Q27" s="2410" t="s">
        <v>6548</v>
      </c>
      <c r="R27" s="1566">
        <v>25</v>
      </c>
      <c r="S27" s="3473" t="s">
        <v>2480</v>
      </c>
      <c r="T27" s="3476" t="s">
        <v>2607</v>
      </c>
      <c r="U27" s="3356" t="s">
        <v>2482</v>
      </c>
      <c r="V27" s="3336" t="s">
        <v>2483</v>
      </c>
      <c r="W27" s="3364"/>
      <c r="X27" s="3365"/>
      <c r="Y27" s="268">
        <f>SUM('5층_부하량(월간_AVG)'!D329:F329)</f>
        <v>2.5469849970843388</v>
      </c>
      <c r="Z27" s="253">
        <f>SUM('5층_부하량(월간_AVG)'!D387:F387)</f>
        <v>3.2912850978626631</v>
      </c>
      <c r="AA27" s="2452">
        <f t="shared" ref="AA27" si="12">SUM(Y27:Z27)</f>
        <v>5.8382700949470019</v>
      </c>
      <c r="AB27" s="2727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397.8</v>
      </c>
      <c r="AC27" s="2736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510.3</v>
      </c>
      <c r="AD27" s="2477">
        <f>SUM(AB27:AC27)</f>
        <v>908.1</v>
      </c>
      <c r="AE27" s="2467"/>
      <c r="AG27" s="2367">
        <f t="shared" si="4"/>
        <v>1.2205645161290324</v>
      </c>
      <c r="AH27" s="2367">
        <f t="shared" si="5"/>
        <v>-0.1205645161290323</v>
      </c>
      <c r="AI27" s="123" t="str">
        <f t="shared" si="2"/>
        <v>사용초과</v>
      </c>
      <c r="AJ27" t="str">
        <f t="shared" si="6"/>
        <v>Zeus Networks Co., Ltd.</v>
      </c>
      <c r="AK27" t="str">
        <f t="shared" si="7"/>
        <v>A607</v>
      </c>
      <c r="AP27" s="123"/>
      <c r="AQ27" s="123"/>
      <c r="AR27" s="123"/>
      <c r="AS27" s="3084"/>
      <c r="AT27" s="123"/>
      <c r="AU27" s="123"/>
      <c r="AV27" s="3092"/>
      <c r="AW27" s="3086"/>
      <c r="AX27" s="3087"/>
      <c r="AY27" s="3088"/>
      <c r="AZ27" s="3089"/>
      <c r="BA27" s="3090"/>
      <c r="BB27" s="1"/>
    </row>
    <row r="28" spans="1:54" ht="28.8">
      <c r="A28" s="3325" t="s">
        <v>2608</v>
      </c>
      <c r="B28" s="3360" t="s">
        <v>2609</v>
      </c>
      <c r="C28" s="3490" t="s">
        <v>9174</v>
      </c>
      <c r="D28" s="3442">
        <v>2.2000000000000002</v>
      </c>
      <c r="E28" s="837" t="s">
        <v>2611</v>
      </c>
      <c r="F28" s="250" t="s">
        <v>2612</v>
      </c>
      <c r="G28" s="2665" t="s">
        <v>2613</v>
      </c>
      <c r="H28" s="2666" t="s">
        <v>2614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0" t="s">
        <v>6541</v>
      </c>
      <c r="N28" s="1563">
        <v>29</v>
      </c>
      <c r="O28" s="1569">
        <v>220</v>
      </c>
      <c r="P28" s="1570">
        <v>20</v>
      </c>
      <c r="Q28" s="2410" t="s">
        <v>6548</v>
      </c>
      <c r="R28" s="1566">
        <v>27</v>
      </c>
      <c r="S28" s="3473"/>
      <c r="T28" s="3476"/>
      <c r="U28" s="3356"/>
      <c r="V28" s="3336"/>
      <c r="W28" s="3364"/>
      <c r="X28" s="3365"/>
      <c r="Y28" s="268">
        <f>SUM('5층_부하량(월간_AVG)'!D330:F330)</f>
        <v>0</v>
      </c>
      <c r="Z28" s="268">
        <f>SUM('5층_부하량(월간_AVG)'!D388:F388)</f>
        <v>0</v>
      </c>
      <c r="AA28" s="3506">
        <f>SUM(Y28:Z30)</f>
        <v>11.363747973996194</v>
      </c>
      <c r="AB28" s="2737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38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533">
        <f>SUM(AB28:AC30)</f>
        <v>1630.3000000000002</v>
      </c>
      <c r="AE28" s="2467" t="s">
        <v>2615</v>
      </c>
      <c r="AG28" s="2367">
        <f t="shared" si="4"/>
        <v>2.1912634408602152</v>
      </c>
      <c r="AH28" s="2367">
        <f t="shared" si="5"/>
        <v>8.736559139784994E-3</v>
      </c>
      <c r="AI28" s="123" t="str">
        <f t="shared" si="2"/>
        <v>적정함</v>
      </c>
      <c r="AJ28" t="str">
        <f t="shared" si="6"/>
        <v/>
      </c>
      <c r="AK28" t="str">
        <f t="shared" si="7"/>
        <v/>
      </c>
      <c r="AP28" s="123"/>
      <c r="AQ28" s="123"/>
      <c r="AR28" s="123"/>
      <c r="AS28" s="3084"/>
      <c r="AT28" s="123"/>
      <c r="AU28" s="123"/>
      <c r="AV28" s="3092"/>
      <c r="AW28" s="3086"/>
      <c r="AX28" s="3087"/>
      <c r="AY28" s="3088"/>
      <c r="AZ28" s="3089"/>
      <c r="BA28" s="3090"/>
      <c r="BB28" s="1"/>
    </row>
    <row r="29" spans="1:54" ht="28.8">
      <c r="A29" s="3325"/>
      <c r="B29" s="3360"/>
      <c r="C29" s="3490"/>
      <c r="D29" s="3443"/>
      <c r="E29" s="3000" t="s">
        <v>2616</v>
      </c>
      <c r="F29" s="995" t="s">
        <v>2617</v>
      </c>
      <c r="G29" s="2665" t="s">
        <v>2618</v>
      </c>
      <c r="H29" s="2666" t="s">
        <v>2619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0" t="s">
        <v>6543</v>
      </c>
      <c r="N29" s="1563">
        <v>7</v>
      </c>
      <c r="O29" s="1569">
        <v>220</v>
      </c>
      <c r="P29" s="1570">
        <v>30</v>
      </c>
      <c r="Q29" s="2410" t="s">
        <v>6550</v>
      </c>
      <c r="R29" s="1566">
        <v>7</v>
      </c>
      <c r="S29" s="3473" t="s">
        <v>2620</v>
      </c>
      <c r="T29" s="3476" t="s">
        <v>2569</v>
      </c>
      <c r="U29" s="3356" t="s">
        <v>2570</v>
      </c>
      <c r="V29" s="3336" t="s">
        <v>2571</v>
      </c>
      <c r="W29" s="3364"/>
      <c r="X29" s="3365"/>
      <c r="Y29" s="268">
        <f>SUM('5층_부하량(월간_AVG)'!D359:F359)</f>
        <v>3.799750187056683</v>
      </c>
      <c r="Z29" s="268">
        <f>SUM('5층_부하량(월간_AVG)'!D418:F418)</f>
        <v>4.0039489374518178</v>
      </c>
      <c r="AA29" s="3507"/>
      <c r="AB29" s="2737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579.9</v>
      </c>
      <c r="AC29" s="2738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618.6</v>
      </c>
      <c r="AD29" s="3535"/>
      <c r="AE29" s="3538" t="s">
        <v>2621</v>
      </c>
      <c r="AG29" s="2367">
        <f t="shared" si="4"/>
        <v>0</v>
      </c>
      <c r="AH29" s="2367">
        <f t="shared" si="5"/>
        <v>0</v>
      </c>
      <c r="AI29" s="123" t="str">
        <f t="shared" si="2"/>
        <v>무부하 랙</v>
      </c>
      <c r="AJ29" t="str">
        <f t="shared" si="6"/>
        <v/>
      </c>
      <c r="AK29" t="str">
        <f t="shared" si="7"/>
        <v/>
      </c>
      <c r="AP29" s="123"/>
      <c r="AQ29" s="123"/>
      <c r="AR29" s="123"/>
      <c r="AS29" s="3084"/>
      <c r="AT29" s="123"/>
      <c r="AU29" s="123"/>
      <c r="AV29" s="3092"/>
      <c r="AW29" s="3086"/>
      <c r="AX29" s="3087"/>
      <c r="AY29" s="3088"/>
      <c r="AZ29" s="3089"/>
      <c r="BA29" s="3090"/>
      <c r="BB29" s="1"/>
    </row>
    <row r="30" spans="1:54" ht="28.8">
      <c r="A30" s="3325"/>
      <c r="B30" s="3360"/>
      <c r="C30" s="3490"/>
      <c r="D30" s="3444"/>
      <c r="E30" s="3000" t="s">
        <v>2622</v>
      </c>
      <c r="F30" s="995" t="s">
        <v>2623</v>
      </c>
      <c r="G30" s="2665" t="s">
        <v>2624</v>
      </c>
      <c r="H30" s="2666" t="s">
        <v>2625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0" t="s">
        <v>6543</v>
      </c>
      <c r="N30" s="1563">
        <v>9</v>
      </c>
      <c r="O30" s="1569">
        <v>220</v>
      </c>
      <c r="P30" s="1570">
        <v>30</v>
      </c>
      <c r="Q30" s="2410" t="s">
        <v>6550</v>
      </c>
      <c r="R30" s="1566">
        <v>9</v>
      </c>
      <c r="S30" s="3473"/>
      <c r="T30" s="3476"/>
      <c r="U30" s="3356"/>
      <c r="V30" s="3365"/>
      <c r="W30" s="3364"/>
      <c r="X30" s="3365"/>
      <c r="Y30" s="268">
        <f>SUM('5층_부하량(월간_AVG)'!D360:F360)</f>
        <v>1.7570580368373598</v>
      </c>
      <c r="Z30" s="268">
        <f>SUM('5층_부하량(월간_AVG)'!D419:F419)</f>
        <v>1.8029908126503327</v>
      </c>
      <c r="AA30" s="3508"/>
      <c r="AB30" s="2737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38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220.9</v>
      </c>
      <c r="AD30" s="3534"/>
      <c r="AE30" s="3539"/>
      <c r="AG30" s="2367">
        <f t="shared" si="4"/>
        <v>0</v>
      </c>
      <c r="AH30" s="2367">
        <f t="shared" si="5"/>
        <v>0</v>
      </c>
      <c r="AI30" s="123" t="str">
        <f t="shared" si="2"/>
        <v>무부하 랙</v>
      </c>
      <c r="AJ30" t="str">
        <f t="shared" si="6"/>
        <v/>
      </c>
      <c r="AK30" t="str">
        <f t="shared" si="7"/>
        <v/>
      </c>
      <c r="AP30" s="123"/>
      <c r="AQ30" s="123"/>
      <c r="AR30" s="123"/>
      <c r="AS30" s="3084"/>
      <c r="AT30" s="123"/>
      <c r="AU30" s="123"/>
      <c r="AV30" s="3092"/>
      <c r="AW30" s="3086"/>
      <c r="AX30" s="3087"/>
      <c r="AY30" s="3088"/>
      <c r="AZ30" s="3089"/>
      <c r="BA30" s="3090"/>
      <c r="BB30" s="1"/>
    </row>
    <row r="31" spans="1:54" ht="57.6">
      <c r="A31" s="2652" t="s">
        <v>2077</v>
      </c>
      <c r="B31" s="2653" t="s">
        <v>2626</v>
      </c>
      <c r="C31" s="2993" t="s">
        <v>9225</v>
      </c>
      <c r="D31" s="3035">
        <v>2.2000000000000002</v>
      </c>
      <c r="E31" s="837" t="s">
        <v>2627</v>
      </c>
      <c r="F31" s="250" t="s">
        <v>2628</v>
      </c>
      <c r="G31" s="2665" t="s">
        <v>2629</v>
      </c>
      <c r="H31" s="2666" t="s">
        <v>2630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0" t="s">
        <v>6542</v>
      </c>
      <c r="N31" s="1563">
        <v>3</v>
      </c>
      <c r="O31" s="1564">
        <v>220</v>
      </c>
      <c r="P31" s="1565">
        <v>20</v>
      </c>
      <c r="Q31" s="2410" t="s">
        <v>6548</v>
      </c>
      <c r="R31" s="1566">
        <v>32</v>
      </c>
      <c r="S31" s="3473" t="s">
        <v>2631</v>
      </c>
      <c r="T31" s="2666" t="s">
        <v>2607</v>
      </c>
      <c r="U31" s="3356" t="s">
        <v>2632</v>
      </c>
      <c r="V31" s="2636" t="s">
        <v>2483</v>
      </c>
      <c r="W31" s="3364"/>
      <c r="X31" s="3365"/>
      <c r="Y31" s="268">
        <f>SUM('5층_부하량(월간_AVG)'!D337:F337)</f>
        <v>5.6432243870195604</v>
      </c>
      <c r="Z31" s="253">
        <f>SUM('5층_부하량(월간_AVG)'!N390:P390)</f>
        <v>3.1308722447326276</v>
      </c>
      <c r="AA31" s="2452">
        <f t="shared" ref="AA31:AA32" si="13">SUM(Y31:Z31)</f>
        <v>8.7740966317521885</v>
      </c>
      <c r="AB31" s="2727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892.3</v>
      </c>
      <c r="AC31" s="2736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471.2</v>
      </c>
      <c r="AD31" s="2477">
        <f>SUM(AB31:AC31)</f>
        <v>1363.5</v>
      </c>
      <c r="AE31" s="2467"/>
      <c r="AG31" s="2367">
        <f t="shared" si="4"/>
        <v>1.8326612903225807</v>
      </c>
      <c r="AH31" s="2367">
        <f t="shared" si="5"/>
        <v>0.36733870967741944</v>
      </c>
      <c r="AI31" s="123" t="str">
        <f t="shared" si="2"/>
        <v>적정함</v>
      </c>
      <c r="AJ31" t="str">
        <f t="shared" si="6"/>
        <v/>
      </c>
      <c r="AK31" t="str">
        <f t="shared" si="7"/>
        <v/>
      </c>
      <c r="AP31" s="123"/>
      <c r="AQ31" s="123"/>
      <c r="AR31" s="123"/>
      <c r="AS31" s="3084"/>
      <c r="AT31" s="123"/>
      <c r="AU31" s="123"/>
      <c r="AV31" s="3092"/>
      <c r="AW31" s="3086"/>
      <c r="AX31" s="3087"/>
      <c r="AY31" s="3088"/>
      <c r="AZ31" s="3089"/>
      <c r="BA31" s="3090"/>
      <c r="BB31" s="1"/>
    </row>
    <row r="32" spans="1:54" ht="58.2" thickBot="1">
      <c r="A32" s="2660" t="s">
        <v>2633</v>
      </c>
      <c r="B32" s="2672" t="s">
        <v>2634</v>
      </c>
      <c r="C32" s="3010" t="s">
        <v>9219</v>
      </c>
      <c r="D32" s="3036">
        <v>2.2000000000000002</v>
      </c>
      <c r="E32" s="838" t="s">
        <v>2635</v>
      </c>
      <c r="F32" s="2661" t="s">
        <v>2636</v>
      </c>
      <c r="G32" s="2675" t="s">
        <v>2637</v>
      </c>
      <c r="H32" s="2676" t="s">
        <v>2638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81" t="s">
        <v>6542</v>
      </c>
      <c r="N32" s="1573">
        <v>5</v>
      </c>
      <c r="O32" s="1574">
        <v>220</v>
      </c>
      <c r="P32" s="1575">
        <v>30</v>
      </c>
      <c r="Q32" s="2411" t="s">
        <v>6549</v>
      </c>
      <c r="R32" s="1576">
        <v>3</v>
      </c>
      <c r="S32" s="3474"/>
      <c r="T32" s="2676" t="s">
        <v>2639</v>
      </c>
      <c r="U32" s="3357"/>
      <c r="V32" s="2637" t="s">
        <v>2640</v>
      </c>
      <c r="W32" s="3372"/>
      <c r="X32" s="3371"/>
      <c r="Y32" s="330">
        <f>SUM('5층_부하량(월간_AVG)'!D338:F338)</f>
        <v>3.9345256075344621</v>
      </c>
      <c r="Z32" s="329">
        <f>SUM('5층_부하량(월간_AVG)'!D396:F396)</f>
        <v>3.2600420226718803</v>
      </c>
      <c r="AA32" s="2453">
        <f t="shared" si="13"/>
        <v>7.1945676302063424</v>
      </c>
      <c r="AB32" s="2733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586.1</v>
      </c>
      <c r="AC32" s="2734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473.4</v>
      </c>
      <c r="AD32" s="2478">
        <f>SUM(AB32:AC32)</f>
        <v>1059.5</v>
      </c>
      <c r="AE32" s="2468"/>
      <c r="AG32" s="2367">
        <f t="shared" si="4"/>
        <v>1.4240591397849462</v>
      </c>
      <c r="AH32" s="2367">
        <f t="shared" si="5"/>
        <v>0.77594086021505393</v>
      </c>
      <c r="AI32" s="123" t="str">
        <f t="shared" si="2"/>
        <v>적정함</v>
      </c>
      <c r="AJ32" t="str">
        <f t="shared" si="6"/>
        <v/>
      </c>
      <c r="AK32" t="str">
        <f t="shared" si="7"/>
        <v/>
      </c>
      <c r="AP32" s="123"/>
      <c r="AQ32" s="123"/>
      <c r="AR32" s="123"/>
      <c r="AS32" s="3084"/>
      <c r="AT32" s="123"/>
      <c r="AU32" s="123"/>
      <c r="AV32" s="3092"/>
      <c r="AW32" s="3086"/>
      <c r="AX32" s="3087"/>
      <c r="AY32" s="3088"/>
      <c r="AZ32" s="3089"/>
      <c r="BA32" s="3090"/>
      <c r="BB32" s="1"/>
    </row>
    <row r="33" spans="1:54" ht="18" thickTop="1">
      <c r="A33" s="1084" t="s">
        <v>2641</v>
      </c>
      <c r="B33" s="828"/>
      <c r="C33" s="2995"/>
      <c r="D33" s="3037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87"/>
      <c r="AB33" s="2739"/>
      <c r="AC33" s="2740"/>
      <c r="AD33" s="2481"/>
      <c r="AE33" s="2470" t="s">
        <v>1265</v>
      </c>
      <c r="AG33" s="2367">
        <f t="shared" si="4"/>
        <v>0</v>
      </c>
      <c r="AH33" s="2367">
        <f t="shared" si="5"/>
        <v>0</v>
      </c>
      <c r="AI33" s="123" t="str">
        <f t="shared" si="2"/>
        <v>무부하 랙</v>
      </c>
      <c r="AJ33" t="str">
        <f t="shared" si="6"/>
        <v/>
      </c>
      <c r="AK33" t="str">
        <f t="shared" si="7"/>
        <v/>
      </c>
      <c r="AP33" s="123"/>
      <c r="AQ33" s="123"/>
      <c r="AR33" s="123"/>
      <c r="AS33" s="3084"/>
      <c r="AT33" s="123"/>
      <c r="AU33" s="123"/>
      <c r="AV33" s="3092"/>
      <c r="AW33" s="3086"/>
      <c r="AX33" s="3087"/>
      <c r="AY33" s="3088"/>
      <c r="AZ33" s="3089"/>
      <c r="BA33" s="3090"/>
      <c r="BB33" s="1"/>
    </row>
    <row r="34" spans="1:54" ht="34.799999999999997">
      <c r="A34" s="2652" t="s">
        <v>2642</v>
      </c>
      <c r="B34" s="2653" t="s">
        <v>2643</v>
      </c>
      <c r="C34" s="2993" t="s">
        <v>9174</v>
      </c>
      <c r="D34" s="3035">
        <v>2.2000000000000002</v>
      </c>
      <c r="E34" s="837" t="s">
        <v>2644</v>
      </c>
      <c r="F34" s="250" t="s">
        <v>2645</v>
      </c>
      <c r="G34" s="2665" t="s">
        <v>2646</v>
      </c>
      <c r="H34" s="2666" t="s">
        <v>2647</v>
      </c>
      <c r="I34" s="1461" t="str">
        <f t="shared" ref="I34:I97" si="14">"5-DaHall1-PDU-"&amp;M34&amp;"-"&amp;L34&amp;"-"&amp;N34</f>
        <v>5-DaHall1-PDU-11-30-6</v>
      </c>
      <c r="J34" s="1462" t="str">
        <f t="shared" ref="J34:J50" si="15">"5-DaHall1-PDU-"&amp;Q34&amp;"-"&amp;P34&amp;"-"&amp;R34</f>
        <v>5-DaHall1-PDU-12-30-4</v>
      </c>
      <c r="K34" s="1561">
        <v>220</v>
      </c>
      <c r="L34" s="1562">
        <v>30</v>
      </c>
      <c r="M34" s="2380" t="s">
        <v>6541</v>
      </c>
      <c r="N34" s="1563">
        <v>6</v>
      </c>
      <c r="O34" s="1564">
        <v>220</v>
      </c>
      <c r="P34" s="1565">
        <v>30</v>
      </c>
      <c r="Q34" s="2410" t="s">
        <v>6548</v>
      </c>
      <c r="R34" s="1566">
        <v>4</v>
      </c>
      <c r="S34" s="3473" t="s">
        <v>2480</v>
      </c>
      <c r="T34" s="3476" t="s">
        <v>2481</v>
      </c>
      <c r="U34" s="3356" t="s">
        <v>2482</v>
      </c>
      <c r="V34" s="3336" t="s">
        <v>2483</v>
      </c>
      <c r="W34" s="3356" t="s">
        <v>2484</v>
      </c>
      <c r="X34" s="3336" t="s">
        <v>2485</v>
      </c>
      <c r="Y34" s="253">
        <f>SUM('5층_부하량(월간_AVG)'!N318:P318)</f>
        <v>1.990112214214371</v>
      </c>
      <c r="Z34" s="253">
        <f>SUM('5층_부하량(월간_AVG)'!N376:P376)</f>
        <v>1.9052151930913293</v>
      </c>
      <c r="AA34" s="2452">
        <f t="shared" ref="AA34:AA41" si="16">SUM(Y34:Z34)</f>
        <v>3.8953274073057003</v>
      </c>
      <c r="AB34" s="2727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277.10000000000002</v>
      </c>
      <c r="AC34" s="2728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250</v>
      </c>
      <c r="AD34" s="2477">
        <f>SUM(AB34:AC34)</f>
        <v>527.1</v>
      </c>
      <c r="AE34" s="2515" t="s">
        <v>2648</v>
      </c>
      <c r="AG34" s="2367">
        <f t="shared" si="4"/>
        <v>0.7084677419354839</v>
      </c>
      <c r="AH34" s="2367">
        <f t="shared" si="5"/>
        <v>1.4915322580645163</v>
      </c>
      <c r="AI34" s="123" t="str">
        <f t="shared" si="2"/>
        <v>적정함</v>
      </c>
      <c r="AJ34" t="str">
        <f t="shared" si="6"/>
        <v/>
      </c>
      <c r="AK34" t="str">
        <f t="shared" si="7"/>
        <v/>
      </c>
      <c r="AP34" s="123"/>
      <c r="AQ34" s="123"/>
      <c r="AR34" s="123"/>
      <c r="AS34" s="3084"/>
      <c r="AT34" s="123"/>
      <c r="AU34" s="123"/>
      <c r="AV34" s="3092"/>
      <c r="AW34" s="3086"/>
      <c r="AX34" s="3087"/>
      <c r="AY34" s="3088"/>
      <c r="AZ34" s="3089"/>
      <c r="BA34" s="3090"/>
      <c r="BB34" s="1"/>
    </row>
    <row r="35" spans="1:54" ht="39.6">
      <c r="A35" s="2652" t="s">
        <v>2649</v>
      </c>
      <c r="B35" s="2125" t="s">
        <v>2650</v>
      </c>
      <c r="C35" s="2993" t="s">
        <v>9174</v>
      </c>
      <c r="D35" s="3035">
        <v>2.2000000000000002</v>
      </c>
      <c r="E35" s="837" t="s">
        <v>2651</v>
      </c>
      <c r="F35" s="250" t="s">
        <v>2652</v>
      </c>
      <c r="G35" s="2665" t="s">
        <v>2653</v>
      </c>
      <c r="H35" s="2666" t="s">
        <v>2654</v>
      </c>
      <c r="I35" s="1461" t="str">
        <f t="shared" si="14"/>
        <v>5-DaHall1-PDU-11-20-8</v>
      </c>
      <c r="J35" s="1462" t="str">
        <f t="shared" si="15"/>
        <v>5-DaHall1-PDU-12-30-6</v>
      </c>
      <c r="K35" s="1561">
        <v>220</v>
      </c>
      <c r="L35" s="1562">
        <v>20</v>
      </c>
      <c r="M35" s="2380" t="s">
        <v>6541</v>
      </c>
      <c r="N35" s="1563">
        <v>8</v>
      </c>
      <c r="O35" s="1564">
        <v>220</v>
      </c>
      <c r="P35" s="1565">
        <v>30</v>
      </c>
      <c r="Q35" s="2410" t="s">
        <v>6548</v>
      </c>
      <c r="R35" s="1566">
        <v>6</v>
      </c>
      <c r="S35" s="3473"/>
      <c r="T35" s="3476"/>
      <c r="U35" s="3364"/>
      <c r="V35" s="3365"/>
      <c r="W35" s="3364"/>
      <c r="X35" s="3365"/>
      <c r="Y35" s="253">
        <f>SUM('5층_부하량(월간_AVG)'!N319:P319)</f>
        <v>0</v>
      </c>
      <c r="Z35" s="253">
        <f>SUM('5층_부하량(월간_AVG)'!N377:P377)</f>
        <v>0</v>
      </c>
      <c r="AA35" s="2452">
        <f t="shared" si="16"/>
        <v>0</v>
      </c>
      <c r="AB35" s="2727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28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77">
        <f t="shared" ref="AD35:AD40" si="17">SUM(AB35:AC35)</f>
        <v>0</v>
      </c>
      <c r="AE35" s="2516" t="s">
        <v>2655</v>
      </c>
      <c r="AG35" s="2367">
        <f t="shared" si="4"/>
        <v>0</v>
      </c>
      <c r="AH35" s="2367">
        <f t="shared" si="5"/>
        <v>2.2000000000000002</v>
      </c>
      <c r="AI35" s="123" t="str">
        <f t="shared" si="2"/>
        <v>무부하 랙</v>
      </c>
      <c r="AJ35" t="str">
        <f t="shared" si="6"/>
        <v/>
      </c>
      <c r="AK35" t="str">
        <f t="shared" si="7"/>
        <v/>
      </c>
      <c r="AP35" s="123"/>
      <c r="AQ35" s="123"/>
      <c r="AR35" s="123"/>
      <c r="AS35" s="3084"/>
      <c r="AT35" s="123"/>
      <c r="AU35" s="123"/>
      <c r="AV35" s="3092"/>
      <c r="AW35" s="3086"/>
      <c r="AX35" s="3087"/>
      <c r="AY35" s="3088"/>
      <c r="AZ35" s="3089"/>
      <c r="BA35" s="3090"/>
      <c r="BB35" s="1"/>
    </row>
    <row r="36" spans="1:54" ht="28.8">
      <c r="A36" s="2652" t="s">
        <v>2656</v>
      </c>
      <c r="B36" s="250" t="s">
        <v>2657</v>
      </c>
      <c r="C36" s="2664"/>
      <c r="D36" s="3031"/>
      <c r="E36" s="250" t="s">
        <v>2658</v>
      </c>
      <c r="F36" s="250" t="s">
        <v>2659</v>
      </c>
      <c r="G36" s="2665" t="s">
        <v>2660</v>
      </c>
      <c r="H36" s="2666" t="s">
        <v>2661</v>
      </c>
      <c r="I36" s="1461" t="str">
        <f t="shared" si="14"/>
        <v>5-DaHall1-PDU-11-20-10</v>
      </c>
      <c r="J36" s="1462" t="str">
        <f t="shared" si="15"/>
        <v>5-DaHall1-PDU-12-30-8</v>
      </c>
      <c r="K36" s="1561">
        <v>220</v>
      </c>
      <c r="L36" s="1562">
        <v>20</v>
      </c>
      <c r="M36" s="2380" t="s">
        <v>6541</v>
      </c>
      <c r="N36" s="1563">
        <v>10</v>
      </c>
      <c r="O36" s="1564">
        <v>220</v>
      </c>
      <c r="P36" s="1565">
        <v>30</v>
      </c>
      <c r="Q36" s="2410" t="s">
        <v>6548</v>
      </c>
      <c r="R36" s="1566">
        <v>8</v>
      </c>
      <c r="S36" s="3473"/>
      <c r="T36" s="3476"/>
      <c r="U36" s="3364"/>
      <c r="V36" s="3365"/>
      <c r="W36" s="3364"/>
      <c r="X36" s="3365"/>
      <c r="Y36" s="253">
        <f>SUM('5층_부하량(월간_AVG)'!N320:P320)</f>
        <v>0</v>
      </c>
      <c r="Z36" s="253">
        <f>SUM('5층_부하량(월간_AVG)'!N378:P378)</f>
        <v>0</v>
      </c>
      <c r="AA36" s="2452">
        <f t="shared" si="16"/>
        <v>0</v>
      </c>
      <c r="AB36" s="2727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28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77">
        <f t="shared" si="17"/>
        <v>0</v>
      </c>
      <c r="AE36" s="2467"/>
      <c r="AG36" s="2367">
        <f t="shared" si="4"/>
        <v>0</v>
      </c>
      <c r="AH36" s="2367">
        <f t="shared" si="5"/>
        <v>0</v>
      </c>
      <c r="AI36" s="123" t="str">
        <f t="shared" si="2"/>
        <v>무부하 랙</v>
      </c>
      <c r="AJ36" t="str">
        <f t="shared" si="6"/>
        <v/>
      </c>
      <c r="AK36" t="str">
        <f t="shared" si="7"/>
        <v/>
      </c>
      <c r="AP36" s="123"/>
      <c r="AQ36" s="123"/>
      <c r="AR36" s="123"/>
      <c r="AS36" s="3084"/>
      <c r="AT36" s="123"/>
      <c r="AU36" s="123"/>
      <c r="AV36" s="3092"/>
      <c r="AW36" s="3086"/>
      <c r="AX36" s="3087"/>
      <c r="AY36" s="3088"/>
      <c r="AZ36" s="3089"/>
      <c r="BA36" s="3090"/>
      <c r="BB36" s="1"/>
    </row>
    <row r="37" spans="1:54" ht="28.8">
      <c r="A37" s="2652" t="s">
        <v>2109</v>
      </c>
      <c r="B37" s="250" t="s">
        <v>2662</v>
      </c>
      <c r="C37" s="3130" t="s">
        <v>9301</v>
      </c>
      <c r="D37" s="3031"/>
      <c r="E37" s="250" t="s">
        <v>2663</v>
      </c>
      <c r="F37" s="250" t="s">
        <v>2664</v>
      </c>
      <c r="G37" s="2665" t="s">
        <v>2665</v>
      </c>
      <c r="H37" s="2666" t="s">
        <v>2666</v>
      </c>
      <c r="I37" s="1461" t="str">
        <f t="shared" si="14"/>
        <v>5-DaHall1-PDU-11-20-12</v>
      </c>
      <c r="J37" s="1462" t="str">
        <f t="shared" si="15"/>
        <v>5-DaHall1-PDU-12-20-10</v>
      </c>
      <c r="K37" s="1561">
        <v>220</v>
      </c>
      <c r="L37" s="1562">
        <v>20</v>
      </c>
      <c r="M37" s="2380" t="s">
        <v>6541</v>
      </c>
      <c r="N37" s="1563">
        <v>12</v>
      </c>
      <c r="O37" s="1564">
        <v>220</v>
      </c>
      <c r="P37" s="1565">
        <v>20</v>
      </c>
      <c r="Q37" s="2410" t="s">
        <v>6548</v>
      </c>
      <c r="R37" s="1566">
        <v>10</v>
      </c>
      <c r="S37" s="3473"/>
      <c r="T37" s="3476"/>
      <c r="U37" s="3364"/>
      <c r="V37" s="3365"/>
      <c r="W37" s="3364"/>
      <c r="X37" s="3365"/>
      <c r="Y37" s="253">
        <f>SUM('5층_부하량(월간_AVG)'!N321:P321)</f>
        <v>0</v>
      </c>
      <c r="Z37" s="253">
        <f>SUM('5층_부하량(월간_AVG)'!N379:P379)</f>
        <v>0</v>
      </c>
      <c r="AA37" s="2452">
        <f t="shared" si="16"/>
        <v>0</v>
      </c>
      <c r="AB37" s="2727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28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77">
        <f t="shared" si="17"/>
        <v>0</v>
      </c>
      <c r="AE37" s="2467"/>
      <c r="AG37" s="2367">
        <f t="shared" si="4"/>
        <v>0</v>
      </c>
      <c r="AH37" s="2367">
        <f t="shared" si="5"/>
        <v>0</v>
      </c>
      <c r="AI37" s="123" t="str">
        <f t="shared" si="2"/>
        <v>무부하 랙</v>
      </c>
      <c r="AJ37" t="str">
        <f t="shared" si="6"/>
        <v/>
      </c>
      <c r="AK37" t="str">
        <f t="shared" si="7"/>
        <v/>
      </c>
      <c r="AP37" s="123"/>
      <c r="AQ37" s="123"/>
      <c r="AR37" s="123"/>
      <c r="AS37" s="3084"/>
      <c r="AT37" s="123"/>
      <c r="AU37" s="123"/>
      <c r="AV37" s="3092"/>
      <c r="AW37" s="3086"/>
      <c r="AX37" s="3087"/>
      <c r="AY37" s="3088"/>
      <c r="AZ37" s="3089"/>
      <c r="BA37" s="3090"/>
      <c r="BB37" s="1"/>
    </row>
    <row r="38" spans="1:54" ht="28.8">
      <c r="A38" s="2652" t="s">
        <v>2116</v>
      </c>
      <c r="B38" s="250" t="s">
        <v>2667</v>
      </c>
      <c r="C38" s="2664"/>
      <c r="D38" s="3031"/>
      <c r="E38" s="250" t="s">
        <v>2668</v>
      </c>
      <c r="F38" s="250" t="s">
        <v>2669</v>
      </c>
      <c r="G38" s="2665" t="s">
        <v>2670</v>
      </c>
      <c r="H38" s="2666" t="s">
        <v>2671</v>
      </c>
      <c r="I38" s="1461" t="str">
        <f t="shared" si="14"/>
        <v>5-DaHall1-PDU-11-20-14</v>
      </c>
      <c r="J38" s="1462" t="str">
        <f t="shared" si="15"/>
        <v>5-DaHall1-PDU-12-20-12</v>
      </c>
      <c r="K38" s="1561">
        <v>220</v>
      </c>
      <c r="L38" s="1562">
        <v>20</v>
      </c>
      <c r="M38" s="2380" t="s">
        <v>6541</v>
      </c>
      <c r="N38" s="1563">
        <v>14</v>
      </c>
      <c r="O38" s="1564">
        <v>220</v>
      </c>
      <c r="P38" s="1565">
        <v>20</v>
      </c>
      <c r="Q38" s="2410" t="s">
        <v>6548</v>
      </c>
      <c r="R38" s="1566">
        <v>12</v>
      </c>
      <c r="S38" s="3473"/>
      <c r="T38" s="3476"/>
      <c r="U38" s="3364"/>
      <c r="V38" s="3365"/>
      <c r="W38" s="3364"/>
      <c r="X38" s="3365"/>
      <c r="Y38" s="253">
        <f>SUM('5층_부하량(월간_AVG)'!N322:P322)</f>
        <v>0</v>
      </c>
      <c r="Z38" s="253">
        <f>SUM('5층_부하량(월간_AVG)'!N380:P380)</f>
        <v>0</v>
      </c>
      <c r="AA38" s="2452">
        <f t="shared" si="16"/>
        <v>0</v>
      </c>
      <c r="AB38" s="2727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28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77">
        <f t="shared" si="17"/>
        <v>0</v>
      </c>
      <c r="AE38" s="2467"/>
      <c r="AG38" s="2367">
        <f t="shared" si="4"/>
        <v>0</v>
      </c>
      <c r="AH38" s="2367">
        <f t="shared" si="5"/>
        <v>0</v>
      </c>
      <c r="AI38" s="123" t="str">
        <f t="shared" si="2"/>
        <v>무부하 랙</v>
      </c>
      <c r="AJ38" t="str">
        <f t="shared" si="6"/>
        <v/>
      </c>
      <c r="AK38" t="str">
        <f t="shared" si="7"/>
        <v/>
      </c>
      <c r="AP38" s="123"/>
      <c r="AQ38" s="123"/>
      <c r="AR38" s="123"/>
      <c r="AS38" s="3084"/>
      <c r="AT38" s="123"/>
      <c r="AU38" s="123"/>
      <c r="AV38" s="3092"/>
      <c r="AW38" s="3086"/>
      <c r="AX38" s="3087"/>
      <c r="AY38" s="3088"/>
      <c r="AZ38" s="3089"/>
      <c r="BA38" s="3090"/>
      <c r="BB38" s="1"/>
    </row>
    <row r="39" spans="1:54" ht="28.8">
      <c r="A39" s="2652" t="s">
        <v>2122</v>
      </c>
      <c r="B39" s="250" t="s">
        <v>2672</v>
      </c>
      <c r="C39" s="2664" t="s">
        <v>9226</v>
      </c>
      <c r="D39" s="3031">
        <v>2.2000000000000002</v>
      </c>
      <c r="E39" s="250" t="s">
        <v>2673</v>
      </c>
      <c r="F39" s="250" t="s">
        <v>2674</v>
      </c>
      <c r="G39" s="2665" t="s">
        <v>2675</v>
      </c>
      <c r="H39" s="2666" t="s">
        <v>2676</v>
      </c>
      <c r="I39" s="1461" t="str">
        <f t="shared" si="14"/>
        <v>5-DaHall1-PDU-11-20-16</v>
      </c>
      <c r="J39" s="1462" t="str">
        <f t="shared" si="15"/>
        <v>5-DaHall1-PDU-12-20-14</v>
      </c>
      <c r="K39" s="1561">
        <v>220</v>
      </c>
      <c r="L39" s="1562">
        <v>20</v>
      </c>
      <c r="M39" s="2380" t="s">
        <v>6541</v>
      </c>
      <c r="N39" s="1563">
        <v>16</v>
      </c>
      <c r="O39" s="1564">
        <v>220</v>
      </c>
      <c r="P39" s="1565">
        <v>20</v>
      </c>
      <c r="Q39" s="2410" t="s">
        <v>6548</v>
      </c>
      <c r="R39" s="1566">
        <v>14</v>
      </c>
      <c r="S39" s="3473"/>
      <c r="T39" s="3476"/>
      <c r="U39" s="3364"/>
      <c r="V39" s="3365"/>
      <c r="W39" s="3364"/>
      <c r="X39" s="3365"/>
      <c r="Y39" s="253">
        <f>SUM('5층_부하량(월간_AVG)'!N323:P323)</f>
        <v>0</v>
      </c>
      <c r="Z39" s="253">
        <f>SUM('5층_부하량(월간_AVG)'!N381:P381)</f>
        <v>0</v>
      </c>
      <c r="AA39" s="2452">
        <f t="shared" si="16"/>
        <v>0</v>
      </c>
      <c r="AB39" s="2727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28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77">
        <f t="shared" si="17"/>
        <v>0</v>
      </c>
      <c r="AE39" s="2467"/>
      <c r="AG39" s="2367">
        <f t="shared" si="4"/>
        <v>0</v>
      </c>
      <c r="AH39" s="2367">
        <f t="shared" si="5"/>
        <v>2.2000000000000002</v>
      </c>
      <c r="AI39" s="123" t="str">
        <f t="shared" si="2"/>
        <v>무부하 랙</v>
      </c>
      <c r="AJ39" t="str">
        <f t="shared" si="6"/>
        <v/>
      </c>
      <c r="AK39" t="str">
        <f t="shared" si="7"/>
        <v/>
      </c>
      <c r="AP39" s="123"/>
      <c r="AQ39" s="123"/>
      <c r="AR39" s="123"/>
      <c r="AS39" s="3084"/>
      <c r="AT39" s="123"/>
      <c r="AU39" s="123"/>
      <c r="AV39" s="3092"/>
      <c r="AW39" s="3086"/>
      <c r="AX39" s="3087"/>
      <c r="AY39" s="3088"/>
      <c r="AZ39" s="3089"/>
      <c r="BA39" s="3090"/>
      <c r="BB39" s="1"/>
    </row>
    <row r="40" spans="1:54" ht="28.8">
      <c r="A40" s="2652" t="s">
        <v>2128</v>
      </c>
      <c r="B40" s="2653" t="s">
        <v>2677</v>
      </c>
      <c r="C40" s="2664" t="s">
        <v>9226</v>
      </c>
      <c r="D40" s="3035">
        <v>2.2000000000000002</v>
      </c>
      <c r="E40" s="250" t="s">
        <v>2678</v>
      </c>
      <c r="F40" s="250" t="s">
        <v>2679</v>
      </c>
      <c r="G40" s="2665" t="s">
        <v>2680</v>
      </c>
      <c r="H40" s="2666" t="s">
        <v>2681</v>
      </c>
      <c r="I40" s="1461" t="str">
        <f t="shared" si="14"/>
        <v>5-DaHall1-PDU-11-20-18</v>
      </c>
      <c r="J40" s="1462" t="str">
        <f t="shared" si="15"/>
        <v>5-DaHall1-PDU-12-20-16</v>
      </c>
      <c r="K40" s="1561">
        <v>220</v>
      </c>
      <c r="L40" s="1562">
        <v>20</v>
      </c>
      <c r="M40" s="2380" t="s">
        <v>6541</v>
      </c>
      <c r="N40" s="1563">
        <v>18</v>
      </c>
      <c r="O40" s="1564">
        <v>220</v>
      </c>
      <c r="P40" s="1565">
        <v>20</v>
      </c>
      <c r="Q40" s="2410" t="s">
        <v>6548</v>
      </c>
      <c r="R40" s="1566">
        <v>16</v>
      </c>
      <c r="S40" s="3473"/>
      <c r="T40" s="3476"/>
      <c r="U40" s="3364"/>
      <c r="V40" s="3365"/>
      <c r="W40" s="3364"/>
      <c r="X40" s="3365"/>
      <c r="Y40" s="253">
        <f>SUM('5층_부하량(월간_AVG)'!N324:P324)</f>
        <v>3.0662864438421007</v>
      </c>
      <c r="Z40" s="253">
        <f>SUM('5층_부하량(월간_AVG)'!N382:P382)</f>
        <v>6.140791765519416</v>
      </c>
      <c r="AA40" s="2452">
        <f t="shared" si="16"/>
        <v>9.2070782093615158</v>
      </c>
      <c r="AB40" s="2727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434</v>
      </c>
      <c r="AC40" s="2728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961.2</v>
      </c>
      <c r="AD40" s="2477">
        <f t="shared" si="17"/>
        <v>1395.2</v>
      </c>
      <c r="AE40" s="2467"/>
      <c r="AG40" s="2367">
        <f t="shared" si="4"/>
        <v>1.8752688172043011</v>
      </c>
      <c r="AH40" s="2367">
        <f t="shared" si="5"/>
        <v>0.32473118279569912</v>
      </c>
      <c r="AI40" s="123" t="str">
        <f t="shared" si="2"/>
        <v>적정함</v>
      </c>
      <c r="AJ40" t="str">
        <f t="shared" si="6"/>
        <v/>
      </c>
      <c r="AK40" t="str">
        <f t="shared" si="7"/>
        <v/>
      </c>
      <c r="AP40" s="123"/>
      <c r="AQ40" s="123"/>
      <c r="AR40" s="123"/>
      <c r="AS40" s="3084"/>
      <c r="AT40" s="123"/>
      <c r="AU40" s="123"/>
      <c r="AV40" s="3092"/>
      <c r="AW40" s="3086"/>
      <c r="AX40" s="3087"/>
      <c r="AY40" s="3088"/>
      <c r="AZ40" s="3089"/>
      <c r="BA40" s="3090"/>
      <c r="BB40" s="1"/>
    </row>
    <row r="41" spans="1:54" ht="29.4" thickBot="1">
      <c r="A41" s="2660" t="s">
        <v>2134</v>
      </c>
      <c r="B41" s="2672" t="s">
        <v>2682</v>
      </c>
      <c r="C41" s="2688" t="s">
        <v>9226</v>
      </c>
      <c r="D41" s="3036">
        <v>2.2000000000000002</v>
      </c>
      <c r="E41" s="2661" t="s">
        <v>2683</v>
      </c>
      <c r="F41" s="2661" t="s">
        <v>2684</v>
      </c>
      <c r="G41" s="2675" t="s">
        <v>2685</v>
      </c>
      <c r="H41" s="2676" t="s">
        <v>2686</v>
      </c>
      <c r="I41" s="3151" t="str">
        <f t="shared" si="14"/>
        <v>5-DaHall1-PDU-11-20-20</v>
      </c>
      <c r="J41" s="3152" t="str">
        <f t="shared" si="15"/>
        <v>5-DaHall1-PDU-12-20-18</v>
      </c>
      <c r="K41" s="1571">
        <v>220</v>
      </c>
      <c r="L41" s="1572">
        <v>20</v>
      </c>
      <c r="M41" s="2381" t="s">
        <v>6541</v>
      </c>
      <c r="N41" s="1573">
        <v>20</v>
      </c>
      <c r="O41" s="1574">
        <v>220</v>
      </c>
      <c r="P41" s="1575">
        <v>20</v>
      </c>
      <c r="Q41" s="2411" t="s">
        <v>6548</v>
      </c>
      <c r="R41" s="1576">
        <v>18</v>
      </c>
      <c r="S41" s="3474"/>
      <c r="T41" s="3477"/>
      <c r="U41" s="3372"/>
      <c r="V41" s="3371"/>
      <c r="W41" s="3372"/>
      <c r="X41" s="3371"/>
      <c r="Y41" s="329">
        <f>SUM('5층_부하량(월간_AVG)'!N325:P325)</f>
        <v>2.9616203372107344</v>
      </c>
      <c r="Z41" s="329">
        <f>SUM('5층_부하량(월간_AVG)'!N383:P383)</f>
        <v>3.5649999116228526</v>
      </c>
      <c r="AA41" s="2453">
        <f t="shared" si="16"/>
        <v>6.5266202488335869</v>
      </c>
      <c r="AB41" s="2733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313</v>
      </c>
      <c r="AC41" s="2734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495.8</v>
      </c>
      <c r="AD41" s="2478">
        <f>SUM(AB41:AC41)</f>
        <v>808.8</v>
      </c>
      <c r="AE41" s="2468"/>
      <c r="AG41" s="2367">
        <f t="shared" si="4"/>
        <v>1.0870967741935482</v>
      </c>
      <c r="AH41" s="2367">
        <f t="shared" si="5"/>
        <v>1.112903225806452</v>
      </c>
      <c r="AI41" s="123" t="str">
        <f t="shared" si="2"/>
        <v>적정함</v>
      </c>
      <c r="AJ41" t="str">
        <f t="shared" si="6"/>
        <v/>
      </c>
      <c r="AK41" t="str">
        <f t="shared" si="7"/>
        <v/>
      </c>
      <c r="AP41" s="123"/>
      <c r="AQ41" s="123"/>
      <c r="AR41" s="123"/>
      <c r="AS41" s="3084"/>
      <c r="AT41" s="123"/>
      <c r="AU41" s="123"/>
      <c r="AV41" s="3092"/>
      <c r="AW41" s="3086"/>
      <c r="AX41" s="3087"/>
      <c r="AY41" s="3088"/>
      <c r="AZ41" s="3089"/>
      <c r="BA41" s="3090"/>
      <c r="BB41" s="1"/>
    </row>
    <row r="42" spans="1:54" ht="27.75" customHeight="1" thickTop="1">
      <c r="A42" s="1085"/>
      <c r="B42" s="828" t="s">
        <v>2687</v>
      </c>
      <c r="C42" s="974"/>
      <c r="D42" s="3037"/>
      <c r="E42" s="3147" t="s">
        <v>2688</v>
      </c>
      <c r="F42" s="3147" t="s">
        <v>2689</v>
      </c>
      <c r="G42" s="3124" t="s">
        <v>2690</v>
      </c>
      <c r="H42" s="3123" t="s">
        <v>2691</v>
      </c>
      <c r="I42" s="3148" t="str">
        <f t="shared" si="14"/>
        <v>5-DaHall1-PDU-13-20-11</v>
      </c>
      <c r="J42" s="3149" t="str">
        <f t="shared" si="15"/>
        <v>5-DaHall1-PDU-14-30-9</v>
      </c>
      <c r="K42" s="2208">
        <v>220</v>
      </c>
      <c r="L42" s="2209">
        <v>20</v>
      </c>
      <c r="M42" s="2395" t="s">
        <v>6542</v>
      </c>
      <c r="N42" s="2210">
        <v>11</v>
      </c>
      <c r="O42" s="2211">
        <v>220</v>
      </c>
      <c r="P42" s="2212">
        <v>30</v>
      </c>
      <c r="Q42" s="2420" t="s">
        <v>6549</v>
      </c>
      <c r="R42" s="2213">
        <v>9</v>
      </c>
      <c r="S42" s="3511" t="s">
        <v>2631</v>
      </c>
      <c r="T42" s="3503" t="s">
        <v>2639</v>
      </c>
      <c r="U42" s="3359" t="s">
        <v>2632</v>
      </c>
      <c r="V42" s="3346" t="s">
        <v>2640</v>
      </c>
      <c r="W42" s="3359" t="s">
        <v>2484</v>
      </c>
      <c r="X42" s="3346" t="s">
        <v>2485</v>
      </c>
      <c r="Y42" s="3150">
        <f>SUM('5층_부하량(월간_AVG)'!D341:F341)</f>
        <v>0</v>
      </c>
      <c r="Z42" s="831">
        <f>SUM('5층_부하량(월간_AVG)'!D399:F399)</f>
        <v>0</v>
      </c>
      <c r="AA42" s="2455">
        <f>SUM(Y42:Z42)</f>
        <v>0</v>
      </c>
      <c r="AB42" s="2741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42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1">
        <f>SUM(AB42:AC42)</f>
        <v>0</v>
      </c>
      <c r="AE42" s="2470" t="s">
        <v>1265</v>
      </c>
      <c r="AG42" s="2367">
        <f t="shared" si="4"/>
        <v>0</v>
      </c>
      <c r="AH42" s="2367">
        <f t="shared" si="5"/>
        <v>0</v>
      </c>
      <c r="AI42" s="123" t="str">
        <f t="shared" si="2"/>
        <v>무부하 랙</v>
      </c>
      <c r="AJ42" t="str">
        <f t="shared" si="6"/>
        <v/>
      </c>
      <c r="AK42" t="str">
        <f t="shared" si="7"/>
        <v/>
      </c>
      <c r="AP42" s="123"/>
      <c r="AQ42" s="123"/>
      <c r="AR42" s="123"/>
      <c r="AS42" s="3084"/>
      <c r="AT42" s="123"/>
      <c r="AU42" s="123"/>
      <c r="AV42" s="3092"/>
      <c r="AW42" s="3086"/>
      <c r="AX42" s="3087"/>
      <c r="AY42" s="3088"/>
      <c r="AZ42" s="3089"/>
      <c r="BA42" s="3090"/>
      <c r="BB42" s="1"/>
    </row>
    <row r="43" spans="1:54" ht="34.799999999999997">
      <c r="A43" s="2652" t="s">
        <v>2692</v>
      </c>
      <c r="B43" s="2653" t="s">
        <v>2693</v>
      </c>
      <c r="C43" s="2993" t="s">
        <v>9186</v>
      </c>
      <c r="D43" s="3035">
        <v>2.2000000000000002</v>
      </c>
      <c r="E43" s="837" t="s">
        <v>2694</v>
      </c>
      <c r="F43" s="250" t="s">
        <v>2695</v>
      </c>
      <c r="G43" s="2665" t="s">
        <v>2696</v>
      </c>
      <c r="H43" s="2666" t="s">
        <v>2697</v>
      </c>
      <c r="I43" s="1461" t="str">
        <f t="shared" si="14"/>
        <v>5-DaHall1-PDU-13-20-13</v>
      </c>
      <c r="J43" s="1462" t="str">
        <f t="shared" si="15"/>
        <v>5-DaHall1-PDU-14-20-11</v>
      </c>
      <c r="K43" s="1561">
        <v>220</v>
      </c>
      <c r="L43" s="1562">
        <v>20</v>
      </c>
      <c r="M43" s="2380" t="s">
        <v>6542</v>
      </c>
      <c r="N43" s="1563">
        <v>13</v>
      </c>
      <c r="O43" s="1564">
        <v>220</v>
      </c>
      <c r="P43" s="1565">
        <v>20</v>
      </c>
      <c r="Q43" s="2410" t="s">
        <v>6549</v>
      </c>
      <c r="R43" s="1566">
        <v>11</v>
      </c>
      <c r="S43" s="3473"/>
      <c r="T43" s="3476"/>
      <c r="U43" s="3356"/>
      <c r="V43" s="3336"/>
      <c r="W43" s="3356"/>
      <c r="X43" s="3365"/>
      <c r="Y43" s="253">
        <f>SUM('5층_부하량(월간_AVG)'!D342:F342)</f>
        <v>0.70994235981902021</v>
      </c>
      <c r="Z43" s="253">
        <f>SUM('5층_부하량(월간_AVG)'!D400:F400)</f>
        <v>0</v>
      </c>
      <c r="AA43" s="2452">
        <f t="shared" ref="AA43:AA46" si="18">SUM(Y43:Z43)</f>
        <v>0.70994235981902021</v>
      </c>
      <c r="AB43" s="2727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28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77">
        <f t="shared" ref="AD43:AD44" si="19">SUM(AB43:AC43)</f>
        <v>70.599999999999994</v>
      </c>
      <c r="AE43" s="2467"/>
      <c r="AG43" s="2367">
        <f t="shared" si="4"/>
        <v>9.4892473118279558E-2</v>
      </c>
      <c r="AH43" s="2367">
        <f t="shared" si="5"/>
        <v>2.1051075268817208</v>
      </c>
      <c r="AI43" s="123" t="str">
        <f t="shared" si="2"/>
        <v>적정함</v>
      </c>
      <c r="AJ43" t="str">
        <f t="shared" si="6"/>
        <v/>
      </c>
      <c r="AK43" t="str">
        <f t="shared" si="7"/>
        <v/>
      </c>
      <c r="AP43" s="123"/>
      <c r="AQ43" s="123"/>
      <c r="AR43" s="123"/>
      <c r="AS43" s="3084"/>
      <c r="AT43" s="123"/>
      <c r="AU43" s="123"/>
      <c r="AV43" s="3092"/>
      <c r="AW43" s="3086"/>
      <c r="AX43" s="3087"/>
      <c r="AY43" s="3088"/>
      <c r="AZ43" s="3089"/>
      <c r="BA43" s="3090"/>
      <c r="BB43" s="1"/>
    </row>
    <row r="44" spans="1:54" ht="34.799999999999997">
      <c r="A44" s="2652" t="s">
        <v>2698</v>
      </c>
      <c r="B44" s="2653" t="s">
        <v>2699</v>
      </c>
      <c r="C44" s="2993" t="s">
        <v>9219</v>
      </c>
      <c r="D44" s="3035">
        <v>3.3</v>
      </c>
      <c r="E44" s="837" t="s">
        <v>2700</v>
      </c>
      <c r="F44" s="250" t="s">
        <v>2701</v>
      </c>
      <c r="G44" s="2665" t="s">
        <v>2702</v>
      </c>
      <c r="H44" s="2666" t="s">
        <v>2703</v>
      </c>
      <c r="I44" s="1461" t="str">
        <f t="shared" si="14"/>
        <v>5-DaHall1-PDU-13-20-15</v>
      </c>
      <c r="J44" s="1462" t="str">
        <f t="shared" si="15"/>
        <v>5-DaHall1-PDU-14-20-13</v>
      </c>
      <c r="K44" s="1561">
        <v>220</v>
      </c>
      <c r="L44" s="1562">
        <v>20</v>
      </c>
      <c r="M44" s="2380" t="s">
        <v>6542</v>
      </c>
      <c r="N44" s="1563">
        <v>15</v>
      </c>
      <c r="O44" s="1564">
        <v>220</v>
      </c>
      <c r="P44" s="1565">
        <v>20</v>
      </c>
      <c r="Q44" s="2410" t="s">
        <v>6549</v>
      </c>
      <c r="R44" s="1566">
        <v>13</v>
      </c>
      <c r="S44" s="3473"/>
      <c r="T44" s="3476"/>
      <c r="U44" s="3356"/>
      <c r="V44" s="3336"/>
      <c r="W44" s="3356"/>
      <c r="X44" s="3365"/>
      <c r="Y44" s="253">
        <f>SUM('5층_부하량(월간_AVG)'!D343:F343)</f>
        <v>0</v>
      </c>
      <c r="Z44" s="253">
        <f>SUM('5층_부하량(월간_AVG)'!D401:F401)</f>
        <v>1.7301673586359012</v>
      </c>
      <c r="AA44" s="2452">
        <f t="shared" si="18"/>
        <v>1.7301673586359012</v>
      </c>
      <c r="AB44" s="2727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28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242.7</v>
      </c>
      <c r="AD44" s="2477">
        <f t="shared" si="19"/>
        <v>242.7</v>
      </c>
      <c r="AE44" s="2467"/>
      <c r="AG44" s="2367">
        <f t="shared" si="4"/>
        <v>0.3262096774193548</v>
      </c>
      <c r="AH44" s="2367">
        <f t="shared" si="5"/>
        <v>2.973790322580645</v>
      </c>
      <c r="AI44" s="123" t="str">
        <f t="shared" si="2"/>
        <v>적정함</v>
      </c>
      <c r="AJ44" t="str">
        <f t="shared" si="6"/>
        <v/>
      </c>
      <c r="AK44" t="str">
        <f t="shared" si="7"/>
        <v/>
      </c>
      <c r="AP44" s="123"/>
      <c r="AQ44" s="123"/>
      <c r="AR44" s="123"/>
      <c r="AS44" s="3084"/>
      <c r="AT44" s="123"/>
      <c r="AU44" s="123"/>
      <c r="AV44" s="3092"/>
      <c r="AW44" s="3086"/>
      <c r="AX44" s="3087"/>
      <c r="AY44" s="3088"/>
      <c r="AZ44" s="3089"/>
      <c r="BA44" s="3090"/>
      <c r="BB44" s="1"/>
    </row>
    <row r="45" spans="1:54" ht="28.8">
      <c r="A45" s="3325" t="s">
        <v>2146</v>
      </c>
      <c r="B45" s="3360" t="s">
        <v>2704</v>
      </c>
      <c r="C45" s="3452" t="s">
        <v>9174</v>
      </c>
      <c r="D45" s="3442">
        <v>3</v>
      </c>
      <c r="E45" s="837" t="s">
        <v>2705</v>
      </c>
      <c r="F45" s="250" t="s">
        <v>2706</v>
      </c>
      <c r="G45" s="2665" t="s">
        <v>2707</v>
      </c>
      <c r="H45" s="2666" t="s">
        <v>2708</v>
      </c>
      <c r="I45" s="1461" t="str">
        <f t="shared" si="14"/>
        <v>5-DaHall1-PDU-13-20-17</v>
      </c>
      <c r="J45" s="1462" t="str">
        <f t="shared" si="15"/>
        <v>5-DaHall1-PDU-14-20-15</v>
      </c>
      <c r="K45" s="1561">
        <v>220</v>
      </c>
      <c r="L45" s="1562">
        <v>20</v>
      </c>
      <c r="M45" s="2380" t="s">
        <v>6542</v>
      </c>
      <c r="N45" s="1563">
        <v>17</v>
      </c>
      <c r="O45" s="1564">
        <v>220</v>
      </c>
      <c r="P45" s="1565">
        <v>20</v>
      </c>
      <c r="Q45" s="2410" t="s">
        <v>6549</v>
      </c>
      <c r="R45" s="1566">
        <v>15</v>
      </c>
      <c r="S45" s="3473"/>
      <c r="T45" s="3476"/>
      <c r="U45" s="3356"/>
      <c r="V45" s="3336"/>
      <c r="W45" s="3356"/>
      <c r="X45" s="3365"/>
      <c r="Y45" s="253">
        <f>SUM('5층_부하량(월간_AVG)'!D344:F344)</f>
        <v>0</v>
      </c>
      <c r="Z45" s="253">
        <f>SUM('5층_부하량(월간_AVG)'!D402:F402)</f>
        <v>0</v>
      </c>
      <c r="AA45" s="2452">
        <f t="shared" si="18"/>
        <v>0</v>
      </c>
      <c r="AB45" s="2727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28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533">
        <f>SUM(AB45:AC46)</f>
        <v>620.09999999999991</v>
      </c>
      <c r="AE45" s="2663" t="s">
        <v>1585</v>
      </c>
      <c r="AG45" s="2367">
        <f t="shared" si="4"/>
        <v>0.83346774193548379</v>
      </c>
      <c r="AH45" s="2367">
        <f t="shared" si="5"/>
        <v>2.1665322580645161</v>
      </c>
      <c r="AI45" s="123" t="str">
        <f t="shared" si="2"/>
        <v>적정함</v>
      </c>
      <c r="AJ45" t="str">
        <f t="shared" si="6"/>
        <v/>
      </c>
      <c r="AK45" t="str">
        <f t="shared" si="7"/>
        <v/>
      </c>
      <c r="AP45" s="123"/>
      <c r="AQ45" s="123"/>
      <c r="AR45" s="123"/>
      <c r="AS45" s="3084"/>
      <c r="AT45" s="123"/>
      <c r="AU45" s="123"/>
      <c r="AV45" s="3092"/>
      <c r="AW45" s="3086"/>
      <c r="AX45" s="3087"/>
      <c r="AY45" s="3088"/>
      <c r="AZ45" s="3089"/>
      <c r="BA45" s="3090"/>
      <c r="BB45" s="1"/>
    </row>
    <row r="46" spans="1:54" ht="57.6">
      <c r="A46" s="3325"/>
      <c r="B46" s="3360"/>
      <c r="C46" s="3450"/>
      <c r="D46" s="3444"/>
      <c r="E46" s="3011" t="s">
        <v>2709</v>
      </c>
      <c r="F46" s="2664" t="s">
        <v>2710</v>
      </c>
      <c r="G46" s="2665" t="s">
        <v>2711</v>
      </c>
      <c r="H46" s="2666" t="s">
        <v>2712</v>
      </c>
      <c r="I46" s="1461" t="str">
        <f t="shared" si="14"/>
        <v>5-DaHall1-PDU-15-30-12</v>
      </c>
      <c r="J46" s="1462" t="str">
        <f t="shared" si="15"/>
        <v>5-DaHall1-PDU-16-30-12</v>
      </c>
      <c r="K46" s="1567">
        <v>220</v>
      </c>
      <c r="L46" s="1568">
        <v>30</v>
      </c>
      <c r="M46" s="2380" t="s">
        <v>6543</v>
      </c>
      <c r="N46" s="1563">
        <v>12</v>
      </c>
      <c r="O46" s="1569">
        <v>220</v>
      </c>
      <c r="P46" s="1570">
        <v>30</v>
      </c>
      <c r="Q46" s="2410" t="s">
        <v>6550</v>
      </c>
      <c r="R46" s="1566">
        <v>12</v>
      </c>
      <c r="S46" s="2665" t="s">
        <v>2568</v>
      </c>
      <c r="T46" s="2666" t="s">
        <v>2569</v>
      </c>
      <c r="U46" s="2641" t="s">
        <v>2570</v>
      </c>
      <c r="V46" s="2636" t="s">
        <v>2571</v>
      </c>
      <c r="W46" s="3356"/>
      <c r="X46" s="3365"/>
      <c r="Y46" s="268">
        <f>SUM('5층_부하량(월간_AVG)'!N361:P361)</f>
        <v>2.3123452621902545</v>
      </c>
      <c r="Z46" s="268">
        <f>SUM('5층_부하량(월간_AVG)'!N420:P420)</f>
        <v>2.5672030377838553</v>
      </c>
      <c r="AA46" s="2459">
        <f t="shared" si="18"/>
        <v>4.8795482999741093</v>
      </c>
      <c r="AB46" s="2743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44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316.7</v>
      </c>
      <c r="AD46" s="3534"/>
      <c r="AE46" s="2517" t="s">
        <v>2713</v>
      </c>
      <c r="AG46" s="2367">
        <f t="shared" si="4"/>
        <v>0</v>
      </c>
      <c r="AH46" s="2367">
        <f t="shared" si="5"/>
        <v>0</v>
      </c>
      <c r="AI46" s="123" t="str">
        <f t="shared" si="2"/>
        <v>무부하 랙</v>
      </c>
      <c r="AJ46" t="str">
        <f t="shared" si="6"/>
        <v/>
      </c>
      <c r="AK46" t="str">
        <f t="shared" si="7"/>
        <v/>
      </c>
      <c r="AP46" s="123"/>
      <c r="AQ46" s="123"/>
      <c r="AR46" s="123"/>
      <c r="AS46" s="3084"/>
      <c r="AT46" s="123"/>
      <c r="AU46" s="123"/>
      <c r="AV46" s="3092"/>
      <c r="AW46" s="3086"/>
      <c r="AX46" s="3087"/>
      <c r="AY46" s="3088"/>
      <c r="AZ46" s="3089"/>
      <c r="BA46" s="3090"/>
      <c r="BB46" s="1"/>
    </row>
    <row r="47" spans="1:54" ht="57.6">
      <c r="A47" s="3325" t="s">
        <v>2158</v>
      </c>
      <c r="B47" s="3360" t="s">
        <v>2714</v>
      </c>
      <c r="C47" s="3452" t="s">
        <v>9174</v>
      </c>
      <c r="D47" s="3442">
        <v>2.2000000000000002</v>
      </c>
      <c r="E47" s="837" t="s">
        <v>2715</v>
      </c>
      <c r="F47" s="250" t="s">
        <v>2716</v>
      </c>
      <c r="G47" s="2665" t="s">
        <v>2717</v>
      </c>
      <c r="H47" s="2666" t="s">
        <v>2718</v>
      </c>
      <c r="I47" s="1461" t="str">
        <f t="shared" si="14"/>
        <v>5-DaHall1-PDU-13-20-19</v>
      </c>
      <c r="J47" s="1462" t="str">
        <f t="shared" si="15"/>
        <v>5-DaHall1-PDU-14-20-17</v>
      </c>
      <c r="K47" s="1561">
        <v>220</v>
      </c>
      <c r="L47" s="1562">
        <v>20</v>
      </c>
      <c r="M47" s="2380" t="s">
        <v>6542</v>
      </c>
      <c r="N47" s="1563">
        <v>19</v>
      </c>
      <c r="O47" s="1564">
        <v>220</v>
      </c>
      <c r="P47" s="1565">
        <v>20</v>
      </c>
      <c r="Q47" s="2410" t="s">
        <v>6549</v>
      </c>
      <c r="R47" s="1566">
        <v>17</v>
      </c>
      <c r="S47" s="2665" t="s">
        <v>2631</v>
      </c>
      <c r="T47" s="2666" t="s">
        <v>2639</v>
      </c>
      <c r="U47" s="2641" t="s">
        <v>2632</v>
      </c>
      <c r="V47" s="2636" t="s">
        <v>2640</v>
      </c>
      <c r="W47" s="3356"/>
      <c r="X47" s="3365"/>
      <c r="Y47" s="253">
        <f>SUM('5층_부하량(월간_AVG)'!D345:F345)</f>
        <v>5.2356076642778699</v>
      </c>
      <c r="Z47" s="253">
        <f>SUM('5층_부하량(월간_AVG)'!D403:F403)</f>
        <v>0.96224317999940046</v>
      </c>
      <c r="AA47" s="3396">
        <f>SUM(Y47:Z48)</f>
        <v>6.1978508442772702</v>
      </c>
      <c r="AB47" s="2731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849.3</v>
      </c>
      <c r="AC47" s="2732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120.8</v>
      </c>
      <c r="AD47" s="3533">
        <f>SUM(AB47:AC48)</f>
        <v>970.09999999999991</v>
      </c>
      <c r="AE47" s="3540" t="s">
        <v>1585</v>
      </c>
      <c r="AG47" s="2367">
        <f t="shared" si="4"/>
        <v>1.3038978494623654</v>
      </c>
      <c r="AH47" s="2367">
        <f t="shared" si="5"/>
        <v>0.89610215053763476</v>
      </c>
      <c r="AI47" s="123" t="str">
        <f t="shared" si="2"/>
        <v>적정함</v>
      </c>
      <c r="AJ47" t="str">
        <f t="shared" si="6"/>
        <v/>
      </c>
      <c r="AK47" t="str">
        <f t="shared" si="7"/>
        <v/>
      </c>
      <c r="AP47" s="123"/>
      <c r="AQ47" s="123"/>
      <c r="AR47" s="123"/>
      <c r="AS47" s="3084"/>
      <c r="AT47" s="123"/>
      <c r="AU47" s="123"/>
      <c r="AV47" s="3092"/>
      <c r="AW47" s="3086"/>
      <c r="AX47" s="3087"/>
      <c r="AY47" s="3088"/>
      <c r="AZ47" s="3089"/>
      <c r="BA47" s="3090"/>
      <c r="BB47" s="1"/>
    </row>
    <row r="48" spans="1:54" ht="57.6">
      <c r="A48" s="3325"/>
      <c r="B48" s="3360"/>
      <c r="C48" s="3450"/>
      <c r="D48" s="3444"/>
      <c r="E48" s="837" t="s">
        <v>2719</v>
      </c>
      <c r="F48" s="250" t="s">
        <v>2720</v>
      </c>
      <c r="G48" s="2665" t="s">
        <v>2721</v>
      </c>
      <c r="H48" s="2666" t="s">
        <v>2722</v>
      </c>
      <c r="I48" s="1461" t="str">
        <f t="shared" si="14"/>
        <v>5-DaHall1-PDU-11-20-22</v>
      </c>
      <c r="J48" s="1462" t="str">
        <f t="shared" si="15"/>
        <v>5-DaHall1-PDU-12-20-22</v>
      </c>
      <c r="K48" s="1561">
        <v>220</v>
      </c>
      <c r="L48" s="1562">
        <v>20</v>
      </c>
      <c r="M48" s="2380" t="s">
        <v>6541</v>
      </c>
      <c r="N48" s="1563">
        <v>22</v>
      </c>
      <c r="O48" s="1564">
        <v>220</v>
      </c>
      <c r="P48" s="1565">
        <v>20</v>
      </c>
      <c r="Q48" s="2410" t="s">
        <v>6548</v>
      </c>
      <c r="R48" s="1566">
        <v>22</v>
      </c>
      <c r="S48" s="2679" t="s">
        <v>2480</v>
      </c>
      <c r="T48" s="2666" t="s">
        <v>2481</v>
      </c>
      <c r="U48" s="2641" t="s">
        <v>2482</v>
      </c>
      <c r="V48" s="2636" t="s">
        <v>2483</v>
      </c>
      <c r="W48" s="3356"/>
      <c r="X48" s="3365"/>
      <c r="Y48" s="253">
        <f>SUM('5층_부하량(월간_AVG)'!N326:P326)</f>
        <v>0</v>
      </c>
      <c r="Z48" s="253">
        <f>SUM('5층_부하량(월간_AVG)'!N385:P385)</f>
        <v>0</v>
      </c>
      <c r="AA48" s="3397"/>
      <c r="AB48" s="2731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32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534"/>
      <c r="AE48" s="3540"/>
      <c r="AG48" s="2367">
        <f t="shared" si="4"/>
        <v>0</v>
      </c>
      <c r="AH48" s="2367">
        <f t="shared" si="5"/>
        <v>0</v>
      </c>
      <c r="AI48" s="123" t="str">
        <f t="shared" si="2"/>
        <v>무부하 랙</v>
      </c>
      <c r="AJ48" t="str">
        <f t="shared" si="6"/>
        <v/>
      </c>
      <c r="AK48" t="str">
        <f t="shared" si="7"/>
        <v/>
      </c>
      <c r="AP48" s="123"/>
      <c r="AQ48" s="123"/>
      <c r="AR48" s="123"/>
      <c r="AS48" s="3084"/>
      <c r="AT48" s="123"/>
      <c r="AU48" s="123"/>
      <c r="AV48" s="3092"/>
      <c r="AW48" s="3086"/>
      <c r="AX48" s="3087"/>
      <c r="AY48" s="3088"/>
      <c r="AZ48" s="3089"/>
      <c r="BA48" s="3090"/>
      <c r="BB48" s="1"/>
    </row>
    <row r="49" spans="1:54" ht="34.799999999999997">
      <c r="A49" s="2652" t="s">
        <v>2164</v>
      </c>
      <c r="B49" s="2653" t="s">
        <v>2723</v>
      </c>
      <c r="C49" s="2993" t="s">
        <v>9174</v>
      </c>
      <c r="D49" s="3035">
        <v>2.2000000000000002</v>
      </c>
      <c r="E49" s="837" t="s">
        <v>2724</v>
      </c>
      <c r="F49" s="250" t="s">
        <v>2725</v>
      </c>
      <c r="G49" s="2665" t="s">
        <v>2726</v>
      </c>
      <c r="H49" s="2666" t="s">
        <v>2727</v>
      </c>
      <c r="I49" s="1461" t="str">
        <f t="shared" si="14"/>
        <v>5-DaHall1-PDU-13-20-21</v>
      </c>
      <c r="J49" s="1462" t="str">
        <f t="shared" si="15"/>
        <v>5-DaHall1-PDU-14-20-19</v>
      </c>
      <c r="K49" s="1561">
        <v>220</v>
      </c>
      <c r="L49" s="1562">
        <v>20</v>
      </c>
      <c r="M49" s="2380" t="s">
        <v>6542</v>
      </c>
      <c r="N49" s="1563">
        <v>21</v>
      </c>
      <c r="O49" s="1564">
        <v>220</v>
      </c>
      <c r="P49" s="1565">
        <v>20</v>
      </c>
      <c r="Q49" s="2410" t="s">
        <v>6549</v>
      </c>
      <c r="R49" s="1566">
        <v>19</v>
      </c>
      <c r="S49" s="3473" t="s">
        <v>2631</v>
      </c>
      <c r="T49" s="3476" t="s">
        <v>2639</v>
      </c>
      <c r="U49" s="3356" t="s">
        <v>2632</v>
      </c>
      <c r="V49" s="3336" t="s">
        <v>2640</v>
      </c>
      <c r="W49" s="3356"/>
      <c r="X49" s="3365"/>
      <c r="Y49" s="253">
        <f>SUM('5층_부하량(월간_AVG)'!D346:F346)</f>
        <v>3.1819935809540172</v>
      </c>
      <c r="Z49" s="253">
        <f>SUM('5층_부하량(월간_AVG)'!D404:F404)</f>
        <v>2.5601456704547765</v>
      </c>
      <c r="AA49" s="2452">
        <f t="shared" ref="AA49" si="20">SUM(Y49:Z49)</f>
        <v>5.7421392514087941</v>
      </c>
      <c r="AB49" s="2727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427.3</v>
      </c>
      <c r="AC49" s="2728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390.2</v>
      </c>
      <c r="AD49" s="2477">
        <f t="shared" ref="AD49" si="21">SUM(AB49:AC49)</f>
        <v>817.5</v>
      </c>
      <c r="AE49" s="2467"/>
      <c r="AG49" s="2367">
        <f t="shared" si="4"/>
        <v>1.0987903225806452</v>
      </c>
      <c r="AH49" s="2367">
        <f t="shared" si="5"/>
        <v>1.1012096774193549</v>
      </c>
      <c r="AI49" s="123" t="str">
        <f t="shared" si="2"/>
        <v>적정함</v>
      </c>
      <c r="AJ49" t="str">
        <f t="shared" si="6"/>
        <v/>
      </c>
      <c r="AK49" t="str">
        <f t="shared" si="7"/>
        <v/>
      </c>
      <c r="AP49" s="123"/>
      <c r="AQ49" s="123"/>
      <c r="AR49" s="123"/>
      <c r="AS49" s="3084"/>
      <c r="AT49" s="123"/>
      <c r="AU49" s="123"/>
      <c r="AV49" s="3092"/>
      <c r="AW49" s="3086"/>
      <c r="AX49" s="3087"/>
      <c r="AY49" s="3088"/>
      <c r="AZ49" s="3089"/>
      <c r="BA49" s="3090"/>
      <c r="BB49" s="1"/>
    </row>
    <row r="50" spans="1:54" ht="28.8">
      <c r="A50" s="3325" t="s">
        <v>2170</v>
      </c>
      <c r="B50" s="3360" t="s">
        <v>2728</v>
      </c>
      <c r="C50" s="3452" t="s">
        <v>9228</v>
      </c>
      <c r="D50" s="3442">
        <v>3.3</v>
      </c>
      <c r="E50" s="837" t="s">
        <v>2729</v>
      </c>
      <c r="F50" s="250" t="s">
        <v>2730</v>
      </c>
      <c r="G50" s="2665" t="s">
        <v>2731</v>
      </c>
      <c r="H50" s="2666" t="s">
        <v>2732</v>
      </c>
      <c r="I50" s="1461" t="str">
        <f t="shared" si="14"/>
        <v>5-DaHall1-PDU-13-20-23</v>
      </c>
      <c r="J50" s="1462" t="str">
        <f t="shared" si="15"/>
        <v>5-DaHall1-PDU-14-20-21</v>
      </c>
      <c r="K50" s="1561">
        <v>220</v>
      </c>
      <c r="L50" s="1562">
        <v>20</v>
      </c>
      <c r="M50" s="2380" t="s">
        <v>6542</v>
      </c>
      <c r="N50" s="1563">
        <v>23</v>
      </c>
      <c r="O50" s="1564">
        <v>220</v>
      </c>
      <c r="P50" s="1565">
        <v>20</v>
      </c>
      <c r="Q50" s="2410" t="s">
        <v>6549</v>
      </c>
      <c r="R50" s="1566">
        <v>21</v>
      </c>
      <c r="S50" s="3542"/>
      <c r="T50" s="3541"/>
      <c r="U50" s="3356"/>
      <c r="V50" s="3365"/>
      <c r="W50" s="3356"/>
      <c r="X50" s="3365"/>
      <c r="Y50" s="253">
        <f>SUM('5층_부하량(월간_AVG)'!D347:F347)</f>
        <v>8.949069746208119</v>
      </c>
      <c r="Z50" s="253">
        <f>SUM('5층_부하량(월간_AVG)'!D405:F405)</f>
        <v>3.389631771393407</v>
      </c>
      <c r="AA50" s="3396">
        <f>SUM(Y50:Z51)</f>
        <v>12.338701517601526</v>
      </c>
      <c r="AB50" s="2731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1458.2</v>
      </c>
      <c r="AC50" s="2732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555.6</v>
      </c>
      <c r="AD50" s="3533">
        <f>SUM(AB50:AC51)</f>
        <v>2013.8000000000002</v>
      </c>
      <c r="AE50" s="2467"/>
      <c r="AG50" s="2367">
        <f t="shared" si="4"/>
        <v>2.7067204301075272</v>
      </c>
      <c r="AH50" s="2367">
        <f t="shared" si="5"/>
        <v>0.59327956989247266</v>
      </c>
      <c r="AI50" s="123" t="str">
        <f t="shared" si="2"/>
        <v>적정함</v>
      </c>
      <c r="AJ50" t="str">
        <f t="shared" si="6"/>
        <v/>
      </c>
      <c r="AK50" t="str">
        <f t="shared" si="7"/>
        <v/>
      </c>
      <c r="AP50" s="123"/>
      <c r="AQ50" s="123"/>
      <c r="AR50" s="123"/>
      <c r="AS50" s="3084"/>
      <c r="AT50" s="123"/>
      <c r="AU50" s="123"/>
      <c r="AV50" s="3092"/>
      <c r="AW50" s="3086"/>
      <c r="AX50" s="3087"/>
      <c r="AY50" s="3088"/>
      <c r="AZ50" s="3089"/>
      <c r="BA50" s="3090"/>
      <c r="BB50" s="1"/>
    </row>
    <row r="51" spans="1:54" ht="57.6">
      <c r="A51" s="3325"/>
      <c r="B51" s="3360"/>
      <c r="C51" s="3450"/>
      <c r="D51" s="3444"/>
      <c r="E51" s="837" t="s">
        <v>2733</v>
      </c>
      <c r="F51" s="2712"/>
      <c r="G51" s="2665" t="s">
        <v>2734</v>
      </c>
      <c r="H51" s="2706"/>
      <c r="I51" s="1461" t="str">
        <f t="shared" si="14"/>
        <v>5-DaHall1-PDU-11-20-30</v>
      </c>
      <c r="J51" s="1585"/>
      <c r="K51" s="1561">
        <v>220</v>
      </c>
      <c r="L51" s="1562">
        <v>20</v>
      </c>
      <c r="M51" s="2380" t="s">
        <v>6541</v>
      </c>
      <c r="N51" s="1563">
        <v>30</v>
      </c>
      <c r="O51" s="1586"/>
      <c r="P51" s="1587"/>
      <c r="Q51" s="2706"/>
      <c r="R51" s="1588"/>
      <c r="S51" s="2679" t="s">
        <v>2480</v>
      </c>
      <c r="T51" s="867"/>
      <c r="U51" s="2641" t="s">
        <v>2482</v>
      </c>
      <c r="V51" s="867"/>
      <c r="W51" s="3356"/>
      <c r="X51" s="867"/>
      <c r="Y51" s="253">
        <f>SUM('5층_부하량(월간_AVG)'!N330:P330)</f>
        <v>0</v>
      </c>
      <c r="Z51" s="867"/>
      <c r="AA51" s="3397"/>
      <c r="AB51" s="2731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32"/>
      <c r="AD51" s="3534"/>
      <c r="AE51" s="2467" t="s">
        <v>2735</v>
      </c>
      <c r="AG51" s="2367">
        <f t="shared" si="4"/>
        <v>0</v>
      </c>
      <c r="AH51" s="2367">
        <f t="shared" si="5"/>
        <v>0</v>
      </c>
      <c r="AI51" s="123" t="str">
        <f t="shared" si="2"/>
        <v>무부하 랙</v>
      </c>
      <c r="AJ51" t="str">
        <f t="shared" si="6"/>
        <v/>
      </c>
      <c r="AK51" t="str">
        <f t="shared" si="7"/>
        <v/>
      </c>
      <c r="AP51" s="123"/>
      <c r="AQ51" s="123"/>
      <c r="AR51" s="123"/>
      <c r="AS51" s="3084"/>
      <c r="AT51" s="123"/>
      <c r="AU51" s="123"/>
      <c r="AV51" s="3092"/>
      <c r="AW51" s="3086"/>
      <c r="AX51" s="3087"/>
      <c r="AY51" s="3088"/>
      <c r="AZ51" s="3089"/>
      <c r="BA51" s="3090"/>
      <c r="BB51" s="1"/>
    </row>
    <row r="52" spans="1:54" ht="58.2" thickBot="1">
      <c r="A52" s="2660" t="s">
        <v>2176</v>
      </c>
      <c r="B52" s="2672" t="s">
        <v>2736</v>
      </c>
      <c r="C52" s="3010" t="s">
        <v>9228</v>
      </c>
      <c r="D52" s="3036">
        <v>3.3</v>
      </c>
      <c r="E52" s="838" t="s">
        <v>2737</v>
      </c>
      <c r="F52" s="2661" t="s">
        <v>2738</v>
      </c>
      <c r="G52" s="2675" t="s">
        <v>2739</v>
      </c>
      <c r="H52" s="2676" t="s">
        <v>2740</v>
      </c>
      <c r="I52" s="1461" t="str">
        <f t="shared" si="14"/>
        <v>5-DaHall1-PDU-13-20-25</v>
      </c>
      <c r="J52" s="1462" t="str">
        <f t="shared" ref="J52:J101" si="22">"5-DaHall1-PDU-"&amp;Q52&amp;"-"&amp;P52&amp;"-"&amp;R52</f>
        <v>5-DaHall1-PDU-14-20-23</v>
      </c>
      <c r="K52" s="1571">
        <v>220</v>
      </c>
      <c r="L52" s="1572">
        <v>20</v>
      </c>
      <c r="M52" s="2381" t="s">
        <v>6542</v>
      </c>
      <c r="N52" s="1573">
        <v>25</v>
      </c>
      <c r="O52" s="1574">
        <v>220</v>
      </c>
      <c r="P52" s="1575">
        <v>20</v>
      </c>
      <c r="Q52" s="2411" t="s">
        <v>6549</v>
      </c>
      <c r="R52" s="1576">
        <v>23</v>
      </c>
      <c r="S52" s="2675" t="s">
        <v>2631</v>
      </c>
      <c r="T52" s="2676" t="s">
        <v>2639</v>
      </c>
      <c r="U52" s="2643" t="s">
        <v>2632</v>
      </c>
      <c r="V52" s="2637" t="s">
        <v>2640</v>
      </c>
      <c r="W52" s="3357"/>
      <c r="X52" s="2637" t="s">
        <v>2485</v>
      </c>
      <c r="Y52" s="329">
        <f>SUM('5층_부하량(월간_AVG)'!D348:F348)</f>
        <v>2.5000703654095719</v>
      </c>
      <c r="Z52" s="329">
        <f>SUM('5층_부하량(월간_AVG)'!D406:F406)</f>
        <v>2.5534419365424519</v>
      </c>
      <c r="AA52" s="2453">
        <f t="shared" ref="AA52:AA59" si="23">SUM(Y52:Z52)</f>
        <v>5.0535123019520238</v>
      </c>
      <c r="AB52" s="2733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383.1</v>
      </c>
      <c r="AC52" s="2734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404.5</v>
      </c>
      <c r="AD52" s="2478">
        <f>SUM(AB52:AC52)</f>
        <v>787.6</v>
      </c>
      <c r="AE52" s="2468"/>
      <c r="AG52" s="2367">
        <f t="shared" si="4"/>
        <v>1.0586021505376344</v>
      </c>
      <c r="AH52" s="2367">
        <f t="shared" si="5"/>
        <v>2.2413978494623654</v>
      </c>
      <c r="AI52" s="123" t="str">
        <f t="shared" si="2"/>
        <v>적정함</v>
      </c>
      <c r="AJ52" t="str">
        <f t="shared" si="6"/>
        <v/>
      </c>
      <c r="AK52" t="str">
        <f t="shared" si="7"/>
        <v/>
      </c>
      <c r="AP52" s="123"/>
      <c r="AQ52" s="123"/>
      <c r="AR52" s="123"/>
      <c r="AS52" s="3084"/>
      <c r="AT52" s="123"/>
      <c r="AU52" s="123"/>
      <c r="AV52" s="3092"/>
      <c r="AW52" s="3086"/>
      <c r="AX52" s="3087"/>
      <c r="AY52" s="3088"/>
      <c r="AZ52" s="3089"/>
      <c r="BA52" s="3090"/>
      <c r="BB52" s="1"/>
    </row>
    <row r="53" spans="1:54" ht="29.4" thickTop="1">
      <c r="A53" s="1085"/>
      <c r="B53" s="828" t="s">
        <v>2741</v>
      </c>
      <c r="C53" s="2995"/>
      <c r="D53" s="3037"/>
      <c r="E53" s="1661" t="s">
        <v>2742</v>
      </c>
      <c r="F53" s="828" t="s">
        <v>2743</v>
      </c>
      <c r="G53" s="874" t="s">
        <v>2744</v>
      </c>
      <c r="H53" s="875" t="s">
        <v>2745</v>
      </c>
      <c r="I53" s="1577" t="str">
        <f t="shared" si="14"/>
        <v>5-DaHall1-PDU-13-20-31</v>
      </c>
      <c r="J53" s="1578" t="str">
        <f t="shared" si="22"/>
        <v>5-DaHall1-PDU-14-20-29</v>
      </c>
      <c r="K53" s="1589">
        <v>220</v>
      </c>
      <c r="L53" s="1590">
        <v>20</v>
      </c>
      <c r="M53" s="2399" t="s">
        <v>6542</v>
      </c>
      <c r="N53" s="1581">
        <v>31</v>
      </c>
      <c r="O53" s="1591">
        <v>220</v>
      </c>
      <c r="P53" s="1592">
        <v>20</v>
      </c>
      <c r="Q53" s="2424" t="s">
        <v>6549</v>
      </c>
      <c r="R53" s="1584">
        <v>29</v>
      </c>
      <c r="S53" s="3472" t="s">
        <v>2631</v>
      </c>
      <c r="T53" s="3475" t="s">
        <v>2639</v>
      </c>
      <c r="U53" s="3355" t="s">
        <v>2632</v>
      </c>
      <c r="V53" s="3361" t="s">
        <v>2640</v>
      </c>
      <c r="W53" s="3355" t="s">
        <v>2484</v>
      </c>
      <c r="X53" s="3361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55">
        <f t="shared" si="23"/>
        <v>0</v>
      </c>
      <c r="AB53" s="2741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42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1">
        <f>SUM(AB53:AC53)</f>
        <v>0</v>
      </c>
      <c r="AE53" s="2470" t="s">
        <v>1265</v>
      </c>
      <c r="AG53" s="2367">
        <f t="shared" si="4"/>
        <v>0</v>
      </c>
      <c r="AH53" s="2367">
        <f t="shared" si="5"/>
        <v>0</v>
      </c>
      <c r="AI53" s="123" t="str">
        <f t="shared" si="2"/>
        <v>무부하 랙</v>
      </c>
      <c r="AJ53" t="str">
        <f t="shared" si="6"/>
        <v/>
      </c>
      <c r="AK53" t="str">
        <f t="shared" si="7"/>
        <v/>
      </c>
      <c r="AP53" s="123"/>
      <c r="AQ53" s="123"/>
      <c r="AR53" s="123"/>
      <c r="AS53" s="3084"/>
      <c r="AT53" s="123"/>
      <c r="AU53" s="123"/>
      <c r="AV53" s="3092"/>
      <c r="AW53" s="3086"/>
      <c r="AX53" s="3087"/>
      <c r="AY53" s="3088"/>
      <c r="AZ53" s="3089"/>
      <c r="BA53" s="3090"/>
      <c r="BB53" s="1"/>
    </row>
    <row r="54" spans="1:54" ht="28.8">
      <c r="A54" s="1086"/>
      <c r="B54" s="2712" t="s">
        <v>2746</v>
      </c>
      <c r="C54" s="3008"/>
      <c r="D54" s="3031"/>
      <c r="E54" s="1667" t="s">
        <v>2747</v>
      </c>
      <c r="F54" s="2712" t="s">
        <v>2748</v>
      </c>
      <c r="G54" s="2710" t="s">
        <v>2749</v>
      </c>
      <c r="H54" s="2706" t="s">
        <v>2750</v>
      </c>
      <c r="I54" s="1593" t="str">
        <f t="shared" si="14"/>
        <v>5-DaHall1-PDU-13-30-4</v>
      </c>
      <c r="J54" s="1585" t="str">
        <f t="shared" si="22"/>
        <v>5-DaHall1-PDU-14-20-31</v>
      </c>
      <c r="K54" s="1594">
        <v>220</v>
      </c>
      <c r="L54" s="1595">
        <v>30</v>
      </c>
      <c r="M54" s="2400" t="s">
        <v>6542</v>
      </c>
      <c r="N54" s="1596">
        <v>4</v>
      </c>
      <c r="O54" s="1597">
        <v>220</v>
      </c>
      <c r="P54" s="1587">
        <v>20</v>
      </c>
      <c r="Q54" s="2425" t="s">
        <v>6549</v>
      </c>
      <c r="R54" s="1588">
        <v>31</v>
      </c>
      <c r="S54" s="3473"/>
      <c r="T54" s="3476"/>
      <c r="U54" s="3356"/>
      <c r="V54" s="3365"/>
      <c r="W54" s="3356"/>
      <c r="X54" s="3365"/>
      <c r="Y54" s="834">
        <f>SUM('5층_부하량(월간_AVG)'!N337:P337)</f>
        <v>0</v>
      </c>
      <c r="Z54" s="834">
        <f>SUM('5층_부하량(월간_AVG)'!D410:F410)</f>
        <v>0</v>
      </c>
      <c r="AA54" s="2457">
        <f t="shared" si="23"/>
        <v>0</v>
      </c>
      <c r="AB54" s="2745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46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84">
        <f>SUM(AB54:AC54)</f>
        <v>0</v>
      </c>
      <c r="AE54" s="2472" t="s">
        <v>1265</v>
      </c>
      <c r="AG54" s="2367">
        <f t="shared" si="4"/>
        <v>0</v>
      </c>
      <c r="AH54" s="2367">
        <f t="shared" si="5"/>
        <v>0</v>
      </c>
      <c r="AI54" s="123" t="str">
        <f t="shared" si="2"/>
        <v>무부하 랙</v>
      </c>
      <c r="AJ54" t="str">
        <f t="shared" si="6"/>
        <v/>
      </c>
      <c r="AK54" t="str">
        <f t="shared" si="7"/>
        <v/>
      </c>
      <c r="AP54" s="123"/>
      <c r="AQ54" s="123"/>
      <c r="AR54" s="123"/>
      <c r="AS54" s="3084"/>
      <c r="AT54" s="123"/>
      <c r="AU54" s="123"/>
      <c r="AV54" s="3092"/>
      <c r="AW54" s="3086"/>
      <c r="AX54" s="3087"/>
      <c r="AY54" s="3088"/>
      <c r="AZ54" s="3089"/>
      <c r="BA54" s="3090"/>
      <c r="BB54" s="1"/>
    </row>
    <row r="55" spans="1:54" ht="28.8">
      <c r="A55" s="2652" t="s">
        <v>2751</v>
      </c>
      <c r="B55" s="2653" t="s">
        <v>2752</v>
      </c>
      <c r="C55" s="2993" t="s">
        <v>9229</v>
      </c>
      <c r="D55" s="3035">
        <v>2.2000000000000002</v>
      </c>
      <c r="E55" s="837" t="s">
        <v>2753</v>
      </c>
      <c r="F55" s="250" t="s">
        <v>2754</v>
      </c>
      <c r="G55" s="2665" t="s">
        <v>2755</v>
      </c>
      <c r="H55" s="2666" t="s">
        <v>2756</v>
      </c>
      <c r="I55" s="1598" t="str">
        <f t="shared" si="14"/>
        <v>5-DaHall1-PDU-13-30-6</v>
      </c>
      <c r="J55" s="1599" t="str">
        <f t="shared" si="22"/>
        <v>5-DaHall1-PDU-14-30-4</v>
      </c>
      <c r="K55" s="1561">
        <v>220</v>
      </c>
      <c r="L55" s="1562">
        <v>30</v>
      </c>
      <c r="M55" s="2380" t="s">
        <v>6542</v>
      </c>
      <c r="N55" s="1563">
        <v>6</v>
      </c>
      <c r="O55" s="1564">
        <v>220</v>
      </c>
      <c r="P55" s="1565">
        <v>30</v>
      </c>
      <c r="Q55" s="2410" t="s">
        <v>6549</v>
      </c>
      <c r="R55" s="1566">
        <v>4</v>
      </c>
      <c r="S55" s="3473"/>
      <c r="T55" s="3476"/>
      <c r="U55" s="3356"/>
      <c r="V55" s="3365"/>
      <c r="W55" s="3356"/>
      <c r="X55" s="3365"/>
      <c r="Y55" s="253">
        <f>SUM('5층_부하량(월간_AVG)'!N338:P338)</f>
        <v>5.8668613069485218</v>
      </c>
      <c r="Z55" s="253">
        <f>SUM('5층_부하량(월간_AVG)'!N396:P396)</f>
        <v>7.0445088360016719</v>
      </c>
      <c r="AA55" s="2452">
        <f t="shared" si="23"/>
        <v>12.911370142950194</v>
      </c>
      <c r="AB55" s="2727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917.1</v>
      </c>
      <c r="AC55" s="2728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1085.4000000000001</v>
      </c>
      <c r="AD55" s="2477">
        <f>SUM(AB55:AC55)</f>
        <v>2002.5</v>
      </c>
      <c r="AE55" s="2467"/>
      <c r="AG55" s="2367">
        <f t="shared" si="4"/>
        <v>2.691532258064516</v>
      </c>
      <c r="AH55" s="2367">
        <f t="shared" si="5"/>
        <v>-0.49153225806451584</v>
      </c>
      <c r="AI55" s="123" t="str">
        <f t="shared" si="2"/>
        <v>사용초과</v>
      </c>
      <c r="AJ55" t="str">
        <f t="shared" si="6"/>
        <v>Onse Telink</v>
      </c>
      <c r="AK55" t="str">
        <f t="shared" si="7"/>
        <v>A905</v>
      </c>
      <c r="AP55" s="123"/>
      <c r="AQ55" s="123"/>
      <c r="AR55" s="123"/>
      <c r="AS55" s="3084"/>
      <c r="AT55" s="123"/>
      <c r="AU55" s="123"/>
      <c r="AV55" s="3092"/>
      <c r="AW55" s="3086"/>
      <c r="AX55" s="3087"/>
      <c r="AY55" s="3088"/>
      <c r="AZ55" s="3089"/>
      <c r="BA55" s="3090"/>
      <c r="BB55" s="1"/>
    </row>
    <row r="56" spans="1:54" ht="28.8">
      <c r="A56" s="2652" t="s">
        <v>2757</v>
      </c>
      <c r="B56" s="2653" t="s">
        <v>2758</v>
      </c>
      <c r="C56" s="2993" t="s">
        <v>9229</v>
      </c>
      <c r="D56" s="3035">
        <v>2.2000000000000002</v>
      </c>
      <c r="E56" s="837" t="s">
        <v>2759</v>
      </c>
      <c r="F56" s="250" t="s">
        <v>2760</v>
      </c>
      <c r="G56" s="2665" t="s">
        <v>2761</v>
      </c>
      <c r="H56" s="2666" t="s">
        <v>2762</v>
      </c>
      <c r="I56" s="1598" t="str">
        <f t="shared" si="14"/>
        <v>5-DaHall1-PDU-13-30-8</v>
      </c>
      <c r="J56" s="1599" t="str">
        <f t="shared" si="22"/>
        <v>5-DaHall1-PDU-14-30-6</v>
      </c>
      <c r="K56" s="1561">
        <v>220</v>
      </c>
      <c r="L56" s="1562">
        <v>30</v>
      </c>
      <c r="M56" s="2380" t="s">
        <v>6542</v>
      </c>
      <c r="N56" s="1563">
        <v>8</v>
      </c>
      <c r="O56" s="1564">
        <v>220</v>
      </c>
      <c r="P56" s="1565">
        <v>30</v>
      </c>
      <c r="Q56" s="2410" t="s">
        <v>6549</v>
      </c>
      <c r="R56" s="1566">
        <v>6</v>
      </c>
      <c r="S56" s="3473"/>
      <c r="T56" s="3476"/>
      <c r="U56" s="3356"/>
      <c r="V56" s="3365"/>
      <c r="W56" s="3356"/>
      <c r="X56" s="3365"/>
      <c r="Y56" s="253">
        <f>SUM('5층_부하량(월간_AVG)'!N339:P339)</f>
        <v>4.2208964225579795</v>
      </c>
      <c r="Z56" s="253">
        <f>SUM('5층_부하량(월간_AVG)'!N397:P397)</f>
        <v>2.8224754239615319</v>
      </c>
      <c r="AA56" s="2452">
        <f t="shared" si="23"/>
        <v>7.043371846519511</v>
      </c>
      <c r="AB56" s="2727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613.6</v>
      </c>
      <c r="AC56" s="2728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423.1</v>
      </c>
      <c r="AD56" s="2477">
        <f t="shared" ref="AD56:AD59" si="24">SUM(AB56:AC56)</f>
        <v>1036.7</v>
      </c>
      <c r="AE56" s="2467"/>
      <c r="AG56" s="2367">
        <f t="shared" si="4"/>
        <v>1.3934139784946238</v>
      </c>
      <c r="AH56" s="2367">
        <f t="shared" si="5"/>
        <v>0.80658602150537639</v>
      </c>
      <c r="AI56" s="123" t="str">
        <f t="shared" si="2"/>
        <v>적정함</v>
      </c>
      <c r="AJ56" t="str">
        <f t="shared" si="6"/>
        <v/>
      </c>
      <c r="AK56" t="str">
        <f t="shared" si="7"/>
        <v/>
      </c>
      <c r="AP56" s="123"/>
      <c r="AQ56" s="123"/>
      <c r="AR56" s="123"/>
      <c r="AS56" s="3084"/>
      <c r="AT56" s="123"/>
      <c r="AU56" s="123"/>
      <c r="AV56" s="3092"/>
      <c r="AW56" s="3086"/>
      <c r="AX56" s="3087"/>
      <c r="AY56" s="3088"/>
      <c r="AZ56" s="3089"/>
      <c r="BA56" s="3090"/>
      <c r="BB56" s="1"/>
    </row>
    <row r="57" spans="1:54" ht="28.8">
      <c r="A57" s="2652" t="s">
        <v>2763</v>
      </c>
      <c r="B57" s="2653" t="s">
        <v>2764</v>
      </c>
      <c r="C57" s="2993"/>
      <c r="D57" s="3031"/>
      <c r="E57" s="837" t="s">
        <v>2765</v>
      </c>
      <c r="F57" s="250" t="s">
        <v>2766</v>
      </c>
      <c r="G57" s="2665" t="s">
        <v>2767</v>
      </c>
      <c r="H57" s="2666" t="s">
        <v>2768</v>
      </c>
      <c r="I57" s="1598" t="str">
        <f t="shared" si="14"/>
        <v>5-DaHall1-PDU-13-30-10</v>
      </c>
      <c r="J57" s="1599" t="str">
        <f t="shared" si="22"/>
        <v>5-DaHall1-PDU-14-30-8</v>
      </c>
      <c r="K57" s="1561">
        <v>220</v>
      </c>
      <c r="L57" s="1562">
        <v>30</v>
      </c>
      <c r="M57" s="2380" t="s">
        <v>6542</v>
      </c>
      <c r="N57" s="1563">
        <v>10</v>
      </c>
      <c r="O57" s="1564">
        <v>220</v>
      </c>
      <c r="P57" s="1565">
        <v>30</v>
      </c>
      <c r="Q57" s="2410" t="s">
        <v>6549</v>
      </c>
      <c r="R57" s="1566">
        <v>8</v>
      </c>
      <c r="S57" s="3473"/>
      <c r="T57" s="3476"/>
      <c r="U57" s="3356"/>
      <c r="V57" s="3365"/>
      <c r="W57" s="3356"/>
      <c r="X57" s="3365"/>
      <c r="Y57" s="253">
        <f>SUM('5층_부하량(월간_AVG)'!N340:P340)</f>
        <v>0</v>
      </c>
      <c r="Z57" s="253">
        <f>SUM('5층_부하량(월간_AVG)'!N398:P398)</f>
        <v>0</v>
      </c>
      <c r="AA57" s="2452">
        <f t="shared" si="23"/>
        <v>0</v>
      </c>
      <c r="AB57" s="2727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28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77">
        <f t="shared" si="24"/>
        <v>0</v>
      </c>
      <c r="AE57" s="2467"/>
      <c r="AG57" s="2367">
        <f t="shared" si="4"/>
        <v>0</v>
      </c>
      <c r="AH57" s="2367">
        <f t="shared" si="5"/>
        <v>0</v>
      </c>
      <c r="AI57" s="123" t="str">
        <f t="shared" si="2"/>
        <v>무부하 랙</v>
      </c>
      <c r="AJ57" t="str">
        <f t="shared" si="6"/>
        <v/>
      </c>
      <c r="AK57" t="str">
        <f t="shared" si="7"/>
        <v/>
      </c>
      <c r="AP57" s="123"/>
      <c r="AQ57" s="123"/>
      <c r="AR57" s="123"/>
      <c r="AS57" s="3084"/>
      <c r="AT57" s="123"/>
      <c r="AU57" s="123"/>
      <c r="AV57" s="3092"/>
      <c r="AW57" s="3086"/>
      <c r="AX57" s="3087"/>
      <c r="AY57" s="3088"/>
      <c r="AZ57" s="3089"/>
      <c r="BA57" s="3090"/>
      <c r="BB57" s="1"/>
    </row>
    <row r="58" spans="1:54" ht="28.8">
      <c r="A58" s="2652" t="s">
        <v>2769</v>
      </c>
      <c r="B58" s="2653" t="s">
        <v>2770</v>
      </c>
      <c r="C58" s="2993"/>
      <c r="D58" s="3031"/>
      <c r="E58" s="837" t="s">
        <v>2209</v>
      </c>
      <c r="F58" s="250" t="s">
        <v>2210</v>
      </c>
      <c r="G58" s="2665" t="s">
        <v>2771</v>
      </c>
      <c r="H58" s="2666" t="s">
        <v>2772</v>
      </c>
      <c r="I58" s="1598" t="str">
        <f t="shared" si="14"/>
        <v>5-DaHall1-PDU-13-20-12</v>
      </c>
      <c r="J58" s="1599" t="str">
        <f t="shared" si="22"/>
        <v>5-DaHall1-PDU-14-30-10</v>
      </c>
      <c r="K58" s="1561">
        <v>220</v>
      </c>
      <c r="L58" s="1562">
        <v>20</v>
      </c>
      <c r="M58" s="2380" t="s">
        <v>6542</v>
      </c>
      <c r="N58" s="1563">
        <v>12</v>
      </c>
      <c r="O58" s="1564">
        <v>220</v>
      </c>
      <c r="P58" s="1565">
        <v>30</v>
      </c>
      <c r="Q58" s="2410" t="s">
        <v>6549</v>
      </c>
      <c r="R58" s="1566">
        <v>10</v>
      </c>
      <c r="S58" s="3473"/>
      <c r="T58" s="3476"/>
      <c r="U58" s="3356"/>
      <c r="V58" s="3365"/>
      <c r="W58" s="3356"/>
      <c r="X58" s="3365"/>
      <c r="Y58" s="253">
        <f>SUM('5층_부하량(월간_AVG)'!N341:P341)</f>
        <v>0</v>
      </c>
      <c r="Z58" s="253">
        <f>SUM('5층_부하량(월간_AVG)'!N399:P399)</f>
        <v>0</v>
      </c>
      <c r="AA58" s="2452">
        <f t="shared" si="23"/>
        <v>0</v>
      </c>
      <c r="AB58" s="2727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28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77">
        <f t="shared" si="24"/>
        <v>0</v>
      </c>
      <c r="AE58" s="2467"/>
      <c r="AG58" s="2367">
        <f t="shared" si="4"/>
        <v>0</v>
      </c>
      <c r="AH58" s="2367">
        <f t="shared" si="5"/>
        <v>0</v>
      </c>
      <c r="AI58" s="123" t="str">
        <f t="shared" si="2"/>
        <v>무부하 랙</v>
      </c>
      <c r="AJ58" t="str">
        <f t="shared" si="6"/>
        <v/>
      </c>
      <c r="AK58" t="str">
        <f t="shared" si="7"/>
        <v/>
      </c>
      <c r="AP58" s="123"/>
      <c r="AQ58" s="123"/>
      <c r="AR58" s="123"/>
      <c r="AS58" s="3084"/>
      <c r="AT58" s="123"/>
      <c r="AU58" s="123"/>
      <c r="AV58" s="3092"/>
      <c r="AW58" s="3086"/>
      <c r="AX58" s="3087"/>
      <c r="AY58" s="3088"/>
      <c r="AZ58" s="3089"/>
      <c r="BA58" s="3090"/>
      <c r="BB58" s="1"/>
    </row>
    <row r="59" spans="1:54" ht="28.8">
      <c r="A59" s="2652" t="s">
        <v>2773</v>
      </c>
      <c r="B59" s="2653" t="s">
        <v>2774</v>
      </c>
      <c r="C59" s="3009"/>
      <c r="D59" s="3031"/>
      <c r="E59" s="837" t="s">
        <v>2215</v>
      </c>
      <c r="F59" s="250" t="s">
        <v>2216</v>
      </c>
      <c r="G59" s="2665" t="s">
        <v>2775</v>
      </c>
      <c r="H59" s="2666" t="s">
        <v>2776</v>
      </c>
      <c r="I59" s="1598" t="str">
        <f t="shared" si="14"/>
        <v>5-DaHall1-PDU-13-20-14</v>
      </c>
      <c r="J59" s="1599" t="str">
        <f t="shared" si="22"/>
        <v>5-DaHall1-PDU-14-20-12</v>
      </c>
      <c r="K59" s="1561">
        <v>220</v>
      </c>
      <c r="L59" s="1562">
        <v>20</v>
      </c>
      <c r="M59" s="2380" t="s">
        <v>6542</v>
      </c>
      <c r="N59" s="1563">
        <v>14</v>
      </c>
      <c r="O59" s="1564">
        <v>220</v>
      </c>
      <c r="P59" s="1565">
        <v>20</v>
      </c>
      <c r="Q59" s="2410" t="s">
        <v>6549</v>
      </c>
      <c r="R59" s="1566">
        <v>12</v>
      </c>
      <c r="S59" s="3473"/>
      <c r="T59" s="3476"/>
      <c r="U59" s="3356"/>
      <c r="V59" s="3365"/>
      <c r="W59" s="3356"/>
      <c r="X59" s="3365"/>
      <c r="Y59" s="253">
        <f>SUM('5층_부하량(월간_AVG)'!N342:P342)</f>
        <v>0</v>
      </c>
      <c r="Z59" s="253">
        <f>SUM('5층_부하량(월간_AVG)'!N400:P400)</f>
        <v>0</v>
      </c>
      <c r="AA59" s="2452">
        <f t="shared" si="23"/>
        <v>0</v>
      </c>
      <c r="AB59" s="2727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28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77">
        <f t="shared" si="24"/>
        <v>0</v>
      </c>
      <c r="AE59" s="2467"/>
      <c r="AG59" s="2367">
        <f t="shared" si="4"/>
        <v>0</v>
      </c>
      <c r="AH59" s="2367">
        <f t="shared" si="5"/>
        <v>0</v>
      </c>
      <c r="AI59" s="123" t="str">
        <f t="shared" si="2"/>
        <v>무부하 랙</v>
      </c>
      <c r="AJ59" t="str">
        <f t="shared" si="6"/>
        <v/>
      </c>
      <c r="AK59" t="str">
        <f t="shared" si="7"/>
        <v/>
      </c>
      <c r="AP59" s="123"/>
      <c r="AQ59" s="123"/>
      <c r="AR59" s="123"/>
      <c r="AS59" s="3084"/>
      <c r="AT59" s="123"/>
      <c r="AU59" s="123"/>
      <c r="AV59" s="3092"/>
      <c r="AW59" s="3086"/>
      <c r="AX59" s="3087"/>
      <c r="AY59" s="3088"/>
      <c r="AZ59" s="3089"/>
      <c r="BA59" s="3090"/>
      <c r="BB59" s="1"/>
    </row>
    <row r="60" spans="1:54" ht="28.8">
      <c r="A60" s="3330" t="s">
        <v>2777</v>
      </c>
      <c r="B60" s="3360" t="s">
        <v>2778</v>
      </c>
      <c r="C60" s="3450" t="s">
        <v>9219</v>
      </c>
      <c r="D60" s="3442">
        <v>2.2000000000000002</v>
      </c>
      <c r="E60" s="837" t="s">
        <v>2779</v>
      </c>
      <c r="F60" s="250" t="s">
        <v>2780</v>
      </c>
      <c r="G60" s="2665" t="s">
        <v>2781</v>
      </c>
      <c r="H60" s="2666" t="s">
        <v>2782</v>
      </c>
      <c r="I60" s="1598" t="str">
        <f t="shared" si="14"/>
        <v>5-DaHall1-PDU-13-20-16</v>
      </c>
      <c r="J60" s="1599" t="str">
        <f t="shared" si="22"/>
        <v>5-DaHall1-PDU-14-20-14</v>
      </c>
      <c r="K60" s="1561">
        <v>220</v>
      </c>
      <c r="L60" s="1562">
        <v>20</v>
      </c>
      <c r="M60" s="2380" t="s">
        <v>6542</v>
      </c>
      <c r="N60" s="1563">
        <v>16</v>
      </c>
      <c r="O60" s="1564">
        <v>220</v>
      </c>
      <c r="P60" s="1565">
        <v>20</v>
      </c>
      <c r="Q60" s="2410" t="s">
        <v>6549</v>
      </c>
      <c r="R60" s="1566">
        <v>14</v>
      </c>
      <c r="S60" s="3473"/>
      <c r="T60" s="3476"/>
      <c r="U60" s="3356"/>
      <c r="V60" s="3365"/>
      <c r="W60" s="3356"/>
      <c r="X60" s="3365"/>
      <c r="Y60" s="253">
        <f>SUM('5층_부하량(월간_AVG)'!N343:P343)</f>
        <v>3.8733638276157527</v>
      </c>
      <c r="Z60" s="253">
        <f>SUM('5층_부하량(월간_AVG)'!N401:P401)</f>
        <v>3.1990759941005922</v>
      </c>
      <c r="AA60" s="3396">
        <f>SUM(Y60:Z61)</f>
        <v>10.57199423416052</v>
      </c>
      <c r="AB60" s="2731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631.20000000000005</v>
      </c>
      <c r="AC60" s="2732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519.29999999999995</v>
      </c>
      <c r="AD60" s="3533">
        <f>SUM(AB60:AC61)</f>
        <v>1718.1</v>
      </c>
      <c r="AE60" s="2467"/>
      <c r="AG60" s="2367">
        <f t="shared" si="4"/>
        <v>2.3092741935483869</v>
      </c>
      <c r="AH60" s="2367">
        <f t="shared" si="5"/>
        <v>-0.10927419354838674</v>
      </c>
      <c r="AI60" s="123" t="str">
        <f t="shared" si="2"/>
        <v>사용초과</v>
      </c>
      <c r="AJ60" t="str">
        <f t="shared" si="6"/>
        <v>PCCW Global Korea Limited</v>
      </c>
      <c r="AK60" t="str">
        <f t="shared" si="7"/>
        <v>A910</v>
      </c>
      <c r="AP60" s="123"/>
      <c r="AQ60" s="123"/>
      <c r="AR60" s="123"/>
      <c r="AS60" s="3084"/>
      <c r="AT60" s="123"/>
      <c r="AU60" s="123"/>
      <c r="AV60" s="3092"/>
      <c r="AW60" s="3086"/>
      <c r="AX60" s="3087"/>
      <c r="AY60" s="3088"/>
      <c r="AZ60" s="3089"/>
      <c r="BA60" s="3090"/>
      <c r="BB60" s="1"/>
    </row>
    <row r="61" spans="1:54" ht="58.2" thickBot="1">
      <c r="A61" s="3333"/>
      <c r="B61" s="3447"/>
      <c r="C61" s="3451"/>
      <c r="D61" s="3443"/>
      <c r="E61" s="838" t="s">
        <v>2783</v>
      </c>
      <c r="F61" s="2661" t="s">
        <v>2784</v>
      </c>
      <c r="G61" s="2675" t="s">
        <v>2785</v>
      </c>
      <c r="H61" s="2676" t="s">
        <v>2786</v>
      </c>
      <c r="I61" s="1600" t="str">
        <f t="shared" si="14"/>
        <v>5-DaHall1-PDU-11-20-24</v>
      </c>
      <c r="J61" s="1601" t="str">
        <f t="shared" si="22"/>
        <v>5-DaHall1-PDU-12-20-24</v>
      </c>
      <c r="K61" s="1571">
        <v>220</v>
      </c>
      <c r="L61" s="1572">
        <v>20</v>
      </c>
      <c r="M61" s="2381" t="s">
        <v>6541</v>
      </c>
      <c r="N61" s="1573">
        <v>24</v>
      </c>
      <c r="O61" s="1574">
        <v>220</v>
      </c>
      <c r="P61" s="1575">
        <v>20</v>
      </c>
      <c r="Q61" s="2411" t="s">
        <v>6548</v>
      </c>
      <c r="R61" s="1576">
        <v>24</v>
      </c>
      <c r="S61" s="872" t="s">
        <v>2480</v>
      </c>
      <c r="T61" s="2676" t="s">
        <v>2481</v>
      </c>
      <c r="U61" s="2643" t="s">
        <v>2482</v>
      </c>
      <c r="V61" s="2637" t="s">
        <v>2483</v>
      </c>
      <c r="W61" s="3357"/>
      <c r="X61" s="3371"/>
      <c r="Y61" s="329">
        <f>'5층_부하량(월간_AVG)'!O327</f>
        <v>0</v>
      </c>
      <c r="Z61" s="329">
        <f>'5층_부하량(월간_AVG)'!O386</f>
        <v>3.4995544124441751</v>
      </c>
      <c r="AA61" s="3497"/>
      <c r="AB61" s="2747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48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567.6</v>
      </c>
      <c r="AD61" s="3543"/>
      <c r="AE61" s="2468"/>
      <c r="AG61" s="2367">
        <f t="shared" si="4"/>
        <v>0</v>
      </c>
      <c r="AH61" s="2367">
        <f t="shared" si="5"/>
        <v>0</v>
      </c>
      <c r="AI61" s="123" t="str">
        <f t="shared" si="2"/>
        <v>무부하 랙</v>
      </c>
      <c r="AJ61" t="str">
        <f t="shared" si="6"/>
        <v/>
      </c>
      <c r="AK61" t="str">
        <f t="shared" si="7"/>
        <v/>
      </c>
      <c r="AP61" s="123"/>
      <c r="AQ61" s="123"/>
      <c r="AR61" s="123"/>
      <c r="AS61" s="3084"/>
      <c r="AT61" s="123"/>
      <c r="AU61" s="123"/>
      <c r="AV61" s="3092"/>
      <c r="AW61" s="3086"/>
      <c r="AX61" s="3087"/>
      <c r="AY61" s="3088"/>
      <c r="AZ61" s="3089"/>
      <c r="BA61" s="3090"/>
      <c r="BB61" s="1"/>
    </row>
    <row r="62" spans="1:54" ht="27" customHeight="1" thickTop="1">
      <c r="A62" s="1086"/>
      <c r="B62" s="2712" t="s">
        <v>2787</v>
      </c>
      <c r="C62" s="886"/>
      <c r="D62" s="3038"/>
      <c r="E62" s="2712" t="s">
        <v>2788</v>
      </c>
      <c r="F62" s="2712" t="s">
        <v>2789</v>
      </c>
      <c r="G62" s="2710" t="s">
        <v>2790</v>
      </c>
      <c r="H62" s="2706" t="s">
        <v>2791</v>
      </c>
      <c r="I62" s="1593" t="str">
        <f t="shared" si="14"/>
        <v>5-DaHall1-PDU-13-20-22</v>
      </c>
      <c r="J62" s="1585" t="str">
        <f t="shared" si="22"/>
        <v>5-DaHall1-PDU-14-20-20</v>
      </c>
      <c r="K62" s="1594">
        <v>220</v>
      </c>
      <c r="L62" s="1595">
        <v>20</v>
      </c>
      <c r="M62" s="2400" t="s">
        <v>6542</v>
      </c>
      <c r="N62" s="1596">
        <v>22</v>
      </c>
      <c r="O62" s="1597">
        <v>220</v>
      </c>
      <c r="P62" s="1587">
        <v>20</v>
      </c>
      <c r="Q62" s="2425" t="s">
        <v>6549</v>
      </c>
      <c r="R62" s="1588">
        <v>20</v>
      </c>
      <c r="S62" s="3546"/>
      <c r="T62" s="3502"/>
      <c r="U62" s="3343"/>
      <c r="V62" s="3340"/>
      <c r="W62" s="3343"/>
      <c r="X62" s="3340"/>
      <c r="Y62" s="834">
        <f>SUM('5층_부하량(월간_AVG)'!N346:P346)</f>
        <v>0</v>
      </c>
      <c r="Z62" s="834">
        <f>SUM('5층_부하량(월간_AVG)'!N404:P404)</f>
        <v>0</v>
      </c>
      <c r="AA62" s="2457">
        <f t="shared" ref="AA62:AA81" si="25">SUM(Y62:Z62)</f>
        <v>0</v>
      </c>
      <c r="AB62" s="2745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46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1">
        <f>SUM(AB62:AC62)</f>
        <v>0</v>
      </c>
      <c r="AE62" s="2472" t="s">
        <v>1265</v>
      </c>
      <c r="AG62" s="2367">
        <f t="shared" si="4"/>
        <v>0</v>
      </c>
      <c r="AH62" s="2367">
        <f t="shared" si="5"/>
        <v>0</v>
      </c>
      <c r="AI62" s="123" t="str">
        <f t="shared" si="2"/>
        <v>무부하 랙</v>
      </c>
      <c r="AJ62" t="str">
        <f t="shared" si="6"/>
        <v/>
      </c>
      <c r="AK62" t="str">
        <f t="shared" si="7"/>
        <v/>
      </c>
      <c r="AP62" s="123"/>
      <c r="AQ62" s="123"/>
      <c r="AR62" s="123"/>
      <c r="AS62" s="3084"/>
      <c r="AT62" s="123"/>
      <c r="AU62" s="123"/>
      <c r="AV62" s="3092"/>
      <c r="AW62" s="3086"/>
      <c r="AX62" s="3087"/>
      <c r="AY62" s="3088"/>
      <c r="AZ62" s="3089"/>
      <c r="BA62" s="3090"/>
      <c r="BB62" s="1"/>
    </row>
    <row r="63" spans="1:54" ht="28.8">
      <c r="A63" s="1086"/>
      <c r="B63" s="2712" t="s">
        <v>2792</v>
      </c>
      <c r="C63" s="886"/>
      <c r="D63" s="3031"/>
      <c r="E63" s="2712" t="s">
        <v>2793</v>
      </c>
      <c r="F63" s="2712" t="s">
        <v>2794</v>
      </c>
      <c r="G63" s="2710" t="s">
        <v>2795</v>
      </c>
      <c r="H63" s="2706" t="s">
        <v>2796</v>
      </c>
      <c r="I63" s="1593" t="str">
        <f t="shared" si="14"/>
        <v>5-DaHall1-PDU-13-20-24</v>
      </c>
      <c r="J63" s="1585" t="str">
        <f t="shared" si="22"/>
        <v>5-DaHall1-PDU-14-20-22</v>
      </c>
      <c r="K63" s="1594">
        <v>220</v>
      </c>
      <c r="L63" s="1595">
        <v>20</v>
      </c>
      <c r="M63" s="2400" t="s">
        <v>6542</v>
      </c>
      <c r="N63" s="1596">
        <v>24</v>
      </c>
      <c r="O63" s="1597">
        <v>220</v>
      </c>
      <c r="P63" s="1587">
        <v>20</v>
      </c>
      <c r="Q63" s="2425" t="s">
        <v>6549</v>
      </c>
      <c r="R63" s="1588">
        <v>22</v>
      </c>
      <c r="S63" s="3546"/>
      <c r="T63" s="3502"/>
      <c r="U63" s="3343"/>
      <c r="V63" s="3340"/>
      <c r="W63" s="3343"/>
      <c r="X63" s="3340"/>
      <c r="Y63" s="834">
        <f>SUM('5층_부하량(월간_AVG)'!N347:P347)</f>
        <v>0</v>
      </c>
      <c r="Z63" s="834">
        <f>SUM('5층_부하량(월간_AVG)'!N405:P405)</f>
        <v>0</v>
      </c>
      <c r="AA63" s="2457">
        <f t="shared" si="25"/>
        <v>0</v>
      </c>
      <c r="AB63" s="2745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46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84">
        <f>SUM(AB63:AC63)</f>
        <v>0</v>
      </c>
      <c r="AE63" s="2472" t="s">
        <v>1265</v>
      </c>
      <c r="AG63" s="2367">
        <f t="shared" si="4"/>
        <v>0</v>
      </c>
      <c r="AH63" s="2367">
        <f t="shared" si="5"/>
        <v>0</v>
      </c>
      <c r="AI63" s="123" t="str">
        <f t="shared" si="2"/>
        <v>무부하 랙</v>
      </c>
      <c r="AJ63" t="str">
        <f t="shared" si="6"/>
        <v/>
      </c>
      <c r="AK63" t="str">
        <f t="shared" si="7"/>
        <v/>
      </c>
      <c r="AP63" s="123"/>
      <c r="AQ63" s="123"/>
      <c r="AR63" s="123"/>
      <c r="AS63" s="3084"/>
      <c r="AT63" s="123"/>
      <c r="AU63" s="123"/>
      <c r="AV63" s="3092"/>
      <c r="AW63" s="3086"/>
      <c r="AX63" s="3087"/>
      <c r="AY63" s="3088"/>
      <c r="AZ63" s="3089"/>
      <c r="BA63" s="3090"/>
      <c r="BB63" s="1"/>
    </row>
    <row r="64" spans="1:54" ht="28.8">
      <c r="A64" s="2652" t="s">
        <v>2797</v>
      </c>
      <c r="B64" s="2653" t="s">
        <v>2798</v>
      </c>
      <c r="C64" s="2993" t="s">
        <v>9229</v>
      </c>
      <c r="D64" s="3035">
        <v>2.2000000000000002</v>
      </c>
      <c r="E64" s="837" t="s">
        <v>2799</v>
      </c>
      <c r="F64" s="250" t="s">
        <v>2800</v>
      </c>
      <c r="G64" s="2665" t="s">
        <v>2801</v>
      </c>
      <c r="H64" s="2666" t="s">
        <v>2802</v>
      </c>
      <c r="I64" s="1598" t="str">
        <f t="shared" si="14"/>
        <v>5-DaHall1-PDU-13-20-26</v>
      </c>
      <c r="J64" s="1599" t="str">
        <f t="shared" si="22"/>
        <v>5-DaHall1-PDU-14-20-24</v>
      </c>
      <c r="K64" s="1561">
        <v>220</v>
      </c>
      <c r="L64" s="1562">
        <v>20</v>
      </c>
      <c r="M64" s="2380" t="s">
        <v>6542</v>
      </c>
      <c r="N64" s="1563">
        <v>26</v>
      </c>
      <c r="O64" s="1564">
        <v>220</v>
      </c>
      <c r="P64" s="1565">
        <v>20</v>
      </c>
      <c r="Q64" s="2410" t="s">
        <v>6549</v>
      </c>
      <c r="R64" s="1566">
        <v>24</v>
      </c>
      <c r="S64" s="3546"/>
      <c r="T64" s="3502"/>
      <c r="U64" s="3343"/>
      <c r="V64" s="3340"/>
      <c r="W64" s="3343"/>
      <c r="X64" s="3340"/>
      <c r="Y64" s="253">
        <f>SUM('5층_부하량(월간_AVG)'!N348:P348)</f>
        <v>1.8849469581063609</v>
      </c>
      <c r="Z64" s="253">
        <f>SUM('5층_부하량(월간_AVG)'!N406:P406)</f>
        <v>5.0104622791925397</v>
      </c>
      <c r="AA64" s="2452">
        <f t="shared" si="25"/>
        <v>6.8954092372989004</v>
      </c>
      <c r="AB64" s="2727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271.7</v>
      </c>
      <c r="AC64" s="2728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751.2</v>
      </c>
      <c r="AD64" s="2477">
        <f>SUM(AB64:AC64)</f>
        <v>1022.9000000000001</v>
      </c>
      <c r="AE64" s="2467"/>
      <c r="AG64" s="2367">
        <f t="shared" si="4"/>
        <v>1.3748655913978496</v>
      </c>
      <c r="AH64" s="2367">
        <f t="shared" si="5"/>
        <v>0.82513440860215059</v>
      </c>
      <c r="AI64" s="123" t="str">
        <f t="shared" si="2"/>
        <v>적정함</v>
      </c>
      <c r="AJ64" t="str">
        <f t="shared" si="6"/>
        <v/>
      </c>
      <c r="AK64" t="str">
        <f t="shared" si="7"/>
        <v/>
      </c>
      <c r="AP64" s="123"/>
      <c r="AQ64" s="123"/>
      <c r="AR64" s="123"/>
      <c r="AS64" s="3084"/>
      <c r="AT64" s="123"/>
      <c r="AU64" s="123"/>
      <c r="AV64" s="3092"/>
      <c r="AW64" s="3086"/>
      <c r="AX64" s="3087"/>
      <c r="AY64" s="3088"/>
      <c r="AZ64" s="3089"/>
      <c r="BA64" s="3090"/>
      <c r="BB64" s="1"/>
    </row>
    <row r="65" spans="1:54">
      <c r="A65" s="3330" t="s">
        <v>2803</v>
      </c>
      <c r="B65" s="3348" t="s">
        <v>2804</v>
      </c>
      <c r="C65" s="3452" t="s">
        <v>9230</v>
      </c>
      <c r="D65" s="3442">
        <v>6.6</v>
      </c>
      <c r="E65" s="837"/>
      <c r="F65" s="250"/>
      <c r="G65" s="2665"/>
      <c r="H65" s="2666"/>
      <c r="I65" s="1598" t="str">
        <f t="shared" si="14"/>
        <v>5-DaHall1-PDU-15-30-10</v>
      </c>
      <c r="J65" s="1599" t="str">
        <f t="shared" si="22"/>
        <v>5-DaHall1-PDU-16-30-10</v>
      </c>
      <c r="K65" s="1561"/>
      <c r="L65" s="1562">
        <v>30</v>
      </c>
      <c r="M65" s="2380" t="s">
        <v>6543</v>
      </c>
      <c r="N65" s="1563">
        <v>10</v>
      </c>
      <c r="O65" s="1564"/>
      <c r="P65" s="1565">
        <v>30</v>
      </c>
      <c r="Q65" s="2410" t="s">
        <v>6550</v>
      </c>
      <c r="R65" s="1566">
        <v>10</v>
      </c>
      <c r="S65" s="3546"/>
      <c r="T65" s="3502"/>
      <c r="U65" s="3343"/>
      <c r="V65" s="3340"/>
      <c r="W65" s="3343"/>
      <c r="X65" s="3340"/>
      <c r="Y65" s="253">
        <f>SUM('5층_부하량(월간_AVG)'!N360:P360)</f>
        <v>6.7613670116082689</v>
      </c>
      <c r="Z65" s="253">
        <f>SUM('5층_부하량(월간_AVG)'!N419:P419)</f>
        <v>1.0000470511057806</v>
      </c>
      <c r="AA65" s="2452">
        <f t="shared" si="25"/>
        <v>7.7614140627140493</v>
      </c>
      <c r="AB65" s="2727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28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27</v>
      </c>
      <c r="AD65" s="3533">
        <f>SUM(AB65:AC66)</f>
        <v>1129.8</v>
      </c>
      <c r="AE65" s="2467"/>
      <c r="AG65" s="2367">
        <f t="shared" si="4"/>
        <v>1.5185483870967742</v>
      </c>
      <c r="AH65" s="2367">
        <f t="shared" si="5"/>
        <v>5.0814516129032254</v>
      </c>
      <c r="AI65" s="123" t="str">
        <f t="shared" si="2"/>
        <v>적정함</v>
      </c>
      <c r="AJ65" t="str">
        <f t="shared" si="6"/>
        <v/>
      </c>
      <c r="AK65" t="str">
        <f t="shared" si="7"/>
        <v/>
      </c>
      <c r="AP65" s="123"/>
      <c r="AQ65" s="123"/>
      <c r="AR65" s="123"/>
      <c r="AS65" s="3084"/>
      <c r="AT65" s="123"/>
      <c r="AU65" s="123"/>
      <c r="AV65" s="3092"/>
      <c r="AW65" s="3086"/>
      <c r="AX65" s="3087"/>
      <c r="AY65" s="3088"/>
      <c r="AZ65" s="3089"/>
      <c r="BA65" s="3090"/>
      <c r="BB65" s="1"/>
    </row>
    <row r="66" spans="1:54" ht="28.8">
      <c r="A66" s="3332"/>
      <c r="B66" s="3349"/>
      <c r="C66" s="3450"/>
      <c r="D66" s="3444"/>
      <c r="E66" s="837" t="s">
        <v>2805</v>
      </c>
      <c r="F66" s="250" t="s">
        <v>2806</v>
      </c>
      <c r="G66" s="2665" t="s">
        <v>2807</v>
      </c>
      <c r="H66" s="2666" t="s">
        <v>2808</v>
      </c>
      <c r="I66" s="1598" t="str">
        <f t="shared" si="14"/>
        <v>5-DaHall1-PDU-13-20-28</v>
      </c>
      <c r="J66" s="1599" t="str">
        <f t="shared" si="22"/>
        <v>5-DaHall1-PDU-14-20-26</v>
      </c>
      <c r="K66" s="1561">
        <v>220</v>
      </c>
      <c r="L66" s="1562">
        <v>20</v>
      </c>
      <c r="M66" s="2380" t="s">
        <v>6542</v>
      </c>
      <c r="N66" s="1563">
        <v>28</v>
      </c>
      <c r="O66" s="1564">
        <v>220</v>
      </c>
      <c r="P66" s="1565">
        <v>20</v>
      </c>
      <c r="Q66" s="2410" t="s">
        <v>6549</v>
      </c>
      <c r="R66" s="1566">
        <v>26</v>
      </c>
      <c r="S66" s="3546"/>
      <c r="T66" s="3502"/>
      <c r="U66" s="3343"/>
      <c r="V66" s="3340"/>
      <c r="W66" s="3343"/>
      <c r="X66" s="3340"/>
      <c r="Y66" s="253">
        <f>SUM('5층_부하량(월간_AVG)'!N349:P349)</f>
        <v>0</v>
      </c>
      <c r="Z66" s="253">
        <f>SUM('5층_부하량(월간_AVG)'!N407:P407)</f>
        <v>0</v>
      </c>
      <c r="AA66" s="2452">
        <f t="shared" si="25"/>
        <v>0</v>
      </c>
      <c r="AB66" s="2727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28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534"/>
      <c r="AE66" s="2518" t="s">
        <v>2809</v>
      </c>
      <c r="AG66" s="2367">
        <f t="shared" si="4"/>
        <v>0</v>
      </c>
      <c r="AH66" s="2367">
        <f t="shared" si="5"/>
        <v>0</v>
      </c>
      <c r="AI66" s="123" t="str">
        <f t="shared" si="2"/>
        <v>무부하 랙</v>
      </c>
      <c r="AJ66" t="str">
        <f t="shared" si="6"/>
        <v/>
      </c>
      <c r="AK66" t="str">
        <f t="shared" si="7"/>
        <v/>
      </c>
      <c r="AP66" s="123"/>
      <c r="AQ66" s="123"/>
      <c r="AR66" s="123"/>
      <c r="AS66" s="3084"/>
      <c r="AT66" s="123"/>
      <c r="AU66" s="123"/>
      <c r="AV66" s="3092"/>
      <c r="AW66" s="3086"/>
      <c r="AX66" s="3087"/>
      <c r="AY66" s="3088"/>
      <c r="AZ66" s="3089"/>
      <c r="BA66" s="3090"/>
      <c r="BB66" s="1"/>
    </row>
    <row r="67" spans="1:54">
      <c r="A67" s="3330" t="s">
        <v>2810</v>
      </c>
      <c r="B67" s="3348" t="s">
        <v>2811</v>
      </c>
      <c r="C67" s="3452" t="s">
        <v>9231</v>
      </c>
      <c r="D67" s="3442">
        <v>6</v>
      </c>
      <c r="E67" s="837"/>
      <c r="F67" s="250"/>
      <c r="G67" s="2665"/>
      <c r="H67" s="2666"/>
      <c r="I67" s="1598" t="str">
        <f t="shared" si="14"/>
        <v>5-DaHall1-PDU-15-30-8</v>
      </c>
      <c r="J67" s="1599" t="str">
        <f t="shared" si="22"/>
        <v>5-DaHall1-PDU-16-30-8</v>
      </c>
      <c r="K67" s="1561"/>
      <c r="L67" s="1562">
        <v>30</v>
      </c>
      <c r="M67" s="2380" t="s">
        <v>6543</v>
      </c>
      <c r="N67" s="1563">
        <v>8</v>
      </c>
      <c r="O67" s="1564"/>
      <c r="P67" s="1565">
        <v>30</v>
      </c>
      <c r="Q67" s="2410" t="s">
        <v>6550</v>
      </c>
      <c r="R67" s="1566">
        <v>8</v>
      </c>
      <c r="S67" s="3546"/>
      <c r="T67" s="3502"/>
      <c r="U67" s="3343"/>
      <c r="V67" s="3340"/>
      <c r="W67" s="3343"/>
      <c r="X67" s="3340"/>
      <c r="Y67" s="253">
        <f>SUM('5층_부하량(월간_AVG)'!N359:P359)</f>
        <v>4.3129488974883001</v>
      </c>
      <c r="Z67" s="253">
        <f>SUM('5층_부하량(월간_AVG)'!N418:P418)</f>
        <v>4.875508700004203</v>
      </c>
      <c r="AA67" s="2452">
        <f t="shared" si="25"/>
        <v>9.1884575974925031</v>
      </c>
      <c r="AB67" s="2727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28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704.7</v>
      </c>
      <c r="AD67" s="3533">
        <f>SUM(AB67:AC68)</f>
        <v>1324.7</v>
      </c>
      <c r="AE67" s="2518"/>
      <c r="AG67" s="2367">
        <f t="shared" si="4"/>
        <v>1.780510752688172</v>
      </c>
      <c r="AH67" s="2367">
        <f t="shared" si="5"/>
        <v>4.2194892473118282</v>
      </c>
      <c r="AI67" s="123" t="str">
        <f t="shared" si="2"/>
        <v>적정함</v>
      </c>
      <c r="AJ67" t="str">
        <f t="shared" si="6"/>
        <v/>
      </c>
      <c r="AK67" t="str">
        <f t="shared" si="7"/>
        <v/>
      </c>
      <c r="AP67" s="123"/>
      <c r="AQ67" s="123"/>
      <c r="AR67" s="123"/>
      <c r="AS67" s="3084"/>
      <c r="AT67" s="123"/>
      <c r="AU67" s="123"/>
      <c r="AV67" s="3092"/>
      <c r="AW67" s="3086"/>
      <c r="AX67" s="3087"/>
      <c r="AY67" s="3088"/>
      <c r="AZ67" s="3089"/>
      <c r="BA67" s="3090"/>
      <c r="BB67" s="1"/>
    </row>
    <row r="68" spans="1:54" ht="28.8">
      <c r="A68" s="3332"/>
      <c r="B68" s="3349"/>
      <c r="C68" s="3450"/>
      <c r="D68" s="3444"/>
      <c r="E68" s="837" t="s">
        <v>2812</v>
      </c>
      <c r="F68" s="250" t="s">
        <v>2813</v>
      </c>
      <c r="G68" s="2665" t="s">
        <v>2814</v>
      </c>
      <c r="H68" s="2666" t="s">
        <v>2815</v>
      </c>
      <c r="I68" s="1598" t="str">
        <f t="shared" si="14"/>
        <v>5-DaHall1-PDU-13-20-30</v>
      </c>
      <c r="J68" s="1599" t="str">
        <f t="shared" si="22"/>
        <v>5-DaHall1-PDU-14-20-28</v>
      </c>
      <c r="K68" s="1561">
        <v>220</v>
      </c>
      <c r="L68" s="1562">
        <v>20</v>
      </c>
      <c r="M68" s="2380" t="s">
        <v>6542</v>
      </c>
      <c r="N68" s="1563">
        <v>30</v>
      </c>
      <c r="O68" s="1564">
        <v>220</v>
      </c>
      <c r="P68" s="1565">
        <v>20</v>
      </c>
      <c r="Q68" s="2410" t="s">
        <v>6549</v>
      </c>
      <c r="R68" s="1566">
        <v>28</v>
      </c>
      <c r="S68" s="3546"/>
      <c r="T68" s="3502"/>
      <c r="U68" s="3343"/>
      <c r="V68" s="3340"/>
      <c r="W68" s="3343"/>
      <c r="X68" s="3340"/>
      <c r="Y68" s="253">
        <f>SUM('5층_부하량(월간_AVG)'!N350:P350)</f>
        <v>0</v>
      </c>
      <c r="Z68" s="253">
        <f>SUM('5층_부하량(월간_AVG)'!N408:P408)</f>
        <v>0</v>
      </c>
      <c r="AA68" s="2452">
        <f t="shared" si="25"/>
        <v>0</v>
      </c>
      <c r="AB68" s="2727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28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534"/>
      <c r="AE68" s="2467"/>
      <c r="AG68" s="2367">
        <f t="shared" si="4"/>
        <v>0</v>
      </c>
      <c r="AH68" s="2367">
        <f t="shared" si="5"/>
        <v>0</v>
      </c>
      <c r="AI68" s="123" t="str">
        <f t="shared" si="2"/>
        <v>무부하 랙</v>
      </c>
      <c r="AJ68" t="str">
        <f t="shared" si="6"/>
        <v/>
      </c>
      <c r="AK68" t="str">
        <f t="shared" si="7"/>
        <v/>
      </c>
      <c r="AP68" s="123"/>
      <c r="AQ68" s="123"/>
      <c r="AR68" s="123"/>
      <c r="AS68" s="3084"/>
      <c r="AT68" s="123"/>
      <c r="AU68" s="123"/>
      <c r="AV68" s="3092"/>
      <c r="AW68" s="3086"/>
      <c r="AX68" s="3087"/>
      <c r="AY68" s="3088"/>
      <c r="AZ68" s="3089"/>
      <c r="BA68" s="3090"/>
      <c r="BB68" s="1"/>
    </row>
    <row r="69" spans="1:54" ht="35.4" thickBot="1">
      <c r="A69" s="2652" t="s">
        <v>2816</v>
      </c>
      <c r="B69" s="250" t="s">
        <v>2817</v>
      </c>
      <c r="C69" s="3010" t="s">
        <v>9231</v>
      </c>
      <c r="D69" s="3039"/>
      <c r="E69" s="837" t="s">
        <v>2818</v>
      </c>
      <c r="F69" s="250" t="s">
        <v>2819</v>
      </c>
      <c r="G69" s="2665" t="s">
        <v>2820</v>
      </c>
      <c r="H69" s="2666" t="s">
        <v>2821</v>
      </c>
      <c r="I69" s="1598" t="str">
        <f t="shared" si="14"/>
        <v>5-DaHall1-PDU-13-20-32</v>
      </c>
      <c r="J69" s="1599" t="str">
        <f t="shared" si="22"/>
        <v>5-DaHall1-PDU-14-20-30</v>
      </c>
      <c r="K69" s="1561">
        <v>220</v>
      </c>
      <c r="L69" s="1562">
        <v>20</v>
      </c>
      <c r="M69" s="2380" t="s">
        <v>6542</v>
      </c>
      <c r="N69" s="1563">
        <v>32</v>
      </c>
      <c r="O69" s="1564">
        <v>220</v>
      </c>
      <c r="P69" s="1565">
        <v>20</v>
      </c>
      <c r="Q69" s="2410" t="s">
        <v>6549</v>
      </c>
      <c r="R69" s="1566">
        <v>30</v>
      </c>
      <c r="S69" s="3547"/>
      <c r="T69" s="3503"/>
      <c r="U69" s="3359"/>
      <c r="V69" s="3346"/>
      <c r="W69" s="3359"/>
      <c r="X69" s="3346"/>
      <c r="Y69" s="253">
        <f>SUM('5층_부하량(월간_AVG)'!N351:P351)</f>
        <v>0</v>
      </c>
      <c r="Z69" s="253">
        <f>SUM('5층_부하량(월간_AVG)'!N409:P409)</f>
        <v>0</v>
      </c>
      <c r="AA69" s="2452">
        <f t="shared" si="25"/>
        <v>0</v>
      </c>
      <c r="AB69" s="2727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28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77">
        <f>SUM(AB69:AC69)</f>
        <v>0</v>
      </c>
      <c r="AE69" s="2467"/>
      <c r="AG69" s="2367">
        <f t="shared" si="4"/>
        <v>0</v>
      </c>
      <c r="AH69" s="2367">
        <f t="shared" si="5"/>
        <v>0</v>
      </c>
      <c r="AI69" s="123" t="str">
        <f t="shared" ref="AI69:AI133" si="26">IF(SIGN(AH69)&gt;=0,IF(AD69=0,"무부하 랙","적정함"),"사용초과")</f>
        <v>무부하 랙</v>
      </c>
      <c r="AJ69" t="str">
        <f t="shared" si="6"/>
        <v/>
      </c>
      <c r="AK69" t="str">
        <f t="shared" si="7"/>
        <v/>
      </c>
      <c r="AP69" s="123"/>
      <c r="AQ69" s="123"/>
      <c r="AR69" s="123"/>
      <c r="AS69" s="3084"/>
      <c r="AT69" s="123"/>
      <c r="AU69" s="123"/>
      <c r="AV69" s="3092"/>
      <c r="AW69" s="3086"/>
      <c r="AX69" s="3087"/>
      <c r="AY69" s="3088"/>
      <c r="AZ69" s="3089"/>
      <c r="BA69" s="3090"/>
      <c r="BB69" s="1"/>
    </row>
    <row r="70" spans="1:54" ht="16.2" thickTop="1">
      <c r="A70" s="2160" t="s">
        <v>1750</v>
      </c>
      <c r="B70" s="327" t="s">
        <v>2833</v>
      </c>
      <c r="C70" s="973" t="s">
        <v>2834</v>
      </c>
      <c r="D70" s="3040">
        <v>2.2000000000000002</v>
      </c>
      <c r="E70" s="327"/>
      <c r="F70" s="327"/>
      <c r="G70" s="2673"/>
      <c r="H70" s="2674"/>
      <c r="I70" s="1610" t="str">
        <f t="shared" si="14"/>
        <v>5-DaHall1-PDU-03-30-32</v>
      </c>
      <c r="J70" s="1611" t="str">
        <f t="shared" si="22"/>
        <v>5-DaHall1-PDU-04-30-32</v>
      </c>
      <c r="K70" s="1555"/>
      <c r="L70" s="1556">
        <v>30</v>
      </c>
      <c r="M70" s="2379" t="s">
        <v>6500</v>
      </c>
      <c r="N70" s="1557">
        <v>32</v>
      </c>
      <c r="O70" s="1558"/>
      <c r="P70" s="1559">
        <v>30</v>
      </c>
      <c r="Q70" s="2409" t="s">
        <v>6495</v>
      </c>
      <c r="R70" s="1560">
        <v>32</v>
      </c>
      <c r="S70" s="3472"/>
      <c r="T70" s="3475"/>
      <c r="U70" s="3355"/>
      <c r="V70" s="3361"/>
      <c r="W70" s="3355"/>
      <c r="X70" s="3361"/>
      <c r="Y70" s="836">
        <f>SUM('5층_부하량(월간_AVG)'!N103:P103)</f>
        <v>2.4835800426580157</v>
      </c>
      <c r="Z70" s="836">
        <f>SUM('5층_부하량(월간_AVG)'!N133:P133)</f>
        <v>0.27016486416878249</v>
      </c>
      <c r="AA70" s="2454">
        <f t="shared" si="25"/>
        <v>2.7537449068267983</v>
      </c>
      <c r="AB70" s="2725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256.89999999999998</v>
      </c>
      <c r="AC70" s="2726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22.9</v>
      </c>
      <c r="AD70" s="2479">
        <f>SUM(AB70:AC70)</f>
        <v>279.79999999999995</v>
      </c>
      <c r="AE70" s="2469"/>
      <c r="AG70" s="2367">
        <f t="shared" ref="AG70:AG134" si="27">AD70/(24*31)</f>
        <v>0.37607526881720427</v>
      </c>
      <c r="AH70" s="2367">
        <f t="shared" ref="AH70:AH134" si="28">D70-AG70</f>
        <v>1.823924731182796</v>
      </c>
      <c r="AI70" s="123" t="str">
        <f t="shared" si="26"/>
        <v>적정함</v>
      </c>
      <c r="AJ70" t="str">
        <f t="shared" ref="AJ70:AJ133" si="29">IF(AI70="사용초과",C70,"")</f>
        <v/>
      </c>
      <c r="AK70" t="str">
        <f t="shared" ref="AK70:AK133" si="30">IF(AJ70="","",A70)</f>
        <v/>
      </c>
      <c r="AP70" s="123"/>
      <c r="AQ70" s="123"/>
      <c r="AR70" s="123"/>
      <c r="AS70" s="3084"/>
      <c r="AT70" s="123"/>
      <c r="AU70" s="123"/>
      <c r="AV70" s="3092"/>
      <c r="AW70" s="3086"/>
      <c r="AX70" s="3087"/>
      <c r="AY70" s="3088"/>
      <c r="AZ70" s="3089"/>
      <c r="BA70" s="3090"/>
      <c r="BB70" s="1"/>
    </row>
    <row r="71" spans="1:54" ht="15.6">
      <c r="A71" s="2161" t="s">
        <v>2835</v>
      </c>
      <c r="B71" s="250" t="s">
        <v>2836</v>
      </c>
      <c r="C71" s="2664" t="s">
        <v>2837</v>
      </c>
      <c r="D71" s="3035">
        <v>2.2000000000000002</v>
      </c>
      <c r="E71" s="250"/>
      <c r="F71" s="250"/>
      <c r="G71" s="2665"/>
      <c r="H71" s="2666"/>
      <c r="I71" s="1598" t="str">
        <f t="shared" si="14"/>
        <v>5-DaHall1-PDU-03-30-34</v>
      </c>
      <c r="J71" s="1599" t="str">
        <f t="shared" si="22"/>
        <v>5-DaHall1-PDU-04-30-34</v>
      </c>
      <c r="K71" s="1561"/>
      <c r="L71" s="1562">
        <v>30</v>
      </c>
      <c r="M71" s="2380" t="s">
        <v>6500</v>
      </c>
      <c r="N71" s="1563">
        <v>34</v>
      </c>
      <c r="O71" s="1564"/>
      <c r="P71" s="1565">
        <v>30</v>
      </c>
      <c r="Q71" s="2410" t="s">
        <v>6495</v>
      </c>
      <c r="R71" s="1566">
        <v>34</v>
      </c>
      <c r="S71" s="3473"/>
      <c r="T71" s="3476"/>
      <c r="U71" s="3364"/>
      <c r="V71" s="3365"/>
      <c r="W71" s="3364"/>
      <c r="X71" s="3365"/>
      <c r="Y71" s="268">
        <f>SUM('5층_부하량(월간_AVG)'!N104:P104)</f>
        <v>2.2300600464748865</v>
      </c>
      <c r="Z71" s="268">
        <f>SUM('5층_부하량(월간_AVG)'!N134:P134)</f>
        <v>0.28993658493597502</v>
      </c>
      <c r="AA71" s="2452">
        <f t="shared" si="25"/>
        <v>2.5199966314108617</v>
      </c>
      <c r="AB71" s="2727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230.7</v>
      </c>
      <c r="AC71" s="2728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77">
        <f>SUM(AB71:AC71)</f>
        <v>246.79999999999998</v>
      </c>
      <c r="AE71" s="2467"/>
      <c r="AG71" s="2367">
        <f t="shared" si="27"/>
        <v>0.33172043010752683</v>
      </c>
      <c r="AH71" s="2367">
        <f t="shared" si="28"/>
        <v>1.8682795698924735</v>
      </c>
      <c r="AI71" s="123" t="str">
        <f t="shared" si="26"/>
        <v>적정함</v>
      </c>
      <c r="AJ71" t="str">
        <f t="shared" si="29"/>
        <v/>
      </c>
      <c r="AK71" t="str">
        <f t="shared" si="30"/>
        <v/>
      </c>
      <c r="AP71" s="123"/>
      <c r="AQ71" s="123"/>
      <c r="AR71" s="123"/>
      <c r="AS71" s="3084"/>
      <c r="AT71" s="123"/>
      <c r="AU71" s="123"/>
      <c r="AV71" s="3092"/>
      <c r="AW71" s="3086"/>
      <c r="AX71" s="3087"/>
      <c r="AY71" s="3088"/>
      <c r="AZ71" s="3089"/>
      <c r="BA71" s="3090"/>
      <c r="BB71" s="1"/>
    </row>
    <row r="72" spans="1:54" ht="15.6">
      <c r="A72" s="2161" t="s">
        <v>1762</v>
      </c>
      <c r="B72" s="250" t="s">
        <v>2838</v>
      </c>
      <c r="C72" s="2664" t="s">
        <v>2837</v>
      </c>
      <c r="D72" s="3035">
        <v>2.2000000000000002</v>
      </c>
      <c r="E72" s="250"/>
      <c r="F72" s="250"/>
      <c r="G72" s="2665"/>
      <c r="H72" s="2666"/>
      <c r="I72" s="1598" t="str">
        <f t="shared" si="14"/>
        <v>5-DaHall1-PDU-03-30-36</v>
      </c>
      <c r="J72" s="1599" t="str">
        <f t="shared" si="22"/>
        <v>5-DaHall1-PDU-04-30-36</v>
      </c>
      <c r="K72" s="1561"/>
      <c r="L72" s="1562">
        <v>30</v>
      </c>
      <c r="M72" s="2380" t="s">
        <v>6500</v>
      </c>
      <c r="N72" s="1563">
        <v>36</v>
      </c>
      <c r="O72" s="1564"/>
      <c r="P72" s="1565">
        <v>30</v>
      </c>
      <c r="Q72" s="2410" t="s">
        <v>6495</v>
      </c>
      <c r="R72" s="1566">
        <v>36</v>
      </c>
      <c r="S72" s="3473"/>
      <c r="T72" s="3476"/>
      <c r="U72" s="3364"/>
      <c r="V72" s="3365"/>
      <c r="W72" s="3364"/>
      <c r="X72" s="3365"/>
      <c r="Y72" s="268">
        <f>SUM('5층_부하량(월간_AVG)'!N105:P105)</f>
        <v>2.169753754378025</v>
      </c>
      <c r="Z72" s="268">
        <f>SUM('5층_부하량(월간_AVG)'!N135:P135)</f>
        <v>2.2881298072334189</v>
      </c>
      <c r="AA72" s="2452">
        <f t="shared" si="25"/>
        <v>4.4578835616114443</v>
      </c>
      <c r="AB72" s="2727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233.9</v>
      </c>
      <c r="AC72" s="2728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254</v>
      </c>
      <c r="AD72" s="2477">
        <f t="shared" ref="AD72:AD75" si="31">SUM(AB72:AC72)</f>
        <v>487.9</v>
      </c>
      <c r="AE72" s="2467"/>
      <c r="AG72" s="2367">
        <f t="shared" si="27"/>
        <v>0.6557795698924731</v>
      </c>
      <c r="AH72" s="2367">
        <f t="shared" si="28"/>
        <v>1.5442204301075271</v>
      </c>
      <c r="AI72" s="123" t="str">
        <f t="shared" si="26"/>
        <v>적정함</v>
      </c>
      <c r="AJ72" t="str">
        <f t="shared" si="29"/>
        <v/>
      </c>
      <c r="AK72" t="str">
        <f t="shared" si="30"/>
        <v/>
      </c>
      <c r="AP72" s="123"/>
      <c r="AQ72" s="123"/>
      <c r="AR72" s="123"/>
      <c r="AS72" s="3084"/>
      <c r="AT72" s="123"/>
      <c r="AU72" s="123"/>
      <c r="AV72" s="3092"/>
      <c r="AW72" s="3086"/>
      <c r="AX72" s="3087"/>
      <c r="AY72" s="3088"/>
      <c r="AZ72" s="3089"/>
      <c r="BA72" s="3090"/>
      <c r="BB72" s="1"/>
    </row>
    <row r="73" spans="1:54" ht="15.6">
      <c r="A73" s="2161" t="s">
        <v>2839</v>
      </c>
      <c r="B73" s="250" t="s">
        <v>2840</v>
      </c>
      <c r="C73" s="2664" t="s">
        <v>2837</v>
      </c>
      <c r="D73" s="3035">
        <v>2.2000000000000002</v>
      </c>
      <c r="E73" s="250"/>
      <c r="F73" s="250"/>
      <c r="G73" s="2665"/>
      <c r="H73" s="2666"/>
      <c r="I73" s="1598" t="str">
        <f t="shared" si="14"/>
        <v>5-DaHall1-PDU-03-30-38</v>
      </c>
      <c r="J73" s="1599" t="str">
        <f t="shared" si="22"/>
        <v>5-DaHall1-PDU-04-30-38</v>
      </c>
      <c r="K73" s="1561"/>
      <c r="L73" s="1562">
        <v>30</v>
      </c>
      <c r="M73" s="2380" t="s">
        <v>6500</v>
      </c>
      <c r="N73" s="1563">
        <v>38</v>
      </c>
      <c r="O73" s="1564"/>
      <c r="P73" s="1565">
        <v>30</v>
      </c>
      <c r="Q73" s="2410" t="s">
        <v>6495</v>
      </c>
      <c r="R73" s="1566">
        <v>38</v>
      </c>
      <c r="S73" s="3473"/>
      <c r="T73" s="3476"/>
      <c r="U73" s="3364"/>
      <c r="V73" s="3365"/>
      <c r="W73" s="3364"/>
      <c r="X73" s="3365"/>
      <c r="Y73" s="268">
        <f>SUM('5층_부하량(월간_AVG)'!N106:P106)</f>
        <v>2.3497612255741931</v>
      </c>
      <c r="Z73" s="268">
        <f>SUM('5층_부하량(월간_AVG)'!N136:P136)</f>
        <v>2.4815305140040516</v>
      </c>
      <c r="AA73" s="2452">
        <f t="shared" si="25"/>
        <v>4.8312917395782442</v>
      </c>
      <c r="AB73" s="2727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</v>
      </c>
      <c r="AC73" s="2728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260.5</v>
      </c>
      <c r="AD73" s="2477">
        <f t="shared" si="31"/>
        <v>520.5</v>
      </c>
      <c r="AE73" s="2467"/>
      <c r="AG73" s="2367">
        <f t="shared" si="27"/>
        <v>0.69959677419354838</v>
      </c>
      <c r="AH73" s="2367">
        <f t="shared" si="28"/>
        <v>1.5004032258064517</v>
      </c>
      <c r="AI73" s="123" t="str">
        <f t="shared" si="26"/>
        <v>적정함</v>
      </c>
      <c r="AJ73" t="str">
        <f t="shared" si="29"/>
        <v/>
      </c>
      <c r="AK73" t="str">
        <f t="shared" si="30"/>
        <v/>
      </c>
      <c r="AP73" s="123"/>
      <c r="AQ73" s="123"/>
      <c r="AR73" s="123"/>
      <c r="AS73" s="3084"/>
      <c r="AT73" s="123"/>
      <c r="AU73" s="123"/>
      <c r="AV73" s="3092"/>
      <c r="AW73" s="3086"/>
      <c r="AX73" s="3087"/>
      <c r="AY73" s="3088"/>
      <c r="AZ73" s="3089"/>
      <c r="BA73" s="3090"/>
      <c r="BB73" s="1"/>
    </row>
    <row r="74" spans="1:54" ht="15.6">
      <c r="A74" s="2161" t="s">
        <v>2841</v>
      </c>
      <c r="B74" s="250" t="s">
        <v>2842</v>
      </c>
      <c r="C74" s="2664" t="s">
        <v>2837</v>
      </c>
      <c r="D74" s="3035">
        <v>2.2000000000000002</v>
      </c>
      <c r="E74" s="250"/>
      <c r="F74" s="250"/>
      <c r="G74" s="2665"/>
      <c r="H74" s="2666"/>
      <c r="I74" s="1598" t="str">
        <f t="shared" si="14"/>
        <v>5-DaHall1-PDU-03-30-40</v>
      </c>
      <c r="J74" s="1599" t="str">
        <f t="shared" si="22"/>
        <v>5-DaHall1-PDU-04-30-40</v>
      </c>
      <c r="K74" s="1561"/>
      <c r="L74" s="1562">
        <v>30</v>
      </c>
      <c r="M74" s="2380" t="s">
        <v>6500</v>
      </c>
      <c r="N74" s="1563">
        <v>40</v>
      </c>
      <c r="O74" s="1564"/>
      <c r="P74" s="1565">
        <v>30</v>
      </c>
      <c r="Q74" s="2410" t="s">
        <v>6495</v>
      </c>
      <c r="R74" s="1566">
        <v>40</v>
      </c>
      <c r="S74" s="3473"/>
      <c r="T74" s="3476"/>
      <c r="U74" s="3364"/>
      <c r="V74" s="3365"/>
      <c r="W74" s="3364"/>
      <c r="X74" s="3365"/>
      <c r="Y74" s="268">
        <f>SUM('5층_부하량(월간_AVG)'!N107:P107)</f>
        <v>1.3663275591561961</v>
      </c>
      <c r="Z74" s="268">
        <f>SUM('5층_부하량(월간_AVG)'!N137:P137)</f>
        <v>1.4536357579162333</v>
      </c>
      <c r="AA74" s="2452">
        <f t="shared" si="25"/>
        <v>2.8199633170724292</v>
      </c>
      <c r="AB74" s="2727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</v>
      </c>
      <c r="AC74" s="2728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186.9</v>
      </c>
      <c r="AD74" s="2477">
        <f t="shared" si="31"/>
        <v>357.9</v>
      </c>
      <c r="AE74" s="2467"/>
      <c r="AG74" s="2367">
        <f t="shared" si="27"/>
        <v>0.48104838709677417</v>
      </c>
      <c r="AH74" s="2367">
        <f t="shared" si="28"/>
        <v>1.7189516129032261</v>
      </c>
      <c r="AI74" s="123" t="str">
        <f t="shared" si="26"/>
        <v>적정함</v>
      </c>
      <c r="AJ74" t="str">
        <f t="shared" si="29"/>
        <v/>
      </c>
      <c r="AK74" t="str">
        <f t="shared" si="30"/>
        <v/>
      </c>
      <c r="AP74" s="123"/>
      <c r="AQ74" s="123"/>
      <c r="AR74" s="123"/>
      <c r="AS74" s="3084"/>
      <c r="AT74" s="123"/>
      <c r="AU74" s="123"/>
      <c r="AV74" s="3092"/>
      <c r="AW74" s="3086"/>
      <c r="AX74" s="3087"/>
      <c r="AY74" s="3088"/>
      <c r="AZ74" s="3089"/>
      <c r="BA74" s="3090"/>
      <c r="BB74" s="1"/>
    </row>
    <row r="75" spans="1:54" ht="15.6">
      <c r="A75" s="2161" t="s">
        <v>2843</v>
      </c>
      <c r="B75" s="250" t="s">
        <v>2844</v>
      </c>
      <c r="C75" s="2664" t="s">
        <v>2837</v>
      </c>
      <c r="D75" s="3035">
        <v>2.2000000000000002</v>
      </c>
      <c r="E75" s="250"/>
      <c r="F75" s="250"/>
      <c r="G75" s="2665"/>
      <c r="H75" s="2666"/>
      <c r="I75" s="1598" t="str">
        <f t="shared" si="14"/>
        <v>5-DaHall1-PDU-03-30-42</v>
      </c>
      <c r="J75" s="1599" t="str">
        <f t="shared" si="22"/>
        <v>5-DaHall1-PDU-04-30-42</v>
      </c>
      <c r="K75" s="1561"/>
      <c r="L75" s="1562">
        <v>30</v>
      </c>
      <c r="M75" s="2380" t="s">
        <v>6500</v>
      </c>
      <c r="N75" s="1563">
        <v>42</v>
      </c>
      <c r="O75" s="1564"/>
      <c r="P75" s="1565">
        <v>30</v>
      </c>
      <c r="Q75" s="2410" t="s">
        <v>6495</v>
      </c>
      <c r="R75" s="1566">
        <v>42</v>
      </c>
      <c r="S75" s="3473"/>
      <c r="T75" s="3476"/>
      <c r="U75" s="3364"/>
      <c r="V75" s="3365"/>
      <c r="W75" s="3364"/>
      <c r="X75" s="3365"/>
      <c r="Y75" s="268">
        <f>SUM('5층_부하량(월간_AVG)'!N108:P108)</f>
        <v>1.7864158903803427</v>
      </c>
      <c r="Z75" s="268">
        <f>SUM('5층_부하량(월간_AVG)'!N138:P138)</f>
        <v>1.5837082486723026</v>
      </c>
      <c r="AA75" s="2452">
        <f t="shared" si="25"/>
        <v>3.3701241390526455</v>
      </c>
      <c r="AB75" s="2727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</v>
      </c>
      <c r="AC75" s="2728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183</v>
      </c>
      <c r="AD75" s="2477">
        <f t="shared" si="31"/>
        <v>399</v>
      </c>
      <c r="AE75" s="2467"/>
      <c r="AG75" s="2367">
        <f t="shared" si="27"/>
        <v>0.53629032258064513</v>
      </c>
      <c r="AH75" s="2367">
        <f t="shared" si="28"/>
        <v>1.6637096774193552</v>
      </c>
      <c r="AI75" s="123" t="str">
        <f t="shared" si="26"/>
        <v>적정함</v>
      </c>
      <c r="AJ75" t="str">
        <f t="shared" si="29"/>
        <v/>
      </c>
      <c r="AK75" t="str">
        <f t="shared" si="30"/>
        <v/>
      </c>
      <c r="AP75" s="123"/>
      <c r="AQ75" s="123"/>
      <c r="AR75" s="123"/>
      <c r="AS75" s="3084"/>
      <c r="AT75" s="123"/>
      <c r="AU75" s="123"/>
      <c r="AV75" s="3092"/>
      <c r="AW75" s="3086"/>
      <c r="AX75" s="3087"/>
      <c r="AY75" s="3088"/>
      <c r="AZ75" s="3089"/>
      <c r="BA75" s="3090"/>
      <c r="BB75" s="1"/>
    </row>
    <row r="76" spans="1:54" ht="16.2" thickBot="1">
      <c r="A76" s="2162" t="s">
        <v>1794</v>
      </c>
      <c r="B76" s="2661" t="s">
        <v>2845</v>
      </c>
      <c r="C76" s="2688" t="s">
        <v>2837</v>
      </c>
      <c r="D76" s="3036">
        <v>2.2000000000000002</v>
      </c>
      <c r="E76" s="2661"/>
      <c r="F76" s="2661"/>
      <c r="G76" s="2675"/>
      <c r="H76" s="2676"/>
      <c r="I76" s="1600" t="str">
        <f t="shared" si="14"/>
        <v>5-DaHall1-PDU-03-30-44</v>
      </c>
      <c r="J76" s="1601" t="str">
        <f t="shared" si="22"/>
        <v>5-DaHall1-PDU-04-30-44</v>
      </c>
      <c r="K76" s="1571"/>
      <c r="L76" s="1572">
        <v>30</v>
      </c>
      <c r="M76" s="2381" t="s">
        <v>6500</v>
      </c>
      <c r="N76" s="1573">
        <v>44</v>
      </c>
      <c r="O76" s="1574"/>
      <c r="P76" s="1575">
        <v>30</v>
      </c>
      <c r="Q76" s="2411" t="s">
        <v>6495</v>
      </c>
      <c r="R76" s="1576">
        <v>44</v>
      </c>
      <c r="S76" s="3473"/>
      <c r="T76" s="3476"/>
      <c r="U76" s="3364"/>
      <c r="V76" s="3365"/>
      <c r="W76" s="3364"/>
      <c r="X76" s="3365"/>
      <c r="Y76" s="330">
        <f>SUM('5층_부하량(월간_AVG)'!N109:P109)</f>
        <v>2.9285989738663813</v>
      </c>
      <c r="Z76" s="330">
        <f>SUM('5층_부하량(월간_AVG)'!N139:P139)</f>
        <v>2.3164287076763221</v>
      </c>
      <c r="AA76" s="2453">
        <f t="shared" si="25"/>
        <v>5.2450276815427035</v>
      </c>
      <c r="AB76" s="2733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452.9</v>
      </c>
      <c r="AC76" s="2734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337.3</v>
      </c>
      <c r="AD76" s="2478">
        <f>SUM(AB76:AC76)</f>
        <v>790.2</v>
      </c>
      <c r="AE76" s="2468"/>
      <c r="AG76" s="2367">
        <f t="shared" si="27"/>
        <v>1.0620967741935485</v>
      </c>
      <c r="AH76" s="2367">
        <f t="shared" si="28"/>
        <v>1.1379032258064516</v>
      </c>
      <c r="AI76" s="123" t="str">
        <f t="shared" si="26"/>
        <v>적정함</v>
      </c>
      <c r="AJ76" t="str">
        <f t="shared" si="29"/>
        <v/>
      </c>
      <c r="AK76" t="str">
        <f t="shared" si="30"/>
        <v/>
      </c>
      <c r="AP76" s="123"/>
      <c r="AQ76" s="123"/>
      <c r="AR76" s="123"/>
      <c r="AS76" s="3084"/>
      <c r="AT76" s="123"/>
      <c r="AU76" s="123"/>
      <c r="AV76" s="3092"/>
      <c r="AW76" s="3086"/>
      <c r="AX76" s="3087"/>
      <c r="AY76" s="3088"/>
      <c r="AZ76" s="3089"/>
      <c r="BA76" s="3090"/>
      <c r="BB76" s="1"/>
    </row>
    <row r="77" spans="1:54" ht="16.2" thickTop="1">
      <c r="A77" s="2160" t="s">
        <v>697</v>
      </c>
      <c r="B77" s="327" t="s">
        <v>2846</v>
      </c>
      <c r="C77" s="973" t="s">
        <v>2837</v>
      </c>
      <c r="D77" s="3040">
        <v>2.2000000000000002</v>
      </c>
      <c r="E77" s="327"/>
      <c r="F77" s="327"/>
      <c r="G77" s="2673"/>
      <c r="H77" s="2674"/>
      <c r="I77" s="1610" t="str">
        <f t="shared" si="14"/>
        <v>5-DaHall1-PDU-03-30-46</v>
      </c>
      <c r="J77" s="1611" t="str">
        <f t="shared" si="22"/>
        <v>5-DaHall1-PDU-04-30-46</v>
      </c>
      <c r="K77" s="1555"/>
      <c r="L77" s="1556">
        <v>30</v>
      </c>
      <c r="M77" s="2379" t="s">
        <v>6500</v>
      </c>
      <c r="N77" s="1557">
        <v>46</v>
      </c>
      <c r="O77" s="1558"/>
      <c r="P77" s="1559">
        <v>30</v>
      </c>
      <c r="Q77" s="2409" t="s">
        <v>6495</v>
      </c>
      <c r="R77" s="1560">
        <v>46</v>
      </c>
      <c r="S77" s="3473"/>
      <c r="T77" s="3476"/>
      <c r="U77" s="3364"/>
      <c r="V77" s="3365"/>
      <c r="W77" s="3364"/>
      <c r="X77" s="3365"/>
      <c r="Y77" s="2232">
        <f>SUM('5층_부하량(월간_AVG)'!N110:P110)</f>
        <v>2.8975328741061479</v>
      </c>
      <c r="Z77" s="836">
        <f>SUM('5층_부하량(월간_AVG)'!N140:P140)</f>
        <v>2.3506067792556653</v>
      </c>
      <c r="AA77" s="2458">
        <f t="shared" si="25"/>
        <v>5.2481396533618128</v>
      </c>
      <c r="AB77" s="2749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442.7</v>
      </c>
      <c r="AC77" s="2750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338.1</v>
      </c>
      <c r="AD77" s="2479">
        <f>SUM(AB77:AC77)</f>
        <v>780.8</v>
      </c>
      <c r="AE77" s="2520"/>
      <c r="AG77" s="2367">
        <f t="shared" si="27"/>
        <v>1.0494623655913977</v>
      </c>
      <c r="AH77" s="2367">
        <f t="shared" si="28"/>
        <v>1.1505376344086025</v>
      </c>
      <c r="AI77" s="123" t="str">
        <f t="shared" si="26"/>
        <v>적정함</v>
      </c>
      <c r="AJ77" t="str">
        <f t="shared" si="29"/>
        <v/>
      </c>
      <c r="AK77" t="str">
        <f t="shared" si="30"/>
        <v/>
      </c>
      <c r="AP77" s="123"/>
      <c r="AQ77" s="123"/>
      <c r="AR77" s="123"/>
      <c r="AS77" s="3084"/>
      <c r="AT77" s="123"/>
      <c r="AU77" s="123"/>
      <c r="AV77" s="3092"/>
      <c r="AW77" s="3086"/>
      <c r="AX77" s="3087"/>
      <c r="AY77" s="3088"/>
      <c r="AZ77" s="3089"/>
      <c r="BA77" s="3090"/>
      <c r="BB77" s="1"/>
    </row>
    <row r="78" spans="1:54" ht="15.6">
      <c r="A78" s="2161" t="s">
        <v>1698</v>
      </c>
      <c r="B78" s="250" t="s">
        <v>2847</v>
      </c>
      <c r="C78" s="2664" t="s">
        <v>2837</v>
      </c>
      <c r="D78" s="3035">
        <v>2.2000000000000002</v>
      </c>
      <c r="E78" s="250"/>
      <c r="F78" s="250"/>
      <c r="G78" s="2665"/>
      <c r="H78" s="2666"/>
      <c r="I78" s="1598" t="str">
        <f t="shared" si="14"/>
        <v>5-DaHall1-PDU-03-30-48</v>
      </c>
      <c r="J78" s="1599" t="str">
        <f t="shared" si="22"/>
        <v>5-DaHall1-PDU-04-30-48</v>
      </c>
      <c r="K78" s="1561"/>
      <c r="L78" s="1562">
        <v>30</v>
      </c>
      <c r="M78" s="2380" t="s">
        <v>6500</v>
      </c>
      <c r="N78" s="1563">
        <v>48</v>
      </c>
      <c r="O78" s="1564"/>
      <c r="P78" s="1565">
        <v>30</v>
      </c>
      <c r="Q78" s="2410" t="s">
        <v>6495</v>
      </c>
      <c r="R78" s="1566">
        <v>48</v>
      </c>
      <c r="S78" s="3473"/>
      <c r="T78" s="3476"/>
      <c r="U78" s="3364"/>
      <c r="V78" s="3365"/>
      <c r="W78" s="3364"/>
      <c r="X78" s="3365"/>
      <c r="Y78" s="268">
        <f>SUM('5층_부하량(월간_AVG)'!N111:P111)</f>
        <v>3.7016369794777977</v>
      </c>
      <c r="Z78" s="268">
        <f>SUM('5층_부하량(월간_AVG)'!N141:P141)</f>
        <v>3.1745623881315059</v>
      </c>
      <c r="AA78" s="2452">
        <f t="shared" si="25"/>
        <v>6.8761993676093036</v>
      </c>
      <c r="AB78" s="2727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582.79999999999995</v>
      </c>
      <c r="AC78" s="2728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486.6</v>
      </c>
      <c r="AD78" s="2477">
        <f>SUM(AB78:AC78)</f>
        <v>1069.4000000000001</v>
      </c>
      <c r="AE78" s="2467"/>
      <c r="AG78" s="2367">
        <f t="shared" si="27"/>
        <v>1.4373655913978496</v>
      </c>
      <c r="AH78" s="2367">
        <f t="shared" si="28"/>
        <v>0.76263440860215059</v>
      </c>
      <c r="AI78" s="123" t="str">
        <f t="shared" si="26"/>
        <v>적정함</v>
      </c>
      <c r="AJ78" t="str">
        <f t="shared" si="29"/>
        <v/>
      </c>
      <c r="AK78" t="str">
        <f t="shared" si="30"/>
        <v/>
      </c>
      <c r="AP78" s="123"/>
      <c r="AQ78" s="123"/>
      <c r="AR78" s="123"/>
      <c r="AS78" s="3084"/>
      <c r="AT78" s="123"/>
      <c r="AU78" s="123"/>
      <c r="AV78" s="3092"/>
      <c r="AW78" s="3086"/>
      <c r="AX78" s="3087"/>
      <c r="AY78" s="3088"/>
      <c r="AZ78" s="3089"/>
      <c r="BA78" s="3090"/>
      <c r="BB78" s="1"/>
    </row>
    <row r="79" spans="1:54" ht="15.6">
      <c r="A79" s="2161" t="s">
        <v>1704</v>
      </c>
      <c r="B79" s="250" t="s">
        <v>2848</v>
      </c>
      <c r="C79" s="2664" t="s">
        <v>2837</v>
      </c>
      <c r="D79" s="3035">
        <v>2.2000000000000002</v>
      </c>
      <c r="E79" s="250"/>
      <c r="F79" s="250"/>
      <c r="G79" s="2665"/>
      <c r="H79" s="2666"/>
      <c r="I79" s="1598" t="str">
        <f t="shared" si="14"/>
        <v>5-DaHall1-PDU-03-30-50</v>
      </c>
      <c r="J79" s="1599" t="str">
        <f t="shared" si="22"/>
        <v>5-DaHall1-PDU-04-30-50</v>
      </c>
      <c r="K79" s="1561"/>
      <c r="L79" s="1562">
        <v>30</v>
      </c>
      <c r="M79" s="2380" t="s">
        <v>6500</v>
      </c>
      <c r="N79" s="1563">
        <v>50</v>
      </c>
      <c r="O79" s="1564"/>
      <c r="P79" s="1565">
        <v>30</v>
      </c>
      <c r="Q79" s="2410" t="s">
        <v>6495</v>
      </c>
      <c r="R79" s="1566">
        <v>50</v>
      </c>
      <c r="S79" s="3473"/>
      <c r="T79" s="3476"/>
      <c r="U79" s="3364"/>
      <c r="V79" s="3365"/>
      <c r="W79" s="3364"/>
      <c r="X79" s="3365"/>
      <c r="Y79" s="268">
        <f>SUM('5층_부하량(월간_AVG)'!N112:P112)</f>
        <v>4.0925549543895912</v>
      </c>
      <c r="Z79" s="268">
        <f>SUM('5층_부하량(월간_AVG)'!N142:P142)</f>
        <v>3.9531319140936039</v>
      </c>
      <c r="AA79" s="2452">
        <f t="shared" si="25"/>
        <v>8.0456868684831946</v>
      </c>
      <c r="AB79" s="2727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642.4</v>
      </c>
      <c r="AC79" s="2728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626.4</v>
      </c>
      <c r="AD79" s="2477">
        <f t="shared" ref="AD79:AD81" si="32">SUM(AB79:AC79)</f>
        <v>1268.8</v>
      </c>
      <c r="AE79" s="2467"/>
      <c r="AG79" s="2367">
        <f t="shared" si="27"/>
        <v>1.7053763440860215</v>
      </c>
      <c r="AH79" s="2367">
        <f t="shared" si="28"/>
        <v>0.49462365591397872</v>
      </c>
      <c r="AI79" s="123" t="str">
        <f t="shared" si="26"/>
        <v>적정함</v>
      </c>
      <c r="AJ79" t="str">
        <f t="shared" si="29"/>
        <v/>
      </c>
      <c r="AK79" t="str">
        <f t="shared" si="30"/>
        <v/>
      </c>
      <c r="AP79" s="123"/>
      <c r="AQ79" s="123"/>
      <c r="AR79" s="123"/>
      <c r="AS79" s="3084"/>
      <c r="AT79" s="123"/>
      <c r="AU79" s="123"/>
      <c r="AV79" s="3092"/>
      <c r="AW79" s="3086"/>
      <c r="AX79" s="3087"/>
      <c r="AY79" s="3088"/>
      <c r="AZ79" s="3089"/>
      <c r="BA79" s="3090"/>
      <c r="BB79" s="1"/>
    </row>
    <row r="80" spans="1:54" ht="15.6">
      <c r="A80" s="2161" t="s">
        <v>1710</v>
      </c>
      <c r="B80" s="250" t="s">
        <v>2849</v>
      </c>
      <c r="C80" s="2664" t="s">
        <v>2837</v>
      </c>
      <c r="D80" s="3035">
        <v>2.2000000000000002</v>
      </c>
      <c r="E80" s="250"/>
      <c r="F80" s="250"/>
      <c r="G80" s="2665"/>
      <c r="H80" s="2666"/>
      <c r="I80" s="1598" t="str">
        <f t="shared" si="14"/>
        <v>5-DaHall1-PDU-03-30-47</v>
      </c>
      <c r="J80" s="1599" t="str">
        <f t="shared" si="22"/>
        <v>5-DaHall1-PDU-04-30-47</v>
      </c>
      <c r="K80" s="1561"/>
      <c r="L80" s="1562">
        <v>30</v>
      </c>
      <c r="M80" s="2380" t="s">
        <v>6500</v>
      </c>
      <c r="N80" s="1563">
        <v>47</v>
      </c>
      <c r="O80" s="1564"/>
      <c r="P80" s="1565">
        <v>30</v>
      </c>
      <c r="Q80" s="2410" t="s">
        <v>6495</v>
      </c>
      <c r="R80" s="1566">
        <v>47</v>
      </c>
      <c r="S80" s="3473"/>
      <c r="T80" s="3476"/>
      <c r="U80" s="3364"/>
      <c r="V80" s="3365"/>
      <c r="W80" s="3364"/>
      <c r="X80" s="3365"/>
      <c r="Y80" s="268">
        <f>SUM('5층_부하량(월간_AVG)'!D111:F111)</f>
        <v>4.0430487864291038</v>
      </c>
      <c r="Z80" s="268">
        <f>SUM('5층_부하량(월간_AVG)'!D141:F141)</f>
        <v>4.3931848767981521</v>
      </c>
      <c r="AA80" s="2452">
        <f t="shared" si="25"/>
        <v>8.4362336632272559</v>
      </c>
      <c r="AB80" s="2727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617.29999999999995</v>
      </c>
      <c r="AC80" s="2728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657.3</v>
      </c>
      <c r="AD80" s="2477">
        <f t="shared" si="32"/>
        <v>1274.5999999999999</v>
      </c>
      <c r="AE80" s="2467"/>
      <c r="AG80" s="2367">
        <f t="shared" si="27"/>
        <v>1.7131720430107527</v>
      </c>
      <c r="AH80" s="2367">
        <f t="shared" si="28"/>
        <v>0.48682795698924752</v>
      </c>
      <c r="AI80" s="123" t="str">
        <f t="shared" si="26"/>
        <v>적정함</v>
      </c>
      <c r="AJ80" t="str">
        <f t="shared" si="29"/>
        <v/>
      </c>
      <c r="AK80" t="str">
        <f t="shared" si="30"/>
        <v/>
      </c>
      <c r="AP80" s="123"/>
      <c r="AQ80" s="123"/>
      <c r="AR80" s="123"/>
      <c r="AS80" s="3084"/>
      <c r="AT80" s="123"/>
      <c r="AU80" s="123"/>
      <c r="AV80" s="3092"/>
      <c r="AW80" s="3086"/>
      <c r="AX80" s="3087"/>
      <c r="AY80" s="3088"/>
      <c r="AZ80" s="3089"/>
      <c r="BA80" s="3090"/>
      <c r="BB80" s="1"/>
    </row>
    <row r="81" spans="1:54" ht="15.6">
      <c r="A81" s="2161" t="s">
        <v>1716</v>
      </c>
      <c r="B81" s="250" t="s">
        <v>2850</v>
      </c>
      <c r="C81" s="2664" t="s">
        <v>2837</v>
      </c>
      <c r="D81" s="3035">
        <v>2.2000000000000002</v>
      </c>
      <c r="E81" s="250"/>
      <c r="F81" s="250"/>
      <c r="G81" s="2665"/>
      <c r="H81" s="2666"/>
      <c r="I81" s="1598" t="str">
        <f t="shared" si="14"/>
        <v>5-DaHall1-PDU-03-30-49</v>
      </c>
      <c r="J81" s="1599" t="str">
        <f t="shared" si="22"/>
        <v>5-DaHall1-PDU-04-30-49</v>
      </c>
      <c r="K81" s="1561"/>
      <c r="L81" s="1562">
        <v>30</v>
      </c>
      <c r="M81" s="2380" t="s">
        <v>6500</v>
      </c>
      <c r="N81" s="1563">
        <v>49</v>
      </c>
      <c r="O81" s="1564"/>
      <c r="P81" s="1565">
        <v>30</v>
      </c>
      <c r="Q81" s="2410" t="s">
        <v>6495</v>
      </c>
      <c r="R81" s="1566">
        <v>49</v>
      </c>
      <c r="S81" s="3473"/>
      <c r="T81" s="3476"/>
      <c r="U81" s="3364"/>
      <c r="V81" s="3365"/>
      <c r="W81" s="3364"/>
      <c r="X81" s="3365"/>
      <c r="Y81" s="268">
        <f>SUM('5층_부하량(월간_AVG)'!D112:F112)</f>
        <v>5.7013612216774074</v>
      </c>
      <c r="Z81" s="268">
        <f>SUM('5층_부하량(월간_AVG)'!D142:F142)</f>
        <v>5.4150097410050355</v>
      </c>
      <c r="AA81" s="2452">
        <f t="shared" si="25"/>
        <v>11.116370962682442</v>
      </c>
      <c r="AB81" s="2727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904.4</v>
      </c>
      <c r="AC81" s="2728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854.6</v>
      </c>
      <c r="AD81" s="2477">
        <f t="shared" si="32"/>
        <v>1759</v>
      </c>
      <c r="AE81" s="2467"/>
      <c r="AG81" s="2367">
        <f t="shared" si="27"/>
        <v>2.364247311827957</v>
      </c>
      <c r="AH81" s="2367">
        <f t="shared" si="28"/>
        <v>-0.16424731182795682</v>
      </c>
      <c r="AI81" s="123" t="str">
        <f t="shared" si="26"/>
        <v>사용초과</v>
      </c>
      <c r="AJ81" t="str">
        <f t="shared" si="29"/>
        <v>KG이니시스</v>
      </c>
      <c r="AK81" t="str">
        <f t="shared" si="30"/>
        <v>B220</v>
      </c>
      <c r="AP81" s="123"/>
      <c r="AQ81" s="123"/>
      <c r="AR81" s="123"/>
      <c r="AS81" s="3084"/>
      <c r="AT81" s="123"/>
      <c r="AU81" s="123"/>
      <c r="AV81" s="3092"/>
      <c r="AW81" s="3086"/>
      <c r="AX81" s="3087"/>
      <c r="AY81" s="3088"/>
      <c r="AZ81" s="3089"/>
      <c r="BA81" s="3090"/>
      <c r="BB81" s="1"/>
    </row>
    <row r="82" spans="1:54" ht="13.5" customHeight="1">
      <c r="A82" s="3453" t="s">
        <v>1724</v>
      </c>
      <c r="B82" s="3348" t="s">
        <v>2851</v>
      </c>
      <c r="C82" s="3362" t="s">
        <v>2837</v>
      </c>
      <c r="D82" s="3432">
        <v>2.2000000000000002</v>
      </c>
      <c r="E82" s="2163"/>
      <c r="F82" s="2163"/>
      <c r="G82" s="2164"/>
      <c r="H82" s="2165"/>
      <c r="I82" s="2166" t="str">
        <f t="shared" si="14"/>
        <v>5-DaHall1-PDU-03-30-2</v>
      </c>
      <c r="J82" s="2167" t="str">
        <f t="shared" si="22"/>
        <v>5-DaHall1-PDU-04-30-2</v>
      </c>
      <c r="K82" s="1766"/>
      <c r="L82" s="1767">
        <v>30</v>
      </c>
      <c r="M82" s="2390" t="s">
        <v>6500</v>
      </c>
      <c r="N82" s="2168">
        <v>2</v>
      </c>
      <c r="O82" s="1769"/>
      <c r="P82" s="1770">
        <v>30</v>
      </c>
      <c r="Q82" s="2415" t="s">
        <v>6495</v>
      </c>
      <c r="R82" s="2169">
        <v>2</v>
      </c>
      <c r="S82" s="3473"/>
      <c r="T82" s="3476"/>
      <c r="U82" s="3364"/>
      <c r="V82" s="3365"/>
      <c r="W82" s="3364"/>
      <c r="X82" s="3365"/>
      <c r="Y82" s="2233">
        <f>SUM('5층_부하량(월간_AVG)'!N88:P88)</f>
        <v>0</v>
      </c>
      <c r="Z82" s="2233">
        <f>SUM('5층_부하량(월간_AVG)'!N118:P118)</f>
        <v>0</v>
      </c>
      <c r="AA82" s="3396">
        <f>SUM(Y82:Z84)</f>
        <v>0</v>
      </c>
      <c r="AB82" s="2751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52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533">
        <f>SUM(AB82:AC84)</f>
        <v>0</v>
      </c>
      <c r="AE82" s="2521"/>
      <c r="AG82" s="2367">
        <f t="shared" si="27"/>
        <v>0</v>
      </c>
      <c r="AH82" s="2367">
        <f t="shared" si="28"/>
        <v>2.2000000000000002</v>
      </c>
      <c r="AI82" s="123" t="str">
        <f t="shared" si="26"/>
        <v>무부하 랙</v>
      </c>
      <c r="AJ82" t="str">
        <f t="shared" si="29"/>
        <v/>
      </c>
      <c r="AK82" t="str">
        <f t="shared" si="30"/>
        <v/>
      </c>
      <c r="AP82" s="123"/>
      <c r="AQ82" s="123"/>
      <c r="AR82" s="123"/>
      <c r="AS82" s="3084"/>
      <c r="AT82" s="123"/>
      <c r="AU82" s="123"/>
      <c r="AV82" s="3092"/>
      <c r="AW82" s="3086"/>
      <c r="AX82" s="3087"/>
      <c r="AY82" s="3088"/>
      <c r="AZ82" s="3089"/>
      <c r="BA82" s="3090"/>
      <c r="BB82" s="1"/>
    </row>
    <row r="83" spans="1:54" ht="13.5" customHeight="1">
      <c r="A83" s="3455"/>
      <c r="B83" s="3456"/>
      <c r="C83" s="3523"/>
      <c r="D83" s="3432"/>
      <c r="E83" s="2170"/>
      <c r="F83" s="2170"/>
      <c r="G83" s="2171"/>
      <c r="H83" s="2172"/>
      <c r="I83" s="2173" t="str">
        <f t="shared" si="14"/>
        <v>5-DaHall1-PDU-03-30-4</v>
      </c>
      <c r="J83" s="2174" t="str">
        <f t="shared" si="22"/>
        <v>5-DaHall1-PDU-04-30-4</v>
      </c>
      <c r="K83" s="2175"/>
      <c r="L83" s="2176">
        <v>30</v>
      </c>
      <c r="M83" s="2391" t="s">
        <v>6500</v>
      </c>
      <c r="N83" s="2177">
        <v>4</v>
      </c>
      <c r="O83" s="2178"/>
      <c r="P83" s="2179">
        <v>30</v>
      </c>
      <c r="Q83" s="2416" t="s">
        <v>6495</v>
      </c>
      <c r="R83" s="2180">
        <v>4</v>
      </c>
      <c r="S83" s="3473"/>
      <c r="T83" s="3476"/>
      <c r="U83" s="3364"/>
      <c r="V83" s="3365"/>
      <c r="W83" s="3364"/>
      <c r="X83" s="3365"/>
      <c r="Y83" s="2233">
        <f>SUM('5층_부하량(월간_AVG)'!N89:P89)</f>
        <v>0</v>
      </c>
      <c r="Z83" s="2233">
        <f>SUM('5층_부하량(월간_AVG)'!N119:P119)</f>
        <v>0</v>
      </c>
      <c r="AA83" s="3398"/>
      <c r="AB83" s="2753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54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535"/>
      <c r="AE83" s="2522"/>
      <c r="AG83" s="2367">
        <f t="shared" si="27"/>
        <v>0</v>
      </c>
      <c r="AH83" s="2367">
        <f t="shared" si="28"/>
        <v>0</v>
      </c>
      <c r="AI83" s="123" t="str">
        <f t="shared" si="26"/>
        <v>무부하 랙</v>
      </c>
      <c r="AJ83" t="str">
        <f t="shared" si="29"/>
        <v/>
      </c>
      <c r="AK83" t="str">
        <f t="shared" si="30"/>
        <v/>
      </c>
      <c r="AP83" s="123"/>
      <c r="AQ83" s="123"/>
      <c r="AR83" s="123"/>
      <c r="AS83" s="3084"/>
      <c r="AT83" s="123"/>
      <c r="AU83" s="123"/>
      <c r="AV83" s="3092"/>
      <c r="AW83" s="3086"/>
      <c r="AX83" s="3087"/>
      <c r="AY83" s="3088"/>
      <c r="AZ83" s="3089"/>
      <c r="BA83" s="3090"/>
      <c r="BB83" s="1"/>
    </row>
    <row r="84" spans="1:54" ht="13.5" customHeight="1">
      <c r="A84" s="3454"/>
      <c r="B84" s="3349"/>
      <c r="C84" s="3363"/>
      <c r="D84" s="3432"/>
      <c r="E84" s="2181"/>
      <c r="F84" s="2181"/>
      <c r="G84" s="2182"/>
      <c r="H84" s="2183"/>
      <c r="I84" s="2184" t="str">
        <f t="shared" si="14"/>
        <v>5-DaHall1-PDU-03-30-41</v>
      </c>
      <c r="J84" s="2185" t="str">
        <f t="shared" si="22"/>
        <v>5-DaHall1-PDU-04-30-41</v>
      </c>
      <c r="K84" s="1773"/>
      <c r="L84" s="1774">
        <v>30</v>
      </c>
      <c r="M84" s="2392" t="s">
        <v>6500</v>
      </c>
      <c r="N84" s="2186">
        <v>41</v>
      </c>
      <c r="O84" s="1775"/>
      <c r="P84" s="1776">
        <v>30</v>
      </c>
      <c r="Q84" s="2417" t="s">
        <v>6495</v>
      </c>
      <c r="R84" s="2187">
        <v>41</v>
      </c>
      <c r="S84" s="3473"/>
      <c r="T84" s="3476"/>
      <c r="U84" s="3364"/>
      <c r="V84" s="3365"/>
      <c r="W84" s="3364"/>
      <c r="X84" s="3365"/>
      <c r="Y84" s="2234">
        <f>SUM('5층_부하량(월간_AVG)'!D108:F108)</f>
        <v>0</v>
      </c>
      <c r="Z84" s="2234">
        <f>SUM('5층_부하량(월간_AVG)'!D138:F138)</f>
        <v>0</v>
      </c>
      <c r="AA84" s="3397"/>
      <c r="AB84" s="2755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56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534"/>
      <c r="AE84" s="2523"/>
      <c r="AG84" s="2367">
        <f t="shared" si="27"/>
        <v>0</v>
      </c>
      <c r="AH84" s="2367">
        <f t="shared" si="28"/>
        <v>0</v>
      </c>
      <c r="AI84" s="123" t="str">
        <f t="shared" si="26"/>
        <v>무부하 랙</v>
      </c>
      <c r="AJ84" t="str">
        <f t="shared" si="29"/>
        <v/>
      </c>
      <c r="AK84" t="str">
        <f t="shared" si="30"/>
        <v/>
      </c>
      <c r="AP84" s="123"/>
      <c r="AQ84" s="123"/>
      <c r="AR84" s="123"/>
      <c r="AS84" s="3084"/>
      <c r="AT84" s="123"/>
      <c r="AU84" s="123"/>
      <c r="AV84" s="3092"/>
      <c r="AW84" s="3086"/>
      <c r="AX84" s="3087"/>
      <c r="AY84" s="3088"/>
      <c r="AZ84" s="3089"/>
      <c r="BA84" s="3090"/>
      <c r="BB84" s="1"/>
    </row>
    <row r="85" spans="1:54" ht="13.5" customHeight="1">
      <c r="A85" s="3453" t="s">
        <v>1730</v>
      </c>
      <c r="B85" s="3348" t="s">
        <v>2852</v>
      </c>
      <c r="C85" s="3362" t="s">
        <v>2837</v>
      </c>
      <c r="D85" s="3432">
        <v>2.2000000000000002</v>
      </c>
      <c r="E85" s="2163"/>
      <c r="F85" s="2163"/>
      <c r="G85" s="2164"/>
      <c r="H85" s="2165"/>
      <c r="I85" s="2166" t="str">
        <f t="shared" si="14"/>
        <v>5-DaHall1-PDU-03-30-6</v>
      </c>
      <c r="J85" s="2167" t="str">
        <f t="shared" si="22"/>
        <v>5-DaHall1-PDU-04-30-6</v>
      </c>
      <c r="K85" s="1766"/>
      <c r="L85" s="1767">
        <v>30</v>
      </c>
      <c r="M85" s="2390" t="s">
        <v>6500</v>
      </c>
      <c r="N85" s="2168">
        <v>6</v>
      </c>
      <c r="O85" s="1769"/>
      <c r="P85" s="1770">
        <v>30</v>
      </c>
      <c r="Q85" s="2415" t="s">
        <v>6495</v>
      </c>
      <c r="R85" s="2169">
        <v>6</v>
      </c>
      <c r="S85" s="3473"/>
      <c r="T85" s="3476"/>
      <c r="U85" s="3364"/>
      <c r="V85" s="3365"/>
      <c r="W85" s="3364"/>
      <c r="X85" s="3365"/>
      <c r="Y85" s="2233">
        <f>SUM('5층_부하량(월간_AVG)'!N90:P90)</f>
        <v>0.56954148656478276</v>
      </c>
      <c r="Z85" s="2233">
        <f>SUM('5층_부하량(월간_AVG)'!N120:P120)</f>
        <v>0.57017690296085766</v>
      </c>
      <c r="AA85" s="3396">
        <f>SUM(Y85:Z87)</f>
        <v>9.1886918638957642</v>
      </c>
      <c r="AB85" s="2751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87.9</v>
      </c>
      <c r="AC85" s="2752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89</v>
      </c>
      <c r="AD85" s="3533">
        <f>SUM(AB85:AC87)</f>
        <v>1434.6999999999998</v>
      </c>
      <c r="AE85" s="2521"/>
      <c r="AG85" s="2367">
        <f t="shared" si="27"/>
        <v>1.9283602150537631</v>
      </c>
      <c r="AH85" s="2367">
        <f t="shared" si="28"/>
        <v>0.27163978494623708</v>
      </c>
      <c r="AI85" s="123" t="str">
        <f t="shared" si="26"/>
        <v>적정함</v>
      </c>
      <c r="AJ85" t="str">
        <f t="shared" si="29"/>
        <v/>
      </c>
      <c r="AK85" t="str">
        <f t="shared" si="30"/>
        <v/>
      </c>
      <c r="AP85" s="123"/>
      <c r="AQ85" s="123"/>
      <c r="AR85" s="123"/>
      <c r="AS85" s="3084"/>
      <c r="AT85" s="123"/>
      <c r="AU85" s="123"/>
      <c r="AV85" s="3092"/>
      <c r="AW85" s="3086"/>
      <c r="AX85" s="3087"/>
      <c r="AY85" s="3088"/>
      <c r="AZ85" s="3089"/>
      <c r="BA85" s="3090"/>
      <c r="BB85" s="1"/>
    </row>
    <row r="86" spans="1:54" ht="13.5" customHeight="1">
      <c r="A86" s="3455"/>
      <c r="B86" s="3456"/>
      <c r="C86" s="3523"/>
      <c r="D86" s="3432"/>
      <c r="E86" s="2170"/>
      <c r="F86" s="2170"/>
      <c r="G86" s="2171"/>
      <c r="H86" s="2172"/>
      <c r="I86" s="2173" t="str">
        <f t="shared" si="14"/>
        <v>5-DaHall1-PDU-03-30-8</v>
      </c>
      <c r="J86" s="2174" t="str">
        <f t="shared" si="22"/>
        <v>5-DaHall1-PDU-04-30-8</v>
      </c>
      <c r="K86" s="2175"/>
      <c r="L86" s="2176">
        <v>30</v>
      </c>
      <c r="M86" s="2391" t="s">
        <v>6500</v>
      </c>
      <c r="N86" s="2177">
        <v>8</v>
      </c>
      <c r="O86" s="2178"/>
      <c r="P86" s="2179">
        <v>30</v>
      </c>
      <c r="Q86" s="2416" t="s">
        <v>6495</v>
      </c>
      <c r="R86" s="2180">
        <v>8</v>
      </c>
      <c r="S86" s="3473"/>
      <c r="T86" s="3476"/>
      <c r="U86" s="3364"/>
      <c r="V86" s="3365"/>
      <c r="W86" s="3364"/>
      <c r="X86" s="3365"/>
      <c r="Y86" s="2235">
        <f>SUM('5층_부하량(월간_AVG)'!N91:P91)</f>
        <v>1.4420839736171336</v>
      </c>
      <c r="Z86" s="2235">
        <f>SUM('5층_부하량(월간_AVG)'!N121:P121)</f>
        <v>1.7480598206689908</v>
      </c>
      <c r="AA86" s="3398"/>
      <c r="AB86" s="2753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226.6</v>
      </c>
      <c r="AC86" s="2754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274.8</v>
      </c>
      <c r="AD86" s="3535"/>
      <c r="AE86" s="2522"/>
      <c r="AG86" s="2367">
        <f t="shared" si="27"/>
        <v>0</v>
      </c>
      <c r="AH86" s="2367">
        <f t="shared" si="28"/>
        <v>0</v>
      </c>
      <c r="AI86" s="123" t="str">
        <f t="shared" si="26"/>
        <v>무부하 랙</v>
      </c>
      <c r="AJ86" t="str">
        <f t="shared" si="29"/>
        <v/>
      </c>
      <c r="AK86" t="str">
        <f t="shared" si="30"/>
        <v/>
      </c>
      <c r="AP86" s="123"/>
      <c r="AQ86" s="123"/>
      <c r="AR86" s="123"/>
      <c r="AS86" s="3084"/>
      <c r="AT86" s="123"/>
      <c r="AU86" s="123"/>
      <c r="AV86" s="3092"/>
      <c r="AW86" s="3086"/>
      <c r="AX86" s="3087"/>
      <c r="AY86" s="3088"/>
      <c r="AZ86" s="3089"/>
      <c r="BA86" s="3090"/>
      <c r="BB86" s="1"/>
    </row>
    <row r="87" spans="1:54" ht="14.25" customHeight="1" thickBot="1">
      <c r="A87" s="3524"/>
      <c r="B87" s="3525"/>
      <c r="C87" s="3526"/>
      <c r="D87" s="3445"/>
      <c r="E87" s="2188"/>
      <c r="F87" s="2188"/>
      <c r="G87" s="2189"/>
      <c r="H87" s="2190"/>
      <c r="I87" s="2191" t="str">
        <f t="shared" si="14"/>
        <v>5-DaHall1-PDU-03-30-43</v>
      </c>
      <c r="J87" s="2192" t="str">
        <f t="shared" si="22"/>
        <v>5-DaHall1-PDU-04-30-43</v>
      </c>
      <c r="K87" s="2193"/>
      <c r="L87" s="2194">
        <v>30</v>
      </c>
      <c r="M87" s="2393" t="s">
        <v>6500</v>
      </c>
      <c r="N87" s="2195">
        <v>43</v>
      </c>
      <c r="O87" s="2196"/>
      <c r="P87" s="2197">
        <v>30</v>
      </c>
      <c r="Q87" s="2418" t="s">
        <v>6495</v>
      </c>
      <c r="R87" s="2198">
        <v>43</v>
      </c>
      <c r="S87" s="3473"/>
      <c r="T87" s="3476"/>
      <c r="U87" s="3364"/>
      <c r="V87" s="3365"/>
      <c r="W87" s="3364"/>
      <c r="X87" s="3365"/>
      <c r="Y87" s="2236">
        <f>SUM('5층_부하량(월간_AVG)'!D109:F109)</f>
        <v>2.3917238224454902</v>
      </c>
      <c r="Z87" s="2236">
        <f>SUM('5층_부하량(월간_AVG)'!D139:F139)</f>
        <v>2.4671058576385083</v>
      </c>
      <c r="AA87" s="3497"/>
      <c r="AB87" s="2757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370.5</v>
      </c>
      <c r="AC87" s="2758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385.9</v>
      </c>
      <c r="AD87" s="3543"/>
      <c r="AE87" s="2524"/>
      <c r="AG87" s="2367">
        <f t="shared" si="27"/>
        <v>0</v>
      </c>
      <c r="AH87" s="2367">
        <f t="shared" si="28"/>
        <v>0</v>
      </c>
      <c r="AI87" s="123" t="str">
        <f t="shared" si="26"/>
        <v>무부하 랙</v>
      </c>
      <c r="AJ87" t="str">
        <f t="shared" si="29"/>
        <v/>
      </c>
      <c r="AK87" t="str">
        <f t="shared" si="30"/>
        <v/>
      </c>
      <c r="AP87" s="123"/>
      <c r="AQ87" s="123"/>
      <c r="AR87" s="123"/>
      <c r="AS87" s="3084"/>
      <c r="AT87" s="123"/>
      <c r="AU87" s="123"/>
      <c r="AV87" s="3092"/>
      <c r="AW87" s="3086"/>
      <c r="AX87" s="3087"/>
      <c r="AY87" s="3088"/>
      <c r="AZ87" s="3089"/>
      <c r="BA87" s="3090"/>
      <c r="BB87" s="1"/>
    </row>
    <row r="88" spans="1:54" ht="15" thickTop="1">
      <c r="A88" s="3527" t="s">
        <v>545</v>
      </c>
      <c r="B88" s="3528" t="s">
        <v>2853</v>
      </c>
      <c r="C88" s="3529" t="s">
        <v>2837</v>
      </c>
      <c r="D88" s="3446">
        <v>2.2000000000000002</v>
      </c>
      <c r="E88" s="2199"/>
      <c r="F88" s="2199"/>
      <c r="G88" s="2200"/>
      <c r="H88" s="2201"/>
      <c r="I88" s="2202" t="str">
        <f t="shared" si="14"/>
        <v>5-DaHall1-PDU-03-30-10</v>
      </c>
      <c r="J88" s="2203" t="str">
        <f t="shared" si="22"/>
        <v>5-DaHall1-PDU-04-30-10</v>
      </c>
      <c r="K88" s="1750"/>
      <c r="L88" s="1751">
        <v>30</v>
      </c>
      <c r="M88" s="2394" t="s">
        <v>6500</v>
      </c>
      <c r="N88" s="2204">
        <v>10</v>
      </c>
      <c r="O88" s="1753"/>
      <c r="P88" s="1754">
        <v>30</v>
      </c>
      <c r="Q88" s="2419" t="s">
        <v>6495</v>
      </c>
      <c r="R88" s="2205">
        <v>10</v>
      </c>
      <c r="S88" s="3473"/>
      <c r="T88" s="3476"/>
      <c r="U88" s="3364"/>
      <c r="V88" s="3365"/>
      <c r="W88" s="3364"/>
      <c r="X88" s="3365"/>
      <c r="Y88" s="2237">
        <f>SUM('5층_부하량(월간_AVG)'!N92:P92)</f>
        <v>3.5616843289395939</v>
      </c>
      <c r="Z88" s="2237">
        <f>SUM('5층_부하량(월간_AVG)'!N122:P122)</f>
        <v>3.5397931238741522</v>
      </c>
      <c r="AA88" s="3544">
        <f>SUM(Y88:Z90)</f>
        <v>10.687172849909556</v>
      </c>
      <c r="AB88" s="2759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60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559.70000000000005</v>
      </c>
      <c r="AD88" s="3545">
        <f>SUM(AB88:AC90)</f>
        <v>1684.4</v>
      </c>
      <c r="AE88" s="2525"/>
      <c r="AG88" s="2367">
        <f t="shared" si="27"/>
        <v>2.2639784946236561</v>
      </c>
      <c r="AH88" s="2367">
        <f t="shared" si="28"/>
        <v>-6.3978494623655902E-2</v>
      </c>
      <c r="AI88" s="123" t="str">
        <f t="shared" si="26"/>
        <v>사용초과</v>
      </c>
      <c r="AJ88" t="str">
        <f t="shared" si="29"/>
        <v>KG이니시스</v>
      </c>
      <c r="AK88" t="str">
        <f t="shared" si="30"/>
        <v>B316</v>
      </c>
      <c r="AP88" s="123"/>
      <c r="AQ88" s="123"/>
      <c r="AR88" s="123"/>
      <c r="AS88" s="3084"/>
      <c r="AT88" s="123"/>
      <c r="AU88" s="123"/>
      <c r="AV88" s="3092"/>
      <c r="AW88" s="3086"/>
      <c r="AX88" s="3087"/>
      <c r="AY88" s="3088"/>
      <c r="AZ88" s="3089"/>
      <c r="BA88" s="3090"/>
      <c r="BB88" s="1"/>
    </row>
    <row r="89" spans="1:54" ht="13.5" customHeight="1">
      <c r="A89" s="3455"/>
      <c r="B89" s="3456"/>
      <c r="C89" s="3523"/>
      <c r="D89" s="3432"/>
      <c r="E89" s="2170"/>
      <c r="F89" s="2170"/>
      <c r="G89" s="2171"/>
      <c r="H89" s="2172"/>
      <c r="I89" s="2173" t="str">
        <f t="shared" si="14"/>
        <v>5-DaHall1-PDU-03-30-12</v>
      </c>
      <c r="J89" s="2174" t="str">
        <f t="shared" si="22"/>
        <v>5-DaHall1-PDU-04-30-12</v>
      </c>
      <c r="K89" s="2175"/>
      <c r="L89" s="2176">
        <v>30</v>
      </c>
      <c r="M89" s="2391" t="s">
        <v>6500</v>
      </c>
      <c r="N89" s="2177">
        <v>12</v>
      </c>
      <c r="O89" s="2178"/>
      <c r="P89" s="2179">
        <v>30</v>
      </c>
      <c r="Q89" s="2416" t="s">
        <v>6495</v>
      </c>
      <c r="R89" s="2180">
        <v>12</v>
      </c>
      <c r="S89" s="3473"/>
      <c r="T89" s="3476"/>
      <c r="U89" s="3364"/>
      <c r="V89" s="3365"/>
      <c r="W89" s="3364"/>
      <c r="X89" s="3365"/>
      <c r="Y89" s="2235">
        <f>SUM('5층_부하량(월간_AVG)'!N93:P93)</f>
        <v>1.7726515321071188</v>
      </c>
      <c r="Z89" s="2235">
        <f>SUM('5층_부하량(월간_AVG)'!N123:P123)</f>
        <v>1.8130438649886913</v>
      </c>
      <c r="AA89" s="3398"/>
      <c r="AB89" s="2753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54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283.10000000000002</v>
      </c>
      <c r="AD89" s="3535"/>
      <c r="AE89" s="2522"/>
      <c r="AG89" s="2367">
        <f t="shared" si="27"/>
        <v>0</v>
      </c>
      <c r="AH89" s="2367">
        <f t="shared" si="28"/>
        <v>0</v>
      </c>
      <c r="AI89" s="123" t="str">
        <f t="shared" si="26"/>
        <v>무부하 랙</v>
      </c>
      <c r="AJ89" t="str">
        <f t="shared" si="29"/>
        <v/>
      </c>
      <c r="AK89" t="str">
        <f t="shared" si="30"/>
        <v/>
      </c>
      <c r="AP89" s="123"/>
      <c r="AQ89" s="123"/>
      <c r="AR89" s="123"/>
      <c r="AS89" s="3084"/>
      <c r="AT89" s="123"/>
      <c r="AU89" s="123"/>
      <c r="AV89" s="3092"/>
      <c r="AW89" s="3086"/>
      <c r="AX89" s="3087"/>
      <c r="AY89" s="3088"/>
      <c r="AZ89" s="3089"/>
      <c r="BA89" s="3090"/>
      <c r="BB89" s="1"/>
    </row>
    <row r="90" spans="1:54" ht="13.5" customHeight="1">
      <c r="A90" s="3454"/>
      <c r="B90" s="3349"/>
      <c r="C90" s="3363"/>
      <c r="D90" s="3432"/>
      <c r="E90" s="2181"/>
      <c r="F90" s="2181"/>
      <c r="G90" s="2182"/>
      <c r="H90" s="2183"/>
      <c r="I90" s="2184" t="str">
        <f t="shared" si="14"/>
        <v>5-DaHall1-PDU-03-30-45</v>
      </c>
      <c r="J90" s="2185" t="str">
        <f t="shared" si="22"/>
        <v>5-DaHall1-PDU-04-30-45</v>
      </c>
      <c r="K90" s="1773"/>
      <c r="L90" s="1774">
        <v>30</v>
      </c>
      <c r="M90" s="2392" t="s">
        <v>6500</v>
      </c>
      <c r="N90" s="2186">
        <v>45</v>
      </c>
      <c r="O90" s="1775"/>
      <c r="P90" s="1776">
        <v>30</v>
      </c>
      <c r="Q90" s="2417" t="s">
        <v>6495</v>
      </c>
      <c r="R90" s="2187">
        <v>45</v>
      </c>
      <c r="S90" s="3473"/>
      <c r="T90" s="3476"/>
      <c r="U90" s="3364"/>
      <c r="V90" s="3365"/>
      <c r="W90" s="3364"/>
      <c r="X90" s="3365"/>
      <c r="Y90" s="2234">
        <f>SUM('5층_부하량(월간_AVG)'!D110:F110)</f>
        <v>0</v>
      </c>
      <c r="Z90" s="2234">
        <f>SUM('5층_부하량(월간_AVG)'!D140:F140)</f>
        <v>0</v>
      </c>
      <c r="AA90" s="3397"/>
      <c r="AB90" s="2755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56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534"/>
      <c r="AE90" s="2523"/>
      <c r="AG90" s="2367">
        <f t="shared" si="27"/>
        <v>0</v>
      </c>
      <c r="AH90" s="2367">
        <f t="shared" si="28"/>
        <v>0</v>
      </c>
      <c r="AI90" s="123" t="str">
        <f t="shared" si="26"/>
        <v>무부하 랙</v>
      </c>
      <c r="AJ90" t="str">
        <f t="shared" si="29"/>
        <v/>
      </c>
      <c r="AK90" t="str">
        <f t="shared" si="30"/>
        <v/>
      </c>
      <c r="AP90" s="123"/>
      <c r="AQ90" s="123"/>
      <c r="AR90" s="123"/>
      <c r="AS90" s="3084"/>
      <c r="AT90" s="123"/>
      <c r="AU90" s="123"/>
      <c r="AV90" s="3092"/>
      <c r="AW90" s="3086"/>
      <c r="AX90" s="3087"/>
      <c r="AY90" s="3088"/>
      <c r="AZ90" s="3089"/>
      <c r="BA90" s="3090"/>
      <c r="BB90" s="1"/>
    </row>
    <row r="91" spans="1:54" ht="13.5" customHeight="1">
      <c r="A91" s="3453" t="s">
        <v>540</v>
      </c>
      <c r="B91" s="3348" t="s">
        <v>2854</v>
      </c>
      <c r="C91" s="3362" t="s">
        <v>2837</v>
      </c>
      <c r="D91" s="3432">
        <v>2.2000000000000002</v>
      </c>
      <c r="E91" s="2163"/>
      <c r="F91" s="2163"/>
      <c r="G91" s="2164"/>
      <c r="H91" s="2165"/>
      <c r="I91" s="2166" t="str">
        <f t="shared" si="14"/>
        <v>5-DaHall1-PDU-03-30-14</v>
      </c>
      <c r="J91" s="2167" t="str">
        <f t="shared" si="22"/>
        <v>5-DaHall1-PDU-04-30-14</v>
      </c>
      <c r="K91" s="1766"/>
      <c r="L91" s="1767">
        <v>30</v>
      </c>
      <c r="M91" s="2390" t="s">
        <v>6500</v>
      </c>
      <c r="N91" s="2168">
        <v>14</v>
      </c>
      <c r="O91" s="1769"/>
      <c r="P91" s="1770">
        <v>30</v>
      </c>
      <c r="Q91" s="2415" t="s">
        <v>6495</v>
      </c>
      <c r="R91" s="2169">
        <v>14</v>
      </c>
      <c r="S91" s="3473"/>
      <c r="T91" s="3476"/>
      <c r="U91" s="3364"/>
      <c r="V91" s="3365"/>
      <c r="W91" s="3364"/>
      <c r="X91" s="3365"/>
      <c r="Y91" s="2233">
        <f>SUM('5층_부하량(월간_AVG)'!N94:P94)</f>
        <v>0.35327930356234394</v>
      </c>
      <c r="Z91" s="2233">
        <f>SUM('5층_부하량(월간_AVG)'!N124:P124)</f>
        <v>0.93726269126214068</v>
      </c>
      <c r="AA91" s="3396">
        <f>SUM(Y91:Z92)</f>
        <v>8.499526081016505</v>
      </c>
      <c r="AB91" s="2751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45.9</v>
      </c>
      <c r="AC91" s="2752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149.4</v>
      </c>
      <c r="AD91" s="3533">
        <f>SUM(AB91:AC92)</f>
        <v>1280.5999999999999</v>
      </c>
      <c r="AE91" s="2521"/>
      <c r="AG91" s="2367">
        <f t="shared" si="27"/>
        <v>1.7212365591397849</v>
      </c>
      <c r="AH91" s="2367">
        <f t="shared" si="28"/>
        <v>0.47876344086021527</v>
      </c>
      <c r="AI91" s="123" t="str">
        <f t="shared" si="26"/>
        <v>적정함</v>
      </c>
      <c r="AJ91" t="str">
        <f t="shared" si="29"/>
        <v/>
      </c>
      <c r="AK91" t="str">
        <f t="shared" si="30"/>
        <v/>
      </c>
      <c r="AP91" s="123"/>
      <c r="AQ91" s="123"/>
      <c r="AR91" s="123"/>
      <c r="AS91" s="3084"/>
      <c r="AT91" s="123"/>
      <c r="AU91" s="123"/>
      <c r="AV91" s="3092"/>
      <c r="AW91" s="3086"/>
      <c r="AX91" s="3087"/>
      <c r="AY91" s="3088"/>
      <c r="AZ91" s="3089"/>
      <c r="BA91" s="3090"/>
      <c r="BB91" s="1"/>
    </row>
    <row r="92" spans="1:54" ht="13.5" customHeight="1">
      <c r="A92" s="3454"/>
      <c r="B92" s="3349"/>
      <c r="C92" s="3363"/>
      <c r="D92" s="3432"/>
      <c r="E92" s="2181"/>
      <c r="F92" s="2181"/>
      <c r="G92" s="2182"/>
      <c r="H92" s="2183"/>
      <c r="I92" s="2184" t="str">
        <f t="shared" si="14"/>
        <v>5-DaHall1-PDU-03-30-37</v>
      </c>
      <c r="J92" s="2185" t="str">
        <f t="shared" si="22"/>
        <v>5-DaHall1-PDU-04-30-37</v>
      </c>
      <c r="K92" s="1773"/>
      <c r="L92" s="1774">
        <v>30</v>
      </c>
      <c r="M92" s="2392" t="s">
        <v>6500</v>
      </c>
      <c r="N92" s="2186">
        <v>37</v>
      </c>
      <c r="O92" s="1775"/>
      <c r="P92" s="1776">
        <v>30</v>
      </c>
      <c r="Q92" s="2417" t="s">
        <v>6495</v>
      </c>
      <c r="R92" s="2187">
        <v>37</v>
      </c>
      <c r="S92" s="3473"/>
      <c r="T92" s="3476"/>
      <c r="U92" s="3364"/>
      <c r="V92" s="3365"/>
      <c r="W92" s="3364"/>
      <c r="X92" s="3365"/>
      <c r="Y92" s="2234">
        <f>SUM('5층_부하량(월간_AVG)'!D106:F106)</f>
        <v>3.2987515293294485</v>
      </c>
      <c r="Z92" s="2234">
        <f>SUM('5층_부하량(월간_AVG)'!D136:F136)</f>
        <v>3.9102325568625713</v>
      </c>
      <c r="AA92" s="3397"/>
      <c r="AB92" s="2755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490.9</v>
      </c>
      <c r="AC92" s="2756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594.4</v>
      </c>
      <c r="AD92" s="3534"/>
      <c r="AE92" s="2523"/>
      <c r="AG92" s="2367">
        <f t="shared" si="27"/>
        <v>0</v>
      </c>
      <c r="AH92" s="2367">
        <f t="shared" si="28"/>
        <v>0</v>
      </c>
      <c r="AI92" s="123" t="str">
        <f t="shared" si="26"/>
        <v>무부하 랙</v>
      </c>
      <c r="AJ92" t="str">
        <f t="shared" si="29"/>
        <v/>
      </c>
      <c r="AK92" t="str">
        <f t="shared" si="30"/>
        <v/>
      </c>
      <c r="AP92" s="123"/>
      <c r="AQ92" s="123"/>
      <c r="AR92" s="123"/>
      <c r="AS92" s="3084"/>
      <c r="AT92" s="123"/>
      <c r="AU92" s="123"/>
      <c r="AV92" s="3092"/>
      <c r="AW92" s="3086"/>
      <c r="AX92" s="3087"/>
      <c r="AY92" s="3088"/>
      <c r="AZ92" s="3089"/>
      <c r="BA92" s="3090"/>
      <c r="BB92" s="1"/>
    </row>
    <row r="93" spans="1:54" ht="13.5" customHeight="1">
      <c r="A93" s="3453" t="s">
        <v>1644</v>
      </c>
      <c r="B93" s="3348" t="s">
        <v>2855</v>
      </c>
      <c r="C93" s="3362" t="s">
        <v>2837</v>
      </c>
      <c r="D93" s="3432">
        <v>2.2000000000000002</v>
      </c>
      <c r="E93" s="2163"/>
      <c r="F93" s="2163"/>
      <c r="G93" s="2164"/>
      <c r="H93" s="2165"/>
      <c r="I93" s="2166" t="str">
        <f t="shared" si="14"/>
        <v>5-DaHall1-PDU-03-30-16</v>
      </c>
      <c r="J93" s="2167" t="str">
        <f t="shared" si="22"/>
        <v>5-DaHall1-PDU-04-30-16</v>
      </c>
      <c r="K93" s="1766"/>
      <c r="L93" s="1767">
        <v>30</v>
      </c>
      <c r="M93" s="2390" t="s">
        <v>6500</v>
      </c>
      <c r="N93" s="2168">
        <v>16</v>
      </c>
      <c r="O93" s="1769"/>
      <c r="P93" s="1770">
        <v>30</v>
      </c>
      <c r="Q93" s="2415" t="s">
        <v>6495</v>
      </c>
      <c r="R93" s="2169">
        <v>16</v>
      </c>
      <c r="S93" s="3473"/>
      <c r="T93" s="3476"/>
      <c r="U93" s="3364"/>
      <c r="V93" s="3365"/>
      <c r="W93" s="3364"/>
      <c r="X93" s="3365"/>
      <c r="Y93" s="2233">
        <f>SUM('5층_부하량(월간_AVG)'!N95:P95)</f>
        <v>3.889354679219581</v>
      </c>
      <c r="Z93" s="2233">
        <f>SUM('5층_부하량(월간_AVG)'!N125:P125)</f>
        <v>3.8761523265648785</v>
      </c>
      <c r="AA93" s="3396">
        <f>SUM(Y93:Z94)</f>
        <v>10.961128307488329</v>
      </c>
      <c r="AB93" s="2751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628.6</v>
      </c>
      <c r="AC93" s="2752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627.6</v>
      </c>
      <c r="AD93" s="3533">
        <f>SUM(AB93:AC94)</f>
        <v>1705.3</v>
      </c>
      <c r="AE93" s="2521"/>
      <c r="AG93" s="2367">
        <f t="shared" si="27"/>
        <v>2.2920698924731182</v>
      </c>
      <c r="AH93" s="2367">
        <f t="shared" si="28"/>
        <v>-9.2069892473118031E-2</v>
      </c>
      <c r="AI93" s="123" t="str">
        <f t="shared" si="26"/>
        <v>사용초과</v>
      </c>
      <c r="AJ93" t="str">
        <f t="shared" si="29"/>
        <v>KG이니시스</v>
      </c>
      <c r="AK93" t="str">
        <f t="shared" si="30"/>
        <v>B318</v>
      </c>
      <c r="AP93" s="123"/>
      <c r="AQ93" s="123"/>
      <c r="AR93" s="123"/>
      <c r="AS93" s="3084"/>
      <c r="AT93" s="123"/>
      <c r="AU93" s="123"/>
      <c r="AV93" s="3092"/>
      <c r="AW93" s="3086"/>
      <c r="AX93" s="3087"/>
      <c r="AY93" s="3088"/>
      <c r="AZ93" s="3089"/>
      <c r="BA93" s="3090"/>
      <c r="BB93" s="1"/>
    </row>
    <row r="94" spans="1:54" ht="13.5" customHeight="1">
      <c r="A94" s="3454"/>
      <c r="B94" s="3349"/>
      <c r="C94" s="3363"/>
      <c r="D94" s="3432"/>
      <c r="E94" s="2181"/>
      <c r="F94" s="2181"/>
      <c r="G94" s="2182"/>
      <c r="H94" s="2183"/>
      <c r="I94" s="2184" t="str">
        <f t="shared" si="14"/>
        <v>5-DaHall1-PDU-03-30-39</v>
      </c>
      <c r="J94" s="2185" t="str">
        <f t="shared" si="22"/>
        <v>5-DaHall1-PDU-04-30-39</v>
      </c>
      <c r="K94" s="1773"/>
      <c r="L94" s="1774">
        <v>30</v>
      </c>
      <c r="M94" s="2392" t="s">
        <v>6500</v>
      </c>
      <c r="N94" s="2186">
        <v>39</v>
      </c>
      <c r="O94" s="1775"/>
      <c r="P94" s="1776">
        <v>30</v>
      </c>
      <c r="Q94" s="2417" t="s">
        <v>6495</v>
      </c>
      <c r="R94" s="2187">
        <v>39</v>
      </c>
      <c r="S94" s="3473"/>
      <c r="T94" s="3476"/>
      <c r="U94" s="3364"/>
      <c r="V94" s="3365"/>
      <c r="W94" s="3364"/>
      <c r="X94" s="3365"/>
      <c r="Y94" s="2234">
        <f>SUM('5층_부하량(월간_AVG)'!D107:F107)</f>
        <v>1.8928419745593879</v>
      </c>
      <c r="Z94" s="2234">
        <f>SUM('5층_부하량(월간_AVG)'!D137:F137)</f>
        <v>1.3027793271444812</v>
      </c>
      <c r="AA94" s="3397"/>
      <c r="AB94" s="2755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280.39999999999998</v>
      </c>
      <c r="AC94" s="2756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168.7</v>
      </c>
      <c r="AD94" s="3534"/>
      <c r="AE94" s="2523"/>
      <c r="AG94" s="2367">
        <f t="shared" si="27"/>
        <v>0</v>
      </c>
      <c r="AH94" s="2367">
        <f t="shared" si="28"/>
        <v>0</v>
      </c>
      <c r="AI94" s="123" t="str">
        <f t="shared" si="26"/>
        <v>무부하 랙</v>
      </c>
      <c r="AJ94" t="str">
        <f t="shared" si="29"/>
        <v/>
      </c>
      <c r="AK94" t="str">
        <f t="shared" si="30"/>
        <v/>
      </c>
      <c r="AP94" s="123"/>
      <c r="AQ94" s="123"/>
      <c r="AR94" s="123"/>
      <c r="AS94" s="3084"/>
      <c r="AT94" s="123"/>
      <c r="AU94" s="123"/>
      <c r="AV94" s="3092"/>
      <c r="AW94" s="3086"/>
      <c r="AX94" s="3087"/>
      <c r="AY94" s="3088"/>
      <c r="AZ94" s="3089"/>
      <c r="BA94" s="3090"/>
      <c r="BB94" s="1"/>
    </row>
    <row r="95" spans="1:54" ht="15.6">
      <c r="A95" s="2669" t="s">
        <v>1650</v>
      </c>
      <c r="B95" s="2657" t="s">
        <v>2856</v>
      </c>
      <c r="C95" s="2976" t="s">
        <v>2837</v>
      </c>
      <c r="D95" s="3035">
        <v>2.2000000000000002</v>
      </c>
      <c r="E95" s="2657"/>
      <c r="F95" s="2657"/>
      <c r="G95" s="2678"/>
      <c r="H95" s="2677"/>
      <c r="I95" s="2206" t="str">
        <f t="shared" si="14"/>
        <v>5-DaHall1-PDU-03-30-18</v>
      </c>
      <c r="J95" s="2207" t="str">
        <f t="shared" si="22"/>
        <v>5-DaHall1-PDU-04-30-18</v>
      </c>
      <c r="K95" s="2208"/>
      <c r="L95" s="2209">
        <v>30</v>
      </c>
      <c r="M95" s="2395" t="s">
        <v>6500</v>
      </c>
      <c r="N95" s="2210">
        <v>18</v>
      </c>
      <c r="O95" s="2211"/>
      <c r="P95" s="2212">
        <v>30</v>
      </c>
      <c r="Q95" s="2420" t="s">
        <v>6495</v>
      </c>
      <c r="R95" s="2213">
        <v>18</v>
      </c>
      <c r="S95" s="3473"/>
      <c r="T95" s="3476"/>
      <c r="U95" s="3364"/>
      <c r="V95" s="3365"/>
      <c r="W95" s="3364"/>
      <c r="X95" s="3365"/>
      <c r="Y95" s="268">
        <f>SUM('5층_부하량(월간_AVG)'!N96:P96)</f>
        <v>0.84997679531998849</v>
      </c>
      <c r="Z95" s="268">
        <f>SUM('5층_부하량(월간_AVG)'!N126:P126)</f>
        <v>0.85031646412686934</v>
      </c>
      <c r="AA95" s="2452">
        <f t="shared" ref="AA95:AA101" si="33">SUM(Y95:Z95)</f>
        <v>1.7002932594468578</v>
      </c>
      <c r="AB95" s="2727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106.2</v>
      </c>
      <c r="AC95" s="2728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77">
        <f>SUM(AB95:AC95)</f>
        <v>214.2</v>
      </c>
      <c r="AE95" s="2467"/>
      <c r="AG95" s="2367">
        <f t="shared" si="27"/>
        <v>0.28790322580645161</v>
      </c>
      <c r="AH95" s="2367">
        <f t="shared" si="28"/>
        <v>1.9120967741935486</v>
      </c>
      <c r="AI95" s="123" t="str">
        <f t="shared" si="26"/>
        <v>적정함</v>
      </c>
      <c r="AJ95" t="str">
        <f t="shared" si="29"/>
        <v/>
      </c>
      <c r="AK95" t="str">
        <f t="shared" si="30"/>
        <v/>
      </c>
      <c r="AP95" s="123"/>
      <c r="AQ95" s="123"/>
      <c r="AR95" s="123"/>
      <c r="AS95" s="3084"/>
      <c r="AT95" s="123"/>
      <c r="AU95" s="123"/>
      <c r="AV95" s="3092"/>
      <c r="AW95" s="3086"/>
      <c r="AX95" s="3087"/>
      <c r="AY95" s="3088"/>
      <c r="AZ95" s="3089"/>
      <c r="BA95" s="3090"/>
      <c r="BB95" s="1"/>
    </row>
    <row r="96" spans="1:54" ht="15.6">
      <c r="A96" s="2669" t="s">
        <v>1656</v>
      </c>
      <c r="B96" s="2657" t="s">
        <v>2857</v>
      </c>
      <c r="C96" s="2976" t="s">
        <v>2837</v>
      </c>
      <c r="D96" s="3035">
        <v>2.2000000000000002</v>
      </c>
      <c r="E96" s="2657"/>
      <c r="F96" s="2657"/>
      <c r="G96" s="2678"/>
      <c r="H96" s="2677"/>
      <c r="I96" s="2206" t="str">
        <f t="shared" si="14"/>
        <v>5-DaHall1-PDU-03-30-20</v>
      </c>
      <c r="J96" s="2207" t="str">
        <f t="shared" si="22"/>
        <v>5-DaHall1-PDU-04-30-20</v>
      </c>
      <c r="K96" s="2208"/>
      <c r="L96" s="2209">
        <v>30</v>
      </c>
      <c r="M96" s="2395" t="s">
        <v>6500</v>
      </c>
      <c r="N96" s="2210">
        <v>20</v>
      </c>
      <c r="O96" s="2211"/>
      <c r="P96" s="2212">
        <v>30</v>
      </c>
      <c r="Q96" s="2420" t="s">
        <v>6495</v>
      </c>
      <c r="R96" s="2213">
        <v>20</v>
      </c>
      <c r="S96" s="3473"/>
      <c r="T96" s="3476"/>
      <c r="U96" s="3364"/>
      <c r="V96" s="3365"/>
      <c r="W96" s="3364"/>
      <c r="X96" s="3365"/>
      <c r="Y96" s="268">
        <f>SUM('5층_부하량(월간_AVG)'!N97:P97)</f>
        <v>2.8358334802097156</v>
      </c>
      <c r="Z96" s="268">
        <f>SUM('5층_부하량(월간_AVG)'!N127:P127)</f>
        <v>1.8381848661446427</v>
      </c>
      <c r="AA96" s="2452">
        <f t="shared" si="33"/>
        <v>4.6740183463543588</v>
      </c>
      <c r="AB96" s="2727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C96" s="2728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D96" s="2477">
        <f t="shared" ref="AD96:AD110" si="34">SUM(AB96:AC96)</f>
        <v>837.8</v>
      </c>
      <c r="AE96" s="2467"/>
      <c r="AG96" s="2367">
        <f t="shared" si="27"/>
        <v>1.1260752688172042</v>
      </c>
      <c r="AH96" s="2367">
        <f t="shared" si="28"/>
        <v>1.073924731182796</v>
      </c>
      <c r="AI96" s="123" t="str">
        <f t="shared" si="26"/>
        <v>적정함</v>
      </c>
      <c r="AJ96" t="str">
        <f t="shared" si="29"/>
        <v/>
      </c>
      <c r="AK96" t="str">
        <f t="shared" si="30"/>
        <v/>
      </c>
      <c r="AP96" s="123"/>
      <c r="AQ96" s="123"/>
      <c r="AR96" s="123"/>
      <c r="AS96" s="3084"/>
      <c r="AT96" s="123"/>
      <c r="AU96" s="123"/>
      <c r="AV96" s="3092"/>
      <c r="AW96" s="3086"/>
      <c r="AX96" s="3087"/>
      <c r="AY96" s="3088"/>
      <c r="AZ96" s="3089"/>
      <c r="BA96" s="3090"/>
      <c r="BB96" s="1"/>
    </row>
    <row r="97" spans="1:54" ht="15.6">
      <c r="A97" s="2669" t="s">
        <v>1662</v>
      </c>
      <c r="B97" s="2657" t="s">
        <v>2858</v>
      </c>
      <c r="C97" s="2664" t="s">
        <v>2837</v>
      </c>
      <c r="D97" s="3035">
        <v>2.2000000000000002</v>
      </c>
      <c r="E97" s="250"/>
      <c r="F97" s="250"/>
      <c r="G97" s="2665"/>
      <c r="H97" s="2666"/>
      <c r="I97" s="1598" t="str">
        <f t="shared" si="14"/>
        <v>5-DaHall1-PDU-03-30-22</v>
      </c>
      <c r="J97" s="1599" t="str">
        <f t="shared" si="22"/>
        <v>5-DaHall1-PDU-04-30-22</v>
      </c>
      <c r="K97" s="1561"/>
      <c r="L97" s="1562">
        <v>30</v>
      </c>
      <c r="M97" s="2380" t="s">
        <v>6500</v>
      </c>
      <c r="N97" s="1563">
        <v>22</v>
      </c>
      <c r="O97" s="1564"/>
      <c r="P97" s="1565">
        <v>30</v>
      </c>
      <c r="Q97" s="2410" t="s">
        <v>6495</v>
      </c>
      <c r="R97" s="1566">
        <v>22</v>
      </c>
      <c r="S97" s="3473"/>
      <c r="T97" s="3476"/>
      <c r="U97" s="3364"/>
      <c r="V97" s="3365"/>
      <c r="W97" s="3364"/>
      <c r="X97" s="3365"/>
      <c r="Y97" s="268">
        <f>SUM('5층_부하량(월간_AVG)'!N98:P98)</f>
        <v>3.0081968000988852</v>
      </c>
      <c r="Z97" s="268">
        <f>SUM('5층_부하량(월간_AVG)'!N128:P128)</f>
        <v>3.4431537094775968</v>
      </c>
      <c r="AA97" s="2452">
        <f t="shared" si="33"/>
        <v>6.451350509576482</v>
      </c>
      <c r="AB97" s="2727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C97" s="2728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D97" s="2477">
        <f t="shared" si="34"/>
        <v>808.4</v>
      </c>
      <c r="AE97" s="2467"/>
      <c r="AG97" s="2367">
        <f t="shared" si="27"/>
        <v>1.0865591397849461</v>
      </c>
      <c r="AH97" s="2367">
        <f t="shared" si="28"/>
        <v>1.1134408602150541</v>
      </c>
      <c r="AI97" s="123" t="str">
        <f t="shared" si="26"/>
        <v>적정함</v>
      </c>
      <c r="AJ97" t="str">
        <f t="shared" si="29"/>
        <v/>
      </c>
      <c r="AK97" t="str">
        <f t="shared" si="30"/>
        <v/>
      </c>
      <c r="AP97" s="123"/>
      <c r="AQ97" s="123"/>
      <c r="AR97" s="123"/>
      <c r="AS97" s="3084"/>
      <c r="AT97" s="123"/>
      <c r="AU97" s="123"/>
      <c r="AV97" s="3092"/>
      <c r="AW97" s="3086"/>
      <c r="AX97" s="3087"/>
      <c r="AY97" s="3088"/>
      <c r="AZ97" s="3089"/>
      <c r="BA97" s="3090"/>
      <c r="BB97" s="1"/>
    </row>
    <row r="98" spans="1:54" ht="16.2" thickBot="1">
      <c r="A98" s="2667" t="s">
        <v>1668</v>
      </c>
      <c r="B98" s="2661" t="s">
        <v>2859</v>
      </c>
      <c r="C98" s="2688" t="s">
        <v>2837</v>
      </c>
      <c r="D98" s="3036">
        <v>2.2000000000000002</v>
      </c>
      <c r="E98" s="2661"/>
      <c r="F98" s="2661"/>
      <c r="G98" s="2675"/>
      <c r="H98" s="2676"/>
      <c r="I98" s="1600" t="str">
        <f t="shared" ref="I98:I101" si="35">"5-DaHall1-PDU-"&amp;M98&amp;"-"&amp;L98&amp;"-"&amp;N98</f>
        <v>5-DaHall1-PDU-03-30-24</v>
      </c>
      <c r="J98" s="1601" t="str">
        <f t="shared" si="22"/>
        <v>5-DaHall1-PDU-04-30-24</v>
      </c>
      <c r="K98" s="1571"/>
      <c r="L98" s="1572">
        <v>30</v>
      </c>
      <c r="M98" s="2381" t="s">
        <v>6500</v>
      </c>
      <c r="N98" s="1573">
        <v>24</v>
      </c>
      <c r="O98" s="1574"/>
      <c r="P98" s="1575">
        <v>30</v>
      </c>
      <c r="Q98" s="2411" t="s">
        <v>6495</v>
      </c>
      <c r="R98" s="1576">
        <v>24</v>
      </c>
      <c r="S98" s="3473"/>
      <c r="T98" s="3476"/>
      <c r="U98" s="3364"/>
      <c r="V98" s="3365"/>
      <c r="W98" s="3364"/>
      <c r="X98" s="3365"/>
      <c r="Y98" s="330">
        <f>SUM('5층_부하량(월간_AVG)'!N99:P99)</f>
        <v>0</v>
      </c>
      <c r="Z98" s="330">
        <f>SUM('5층_부하량(월간_AVG)'!N129:P129)</f>
        <v>0</v>
      </c>
      <c r="AA98" s="2453">
        <f t="shared" si="33"/>
        <v>0</v>
      </c>
      <c r="AB98" s="2733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34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78">
        <f t="shared" si="34"/>
        <v>0</v>
      </c>
      <c r="AE98" s="2468"/>
      <c r="AG98" s="2367">
        <f t="shared" si="27"/>
        <v>0</v>
      </c>
      <c r="AH98" s="2367">
        <f t="shared" si="28"/>
        <v>2.2000000000000002</v>
      </c>
      <c r="AI98" s="123" t="str">
        <f t="shared" si="26"/>
        <v>무부하 랙</v>
      </c>
      <c r="AJ98" t="str">
        <f t="shared" si="29"/>
        <v/>
      </c>
      <c r="AK98" t="str">
        <f t="shared" si="30"/>
        <v/>
      </c>
      <c r="AP98" s="123"/>
      <c r="AQ98" s="123"/>
      <c r="AR98" s="123"/>
      <c r="AS98" s="3084"/>
      <c r="AT98" s="123"/>
      <c r="AU98" s="123"/>
      <c r="AV98" s="3092"/>
      <c r="AW98" s="3086"/>
      <c r="AX98" s="3087"/>
      <c r="AY98" s="3088"/>
      <c r="AZ98" s="3089"/>
      <c r="BA98" s="3090"/>
      <c r="BB98" s="1"/>
    </row>
    <row r="99" spans="1:54" ht="16.2" thickTop="1">
      <c r="A99" s="2669" t="s">
        <v>360</v>
      </c>
      <c r="B99" s="2657" t="s">
        <v>2860</v>
      </c>
      <c r="C99" s="2976" t="s">
        <v>2837</v>
      </c>
      <c r="D99" s="3040">
        <v>2.2000000000000002</v>
      </c>
      <c r="E99" s="2657"/>
      <c r="F99" s="2657"/>
      <c r="G99" s="2678"/>
      <c r="H99" s="2677"/>
      <c r="I99" s="2206" t="str">
        <f t="shared" si="35"/>
        <v>5-DaHall1-PDU-03-30-26</v>
      </c>
      <c r="J99" s="2207" t="str">
        <f t="shared" si="22"/>
        <v>5-DaHall1-PDU-04-30-26</v>
      </c>
      <c r="K99" s="2208"/>
      <c r="L99" s="2209">
        <v>30</v>
      </c>
      <c r="M99" s="2395" t="s">
        <v>6500</v>
      </c>
      <c r="N99" s="2210">
        <v>26</v>
      </c>
      <c r="O99" s="2211"/>
      <c r="P99" s="2212">
        <v>30</v>
      </c>
      <c r="Q99" s="2420" t="s">
        <v>6495</v>
      </c>
      <c r="R99" s="2213">
        <v>26</v>
      </c>
      <c r="S99" s="3473"/>
      <c r="T99" s="3476"/>
      <c r="U99" s="3364"/>
      <c r="V99" s="3365"/>
      <c r="W99" s="3364"/>
      <c r="X99" s="3365"/>
      <c r="Y99" s="2232">
        <f>SUM('5층_부하량(월간_AVG)'!N100:P100)</f>
        <v>0</v>
      </c>
      <c r="Z99" s="836">
        <f>SUM('5층_부하량(월간_AVG)'!N130:P130)</f>
        <v>0</v>
      </c>
      <c r="AA99" s="2458">
        <f t="shared" si="33"/>
        <v>0</v>
      </c>
      <c r="AB99" s="2749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50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85">
        <f t="shared" si="34"/>
        <v>0</v>
      </c>
      <c r="AE99" s="2520"/>
      <c r="AG99" s="2367">
        <f t="shared" si="27"/>
        <v>0</v>
      </c>
      <c r="AH99" s="2367">
        <f t="shared" si="28"/>
        <v>2.2000000000000002</v>
      </c>
      <c r="AI99" s="123" t="str">
        <f t="shared" si="26"/>
        <v>무부하 랙</v>
      </c>
      <c r="AJ99" t="str">
        <f t="shared" si="29"/>
        <v/>
      </c>
      <c r="AK99" t="str">
        <f t="shared" si="30"/>
        <v/>
      </c>
      <c r="AP99" s="123"/>
      <c r="AQ99" s="123"/>
      <c r="AR99" s="123"/>
      <c r="AS99" s="3084"/>
      <c r="AT99" s="123"/>
      <c r="AU99" s="123"/>
      <c r="AV99" s="3092"/>
      <c r="AW99" s="3086"/>
      <c r="AX99" s="3087"/>
      <c r="AY99" s="3088"/>
      <c r="AZ99" s="3089"/>
      <c r="BA99" s="3090"/>
      <c r="BB99" s="1"/>
    </row>
    <row r="100" spans="1:54" ht="15.6">
      <c r="A100" s="2161" t="s">
        <v>356</v>
      </c>
      <c r="B100" s="250" t="s">
        <v>2861</v>
      </c>
      <c r="C100" s="2664" t="s">
        <v>2837</v>
      </c>
      <c r="D100" s="3035">
        <v>2.2000000000000002</v>
      </c>
      <c r="E100" s="250"/>
      <c r="F100" s="250"/>
      <c r="G100" s="2665"/>
      <c r="H100" s="2666"/>
      <c r="I100" s="1598" t="str">
        <f t="shared" si="35"/>
        <v>5-DaHall1-PDU-03-30-28</v>
      </c>
      <c r="J100" s="1599" t="str">
        <f t="shared" si="22"/>
        <v>5-DaHall1-PDU-04-30-28</v>
      </c>
      <c r="K100" s="1561"/>
      <c r="L100" s="1562">
        <v>30</v>
      </c>
      <c r="M100" s="2380" t="s">
        <v>6500</v>
      </c>
      <c r="N100" s="1563">
        <v>28</v>
      </c>
      <c r="O100" s="1564"/>
      <c r="P100" s="1565">
        <v>30</v>
      </c>
      <c r="Q100" s="2410" t="s">
        <v>6495</v>
      </c>
      <c r="R100" s="1566">
        <v>28</v>
      </c>
      <c r="S100" s="3473"/>
      <c r="T100" s="3476"/>
      <c r="U100" s="3364"/>
      <c r="V100" s="3365"/>
      <c r="W100" s="3364"/>
      <c r="X100" s="3365"/>
      <c r="Y100" s="268">
        <f>SUM('5층_부하량(월간_AVG)'!N101:P101)</f>
        <v>0</v>
      </c>
      <c r="Z100" s="268">
        <f>SUM('5층_부하량(월간_AVG)'!N131:P131)</f>
        <v>0</v>
      </c>
      <c r="AA100" s="2452">
        <f t="shared" si="33"/>
        <v>0</v>
      </c>
      <c r="AB100" s="2727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28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77">
        <f t="shared" si="34"/>
        <v>0</v>
      </c>
      <c r="AE100" s="2467"/>
      <c r="AG100" s="2367">
        <f t="shared" si="27"/>
        <v>0</v>
      </c>
      <c r="AH100" s="2367">
        <f t="shared" si="28"/>
        <v>2.2000000000000002</v>
      </c>
      <c r="AI100" s="123" t="str">
        <f t="shared" si="26"/>
        <v>무부하 랙</v>
      </c>
      <c r="AJ100" t="str">
        <f t="shared" si="29"/>
        <v/>
      </c>
      <c r="AK100" t="str">
        <f t="shared" si="30"/>
        <v/>
      </c>
      <c r="AP100" s="123"/>
      <c r="AQ100" s="123"/>
      <c r="AR100" s="123"/>
      <c r="AS100" s="3084"/>
      <c r="AT100" s="123"/>
      <c r="AU100" s="123"/>
      <c r="AV100" s="3092"/>
      <c r="AW100" s="3086"/>
      <c r="AX100" s="3087"/>
      <c r="AY100" s="3088"/>
      <c r="AZ100" s="3089"/>
      <c r="BA100" s="3090"/>
      <c r="BB100" s="1"/>
    </row>
    <row r="101" spans="1:54" ht="16.2" thickBot="1">
      <c r="A101" s="2162" t="s">
        <v>352</v>
      </c>
      <c r="B101" s="2661" t="s">
        <v>2862</v>
      </c>
      <c r="C101" s="2688" t="s">
        <v>2837</v>
      </c>
      <c r="D101" s="3039"/>
      <c r="E101" s="2661"/>
      <c r="F101" s="2661"/>
      <c r="G101" s="2675"/>
      <c r="H101" s="2676"/>
      <c r="I101" s="1600" t="str">
        <f t="shared" si="35"/>
        <v>5-DaHall1-PDU-03-30-30</v>
      </c>
      <c r="J101" s="1601" t="str">
        <f t="shared" si="22"/>
        <v>5-DaHall1-PDU-04-30-30</v>
      </c>
      <c r="K101" s="1571"/>
      <c r="L101" s="1572">
        <v>30</v>
      </c>
      <c r="M101" s="2381" t="s">
        <v>6500</v>
      </c>
      <c r="N101" s="1573">
        <v>30</v>
      </c>
      <c r="O101" s="1574"/>
      <c r="P101" s="1575">
        <v>30</v>
      </c>
      <c r="Q101" s="2411" t="s">
        <v>6495</v>
      </c>
      <c r="R101" s="1576">
        <v>30</v>
      </c>
      <c r="S101" s="3474"/>
      <c r="T101" s="3477"/>
      <c r="U101" s="3372"/>
      <c r="V101" s="3371"/>
      <c r="W101" s="3372"/>
      <c r="X101" s="3371"/>
      <c r="Y101" s="330">
        <f>SUM('5층_부하량(월간_AVG)'!N102:P102)</f>
        <v>0</v>
      </c>
      <c r="Z101" s="330">
        <f>SUM('5층_부하량(월간_AVG)'!N132:P132)</f>
        <v>0</v>
      </c>
      <c r="AA101" s="2453">
        <f t="shared" si="33"/>
        <v>0</v>
      </c>
      <c r="AB101" s="2862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34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78">
        <f t="shared" si="34"/>
        <v>0</v>
      </c>
      <c r="AE101" s="2468"/>
      <c r="AG101" s="2367">
        <f t="shared" si="27"/>
        <v>0</v>
      </c>
      <c r="AH101" s="2367">
        <f t="shared" si="28"/>
        <v>0</v>
      </c>
      <c r="AI101" s="123" t="str">
        <f t="shared" si="26"/>
        <v>무부하 랙</v>
      </c>
      <c r="AJ101" t="str">
        <f t="shared" si="29"/>
        <v/>
      </c>
      <c r="AK101" t="str">
        <f t="shared" si="30"/>
        <v/>
      </c>
      <c r="AP101" s="123"/>
      <c r="AQ101" s="123"/>
      <c r="AR101" s="123"/>
      <c r="AS101" s="3084"/>
      <c r="AT101" s="123"/>
      <c r="AU101" s="123"/>
      <c r="AV101" s="3092"/>
      <c r="AW101" s="3086"/>
      <c r="AX101" s="3087"/>
      <c r="AY101" s="3088"/>
      <c r="AZ101" s="3089"/>
      <c r="BA101" s="3090"/>
      <c r="BB101" s="1"/>
    </row>
    <row r="102" spans="1:54" ht="30" thickTop="1" thickBot="1">
      <c r="A102" s="2658" t="s">
        <v>2822</v>
      </c>
      <c r="B102" s="1374" t="s">
        <v>2823</v>
      </c>
      <c r="C102" s="3002" t="s">
        <v>9186</v>
      </c>
      <c r="D102" s="3041">
        <v>2.2000000000000002</v>
      </c>
      <c r="E102" s="2668" t="s">
        <v>2824</v>
      </c>
      <c r="F102" s="2668" t="s">
        <v>2825</v>
      </c>
      <c r="G102" s="1375" t="s">
        <v>2826</v>
      </c>
      <c r="H102" s="2662" t="s">
        <v>2827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78" t="s">
        <v>6498</v>
      </c>
      <c r="N102" s="1606">
        <v>46</v>
      </c>
      <c r="O102" s="1607">
        <v>220</v>
      </c>
      <c r="P102" s="1608">
        <v>30</v>
      </c>
      <c r="Q102" s="2408" t="s">
        <v>6493</v>
      </c>
      <c r="R102" s="1609">
        <v>46</v>
      </c>
      <c r="S102" s="1375" t="s">
        <v>2828</v>
      </c>
      <c r="T102" s="2662" t="s">
        <v>2829</v>
      </c>
      <c r="U102" s="2646" t="s">
        <v>2830</v>
      </c>
      <c r="V102" s="2639" t="s">
        <v>2831</v>
      </c>
      <c r="W102" s="2646" t="s">
        <v>2484</v>
      </c>
      <c r="X102" s="2639" t="s">
        <v>2485</v>
      </c>
      <c r="Y102" s="1367">
        <f>SUM('5층_부하량(월간_AVG)'!N50:P50)</f>
        <v>0.62169435433097731</v>
      </c>
      <c r="Z102" s="1367">
        <f>SUM('5층_부하량(월간_AVG)'!N80:P80)</f>
        <v>0.63014245013717596</v>
      </c>
      <c r="AA102" s="2488">
        <f>SUM(Y102:Z102)</f>
        <v>1.2518368044681534</v>
      </c>
      <c r="AB102" s="2761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81</v>
      </c>
      <c r="AC102" s="2762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37">
        <f t="shared" si="34"/>
        <v>167.8</v>
      </c>
      <c r="AE102" s="2519" t="s">
        <v>2832</v>
      </c>
      <c r="AG102" s="2367">
        <f t="shared" si="27"/>
        <v>0.22553763440860217</v>
      </c>
      <c r="AH102" s="2367">
        <f t="shared" si="28"/>
        <v>1.974462365591398</v>
      </c>
      <c r="AI102" s="123" t="str">
        <f t="shared" si="26"/>
        <v>적정함</v>
      </c>
      <c r="AJ102" t="str">
        <f t="shared" si="29"/>
        <v/>
      </c>
      <c r="AK102" t="str">
        <f t="shared" si="30"/>
        <v/>
      </c>
      <c r="AP102" s="123"/>
      <c r="AQ102" s="123"/>
      <c r="AR102" s="123"/>
      <c r="AS102" s="3084"/>
      <c r="AT102" s="123"/>
      <c r="AU102" s="123"/>
      <c r="AV102" s="3092"/>
      <c r="AW102" s="3086"/>
      <c r="AX102" s="3087"/>
      <c r="AY102" s="3088"/>
      <c r="AZ102" s="3089"/>
      <c r="BA102" s="3090"/>
      <c r="BB102" s="1"/>
    </row>
    <row r="103" spans="1:54" ht="22.8" thickTop="1" thickBot="1">
      <c r="A103" s="2285" t="s">
        <v>9302</v>
      </c>
      <c r="B103" s="1098"/>
      <c r="C103" s="3130" t="s">
        <v>9301</v>
      </c>
      <c r="D103" s="3132"/>
      <c r="E103" s="1098"/>
      <c r="F103" s="1098"/>
      <c r="G103" s="3133"/>
      <c r="H103" s="1099"/>
      <c r="I103" s="3134"/>
      <c r="J103" s="3135"/>
      <c r="K103" s="3136"/>
      <c r="L103" s="3137"/>
      <c r="M103" s="3138"/>
      <c r="N103" s="3139"/>
      <c r="O103" s="3140"/>
      <c r="P103" s="3141"/>
      <c r="Q103" s="2426"/>
      <c r="R103" s="1686"/>
      <c r="S103" s="3133"/>
      <c r="T103" s="1099"/>
      <c r="U103" s="2287"/>
      <c r="V103" s="1122"/>
      <c r="W103" s="2287"/>
      <c r="X103" s="1122"/>
      <c r="Y103" s="3142"/>
      <c r="Z103" s="3142"/>
      <c r="AA103" s="3143"/>
      <c r="AB103" s="3144"/>
      <c r="AC103" s="3145"/>
      <c r="AD103" s="2538"/>
      <c r="AE103" s="3146"/>
      <c r="AG103" s="2367"/>
      <c r="AH103" s="2367"/>
      <c r="AI103" s="123"/>
      <c r="AJ103" t="str">
        <f t="shared" si="29"/>
        <v/>
      </c>
      <c r="AK103" t="str">
        <f t="shared" si="30"/>
        <v/>
      </c>
      <c r="AP103" s="123"/>
      <c r="AQ103" s="123"/>
      <c r="AR103" s="123"/>
      <c r="AS103" s="3084"/>
      <c r="AT103" s="123"/>
      <c r="AU103" s="123"/>
      <c r="AV103" s="3092"/>
      <c r="AW103" s="3086"/>
      <c r="AX103" s="3087"/>
      <c r="AY103" s="3088"/>
      <c r="AZ103" s="3089"/>
      <c r="BA103" s="3090"/>
      <c r="BB103" s="1"/>
    </row>
    <row r="104" spans="1:54" ht="29.4" thickTop="1">
      <c r="A104" s="3122"/>
      <c r="B104" s="2657" t="s">
        <v>2863</v>
      </c>
      <c r="C104" s="2976"/>
      <c r="D104" s="3037"/>
      <c r="E104" s="2657" t="s">
        <v>2864</v>
      </c>
      <c r="F104" s="2657" t="s">
        <v>2865</v>
      </c>
      <c r="G104" s="2678" t="s">
        <v>2866</v>
      </c>
      <c r="H104" s="2677" t="s">
        <v>2867</v>
      </c>
      <c r="I104" s="2206" t="str">
        <f t="shared" ref="I104:I110" si="36">"5-DaHall1-PDU-"&amp;M104&amp;"-"&amp;L104&amp;"-"&amp;N104</f>
        <v>5-DaHall1-PDU-03-30-5</v>
      </c>
      <c r="J104" s="2207" t="str">
        <f t="shared" ref="J104:J110" si="37">"5-DaHall1-PDU-"&amp;Q104&amp;"-"&amp;P104&amp;"-"&amp;R104</f>
        <v>5-DaHall1-PDU-04-30-5</v>
      </c>
      <c r="K104" s="2208">
        <v>220</v>
      </c>
      <c r="L104" s="2209">
        <v>30</v>
      </c>
      <c r="M104" s="2395" t="s">
        <v>6500</v>
      </c>
      <c r="N104" s="2210">
        <v>5</v>
      </c>
      <c r="O104" s="2211">
        <v>220</v>
      </c>
      <c r="P104" s="2212">
        <v>30</v>
      </c>
      <c r="Q104" s="2420" t="s">
        <v>6495</v>
      </c>
      <c r="R104" s="2213">
        <v>5</v>
      </c>
      <c r="S104" s="3510" t="s">
        <v>2868</v>
      </c>
      <c r="T104" s="3502" t="s">
        <v>2869</v>
      </c>
      <c r="U104" s="3343" t="s">
        <v>2870</v>
      </c>
      <c r="V104" s="3340" t="s">
        <v>2871</v>
      </c>
      <c r="W104" s="3343" t="s">
        <v>2484</v>
      </c>
      <c r="X104" s="3340" t="s">
        <v>2485</v>
      </c>
      <c r="Y104" s="3131">
        <f>SUM('5층_부하량(월간_AVG)'!D90:F90)</f>
        <v>0</v>
      </c>
      <c r="Z104" s="3131">
        <f>SUM('5층_부하량(월간_AVG)'!D120:F120)</f>
        <v>0</v>
      </c>
      <c r="AA104" s="2458">
        <f t="shared" ref="AA104:AA110" si="38">SUM(Y104:Z104)</f>
        <v>0</v>
      </c>
      <c r="AB104" s="2749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0</v>
      </c>
      <c r="AC104" s="2750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0</v>
      </c>
      <c r="AD104" s="2485">
        <f t="shared" si="34"/>
        <v>0</v>
      </c>
      <c r="AE104" s="2520"/>
      <c r="AG104" s="2367">
        <f t="shared" si="27"/>
        <v>0</v>
      </c>
      <c r="AH104" s="2367">
        <f t="shared" si="28"/>
        <v>0</v>
      </c>
      <c r="AI104" s="123" t="str">
        <f t="shared" si="26"/>
        <v>무부하 랙</v>
      </c>
      <c r="AJ104" t="str">
        <f t="shared" si="29"/>
        <v/>
      </c>
      <c r="AK104" t="str">
        <f t="shared" si="30"/>
        <v/>
      </c>
      <c r="AP104" s="123"/>
      <c r="AQ104" s="123"/>
      <c r="AR104" s="123"/>
      <c r="AS104" s="3084"/>
      <c r="AT104" s="123"/>
      <c r="AU104" s="123"/>
      <c r="AV104" s="3092"/>
      <c r="AW104" s="3086"/>
      <c r="AX104" s="3087"/>
      <c r="AY104" s="3088"/>
      <c r="AZ104" s="3089"/>
      <c r="BA104" s="3090"/>
      <c r="BB104" s="1"/>
    </row>
    <row r="105" spans="1:54" ht="28.8">
      <c r="A105" s="2652"/>
      <c r="B105" s="250" t="s">
        <v>2872</v>
      </c>
      <c r="C105" s="2664"/>
      <c r="D105" s="3031"/>
      <c r="E105" s="250" t="s">
        <v>2873</v>
      </c>
      <c r="F105" s="250" t="s">
        <v>2874</v>
      </c>
      <c r="G105" s="2665" t="s">
        <v>2875</v>
      </c>
      <c r="H105" s="2666" t="s">
        <v>2876</v>
      </c>
      <c r="I105" s="1598" t="str">
        <f t="shared" si="36"/>
        <v>5-DaHall1-PDU-03-30-7</v>
      </c>
      <c r="J105" s="1599" t="str">
        <f t="shared" si="37"/>
        <v>5-DaHall1-PDU-04-30-7</v>
      </c>
      <c r="K105" s="1561">
        <v>220</v>
      </c>
      <c r="L105" s="1562">
        <v>30</v>
      </c>
      <c r="M105" s="2380" t="s">
        <v>6500</v>
      </c>
      <c r="N105" s="1563">
        <v>7</v>
      </c>
      <c r="O105" s="1564">
        <v>220</v>
      </c>
      <c r="P105" s="1565">
        <v>30</v>
      </c>
      <c r="Q105" s="2410" t="s">
        <v>6495</v>
      </c>
      <c r="R105" s="1566">
        <v>7</v>
      </c>
      <c r="S105" s="3515"/>
      <c r="T105" s="3517"/>
      <c r="U105" s="3519"/>
      <c r="V105" s="3521"/>
      <c r="W105" s="3519"/>
      <c r="X105" s="3521"/>
      <c r="Y105" s="253">
        <f>SUM('5층_부하량(월간_AVG)'!D91:F91)</f>
        <v>0</v>
      </c>
      <c r="Z105" s="253">
        <f>SUM('5층_부하량(월간_AVG)'!D121:F121)</f>
        <v>0</v>
      </c>
      <c r="AA105" s="2452">
        <f t="shared" si="38"/>
        <v>0</v>
      </c>
      <c r="AB105" s="2727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0</v>
      </c>
      <c r="AC105" s="2728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0</v>
      </c>
      <c r="AD105" s="2477">
        <f t="shared" si="34"/>
        <v>0</v>
      </c>
      <c r="AE105" s="2467"/>
      <c r="AG105" s="2367">
        <f t="shared" si="27"/>
        <v>0</v>
      </c>
      <c r="AH105" s="2367">
        <f t="shared" si="28"/>
        <v>0</v>
      </c>
      <c r="AI105" s="123" t="str">
        <f t="shared" si="26"/>
        <v>무부하 랙</v>
      </c>
      <c r="AJ105" t="str">
        <f t="shared" si="29"/>
        <v/>
      </c>
      <c r="AK105" t="str">
        <f t="shared" si="30"/>
        <v/>
      </c>
      <c r="AP105" s="123"/>
      <c r="AQ105" s="123"/>
      <c r="AR105" s="123"/>
      <c r="AS105" s="3084"/>
      <c r="AT105" s="123"/>
      <c r="AU105" s="123"/>
      <c r="AV105" s="3092"/>
      <c r="AW105" s="3086"/>
      <c r="AX105" s="3087"/>
      <c r="AY105" s="3088"/>
      <c r="AZ105" s="3089"/>
      <c r="BA105" s="3090"/>
      <c r="BB105" s="1"/>
    </row>
    <row r="106" spans="1:54" ht="28.8">
      <c r="A106" s="2652"/>
      <c r="B106" s="250" t="s">
        <v>2877</v>
      </c>
      <c r="C106" s="2664"/>
      <c r="D106" s="3031"/>
      <c r="E106" s="250" t="s">
        <v>2878</v>
      </c>
      <c r="F106" s="250" t="s">
        <v>2879</v>
      </c>
      <c r="G106" s="2665" t="s">
        <v>2880</v>
      </c>
      <c r="H106" s="2666" t="s">
        <v>2881</v>
      </c>
      <c r="I106" s="1598" t="str">
        <f t="shared" si="36"/>
        <v>5-DaHall1-PDU-03-30-9</v>
      </c>
      <c r="J106" s="1599" t="str">
        <f t="shared" si="37"/>
        <v>5-DaHall1-PDU-04-30-9</v>
      </c>
      <c r="K106" s="1561">
        <v>220</v>
      </c>
      <c r="L106" s="1562">
        <v>30</v>
      </c>
      <c r="M106" s="2380" t="s">
        <v>6500</v>
      </c>
      <c r="N106" s="1563">
        <v>9</v>
      </c>
      <c r="O106" s="1564">
        <v>220</v>
      </c>
      <c r="P106" s="1565">
        <v>30</v>
      </c>
      <c r="Q106" s="2410" t="s">
        <v>6495</v>
      </c>
      <c r="R106" s="1566">
        <v>9</v>
      </c>
      <c r="S106" s="3515"/>
      <c r="T106" s="3517"/>
      <c r="U106" s="3519"/>
      <c r="V106" s="3521"/>
      <c r="W106" s="3519"/>
      <c r="X106" s="3521"/>
      <c r="Y106" s="253">
        <f>SUM('5층_부하량(월간_AVG)'!D92:F92)</f>
        <v>0</v>
      </c>
      <c r="Z106" s="253">
        <f>SUM('5층_부하량(월간_AVG)'!D122:F122)</f>
        <v>0</v>
      </c>
      <c r="AA106" s="2452">
        <f t="shared" si="38"/>
        <v>0</v>
      </c>
      <c r="AB106" s="2727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0</v>
      </c>
      <c r="AC106" s="2728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0</v>
      </c>
      <c r="AD106" s="2477">
        <f t="shared" si="34"/>
        <v>0</v>
      </c>
      <c r="AE106" s="2467"/>
      <c r="AG106" s="2367">
        <f t="shared" si="27"/>
        <v>0</v>
      </c>
      <c r="AH106" s="2367">
        <f t="shared" si="28"/>
        <v>0</v>
      </c>
      <c r="AI106" s="123" t="str">
        <f t="shared" si="26"/>
        <v>무부하 랙</v>
      </c>
      <c r="AJ106" t="str">
        <f t="shared" si="29"/>
        <v/>
      </c>
      <c r="AK106" t="str">
        <f t="shared" si="30"/>
        <v/>
      </c>
      <c r="AP106" s="123"/>
      <c r="AQ106" s="123"/>
      <c r="AR106" s="123"/>
      <c r="AS106" s="3084"/>
      <c r="AT106" s="123"/>
      <c r="AU106" s="123"/>
      <c r="AV106" s="3092"/>
      <c r="AW106" s="3086"/>
      <c r="AX106" s="3087"/>
      <c r="AY106" s="3088"/>
      <c r="AZ106" s="3089"/>
      <c r="BA106" s="3090"/>
      <c r="BB106" s="1"/>
    </row>
    <row r="107" spans="1:54" ht="28.8">
      <c r="A107" s="2652"/>
      <c r="B107" s="250" t="s">
        <v>2882</v>
      </c>
      <c r="C107" s="2664"/>
      <c r="D107" s="3031"/>
      <c r="E107" s="250" t="s">
        <v>2883</v>
      </c>
      <c r="F107" s="250" t="s">
        <v>2884</v>
      </c>
      <c r="G107" s="2665" t="s">
        <v>2885</v>
      </c>
      <c r="H107" s="2666" t="s">
        <v>2886</v>
      </c>
      <c r="I107" s="1598" t="str">
        <f t="shared" si="36"/>
        <v>5-DaHall1-PDU-03-30-11</v>
      </c>
      <c r="J107" s="1599" t="str">
        <f t="shared" si="37"/>
        <v>5-DaHall1-PDU-04-30-11</v>
      </c>
      <c r="K107" s="1561">
        <v>220</v>
      </c>
      <c r="L107" s="1562">
        <v>30</v>
      </c>
      <c r="M107" s="2380" t="s">
        <v>6500</v>
      </c>
      <c r="N107" s="1563">
        <v>11</v>
      </c>
      <c r="O107" s="1564">
        <v>220</v>
      </c>
      <c r="P107" s="1565">
        <v>30</v>
      </c>
      <c r="Q107" s="2410" t="s">
        <v>6495</v>
      </c>
      <c r="R107" s="1566">
        <v>11</v>
      </c>
      <c r="S107" s="3515"/>
      <c r="T107" s="3517"/>
      <c r="U107" s="3519"/>
      <c r="V107" s="3521"/>
      <c r="W107" s="3519"/>
      <c r="X107" s="3521"/>
      <c r="Y107" s="253">
        <f>SUM('5층_부하량(월간_AVG)'!D93:F93)</f>
        <v>0</v>
      </c>
      <c r="Z107" s="253">
        <f>SUM('5층_부하량(월간_AVG)'!D123:F123)</f>
        <v>0</v>
      </c>
      <c r="AA107" s="2452">
        <f t="shared" si="38"/>
        <v>0</v>
      </c>
      <c r="AB107" s="2727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0</v>
      </c>
      <c r="AC107" s="2728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0</v>
      </c>
      <c r="AD107" s="2477">
        <f t="shared" si="34"/>
        <v>0</v>
      </c>
      <c r="AE107" s="2467"/>
      <c r="AG107" s="2367">
        <f t="shared" si="27"/>
        <v>0</v>
      </c>
      <c r="AH107" s="2367">
        <f t="shared" si="28"/>
        <v>0</v>
      </c>
      <c r="AI107" s="123" t="str">
        <f t="shared" si="26"/>
        <v>무부하 랙</v>
      </c>
      <c r="AJ107" t="str">
        <f t="shared" si="29"/>
        <v/>
      </c>
      <c r="AK107" t="str">
        <f t="shared" si="30"/>
        <v/>
      </c>
      <c r="AP107" s="123"/>
      <c r="AQ107" s="123"/>
      <c r="AR107" s="123"/>
      <c r="AS107" s="3084"/>
      <c r="AT107" s="123"/>
      <c r="AU107" s="123"/>
      <c r="AV107" s="3092"/>
      <c r="AW107" s="3086"/>
      <c r="AX107" s="3087"/>
      <c r="AY107" s="3088"/>
      <c r="AZ107" s="3089"/>
      <c r="BA107" s="3090"/>
      <c r="BB107" s="1"/>
    </row>
    <row r="108" spans="1:54" ht="28.8">
      <c r="A108" s="2652"/>
      <c r="B108" s="250" t="s">
        <v>2888</v>
      </c>
      <c r="C108" s="2664"/>
      <c r="D108" s="3031"/>
      <c r="E108" s="250" t="s">
        <v>2889</v>
      </c>
      <c r="F108" s="250" t="s">
        <v>2890</v>
      </c>
      <c r="G108" s="2665" t="s">
        <v>2891</v>
      </c>
      <c r="H108" s="2666" t="s">
        <v>2892</v>
      </c>
      <c r="I108" s="1598" t="str">
        <f t="shared" si="36"/>
        <v>5-DaHall1-PDU-03-30-13</v>
      </c>
      <c r="J108" s="1599" t="str">
        <f t="shared" si="37"/>
        <v>5-DaHall1-PDU-04-30-13</v>
      </c>
      <c r="K108" s="1561">
        <v>220</v>
      </c>
      <c r="L108" s="1562">
        <v>30</v>
      </c>
      <c r="M108" s="2380" t="s">
        <v>6500</v>
      </c>
      <c r="N108" s="1563">
        <v>13</v>
      </c>
      <c r="O108" s="1564">
        <v>220</v>
      </c>
      <c r="P108" s="1565">
        <v>30</v>
      </c>
      <c r="Q108" s="2410" t="s">
        <v>6495</v>
      </c>
      <c r="R108" s="1566">
        <v>13</v>
      </c>
      <c r="S108" s="3515"/>
      <c r="T108" s="3517"/>
      <c r="U108" s="3519"/>
      <c r="V108" s="3521"/>
      <c r="W108" s="3519"/>
      <c r="X108" s="3521"/>
      <c r="Y108" s="253">
        <f>SUM('5층_부하량(월간_AVG)'!D94:F94)</f>
        <v>0</v>
      </c>
      <c r="Z108" s="253">
        <f>SUM('5층_부하량(월간_AVG)'!D124:F124)</f>
        <v>0</v>
      </c>
      <c r="AA108" s="2452">
        <f t="shared" si="38"/>
        <v>0</v>
      </c>
      <c r="AB108" s="2727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0</v>
      </c>
      <c r="AC108" s="2728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0</v>
      </c>
      <c r="AD108" s="2477">
        <f t="shared" si="34"/>
        <v>0</v>
      </c>
      <c r="AE108" s="2467"/>
      <c r="AG108" s="2367">
        <f t="shared" si="27"/>
        <v>0</v>
      </c>
      <c r="AH108" s="2367">
        <f t="shared" si="28"/>
        <v>0</v>
      </c>
      <c r="AI108" s="123" t="str">
        <f t="shared" si="26"/>
        <v>무부하 랙</v>
      </c>
      <c r="AJ108" t="str">
        <f t="shared" si="29"/>
        <v/>
      </c>
      <c r="AK108" t="str">
        <f t="shared" si="30"/>
        <v/>
      </c>
      <c r="AP108" s="123"/>
      <c r="AQ108" s="123"/>
      <c r="AR108" s="123"/>
      <c r="AS108" s="3084"/>
      <c r="AT108" s="123"/>
      <c r="AU108" s="123"/>
      <c r="AV108" s="3092"/>
      <c r="AW108" s="3086"/>
      <c r="AX108" s="3087"/>
      <c r="AY108" s="3088"/>
      <c r="AZ108" s="3089"/>
      <c r="BA108" s="3090"/>
      <c r="BB108" s="1"/>
    </row>
    <row r="109" spans="1:54" ht="28.8">
      <c r="A109" s="2652"/>
      <c r="B109" s="250" t="s">
        <v>2894</v>
      </c>
      <c r="C109" s="2664"/>
      <c r="D109" s="3031"/>
      <c r="E109" s="250" t="s">
        <v>2895</v>
      </c>
      <c r="F109" s="250" t="s">
        <v>2896</v>
      </c>
      <c r="G109" s="2665" t="s">
        <v>2897</v>
      </c>
      <c r="H109" s="2666" t="s">
        <v>2898</v>
      </c>
      <c r="I109" s="1598" t="str">
        <f t="shared" si="36"/>
        <v>5-DaHall1-PDU-03-30-15</v>
      </c>
      <c r="J109" s="1599" t="str">
        <f t="shared" si="37"/>
        <v>5-DaHall1-PDU-04-30-15</v>
      </c>
      <c r="K109" s="1561">
        <v>220</v>
      </c>
      <c r="L109" s="1562">
        <v>30</v>
      </c>
      <c r="M109" s="2380" t="s">
        <v>6500</v>
      </c>
      <c r="N109" s="1563">
        <v>15</v>
      </c>
      <c r="O109" s="1564">
        <v>220</v>
      </c>
      <c r="P109" s="1565">
        <v>30</v>
      </c>
      <c r="Q109" s="2410" t="s">
        <v>6495</v>
      </c>
      <c r="R109" s="1566">
        <v>15</v>
      </c>
      <c r="S109" s="3515"/>
      <c r="T109" s="3517"/>
      <c r="U109" s="3519"/>
      <c r="V109" s="3521"/>
      <c r="W109" s="3519"/>
      <c r="X109" s="3521"/>
      <c r="Y109" s="253">
        <f>SUM('5층_부하량(월간_AVG)'!D95:F95)</f>
        <v>0</v>
      </c>
      <c r="Z109" s="253">
        <f>SUM('5층_부하량(월간_AVG)'!D125:F125)</f>
        <v>0</v>
      </c>
      <c r="AA109" s="2452">
        <f t="shared" si="38"/>
        <v>0</v>
      </c>
      <c r="AB109" s="2727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0</v>
      </c>
      <c r="AC109" s="2728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0</v>
      </c>
      <c r="AD109" s="2477">
        <f t="shared" si="34"/>
        <v>0</v>
      </c>
      <c r="AE109" s="2467"/>
      <c r="AG109" s="2367">
        <f t="shared" si="27"/>
        <v>0</v>
      </c>
      <c r="AH109" s="2367">
        <f t="shared" si="28"/>
        <v>0</v>
      </c>
      <c r="AI109" s="123" t="str">
        <f t="shared" si="26"/>
        <v>무부하 랙</v>
      </c>
      <c r="AJ109" t="str">
        <f t="shared" si="29"/>
        <v/>
      </c>
      <c r="AK109" t="str">
        <f t="shared" si="30"/>
        <v/>
      </c>
      <c r="AP109" s="123"/>
      <c r="AQ109" s="123"/>
      <c r="AR109" s="123"/>
      <c r="AS109" s="3084"/>
      <c r="AT109" s="123"/>
      <c r="AU109" s="123"/>
      <c r="AV109" s="3092"/>
      <c r="AW109" s="3086"/>
      <c r="AX109" s="3087"/>
      <c r="AY109" s="3088"/>
      <c r="AZ109" s="3089"/>
      <c r="BA109" s="3090"/>
      <c r="BB109" s="1"/>
    </row>
    <row r="110" spans="1:54" ht="28.8">
      <c r="A110" s="2652"/>
      <c r="B110" s="250" t="s">
        <v>2899</v>
      </c>
      <c r="C110" s="2664"/>
      <c r="D110" s="3031"/>
      <c r="E110" s="250" t="s">
        <v>2900</v>
      </c>
      <c r="F110" s="250" t="s">
        <v>2901</v>
      </c>
      <c r="G110" s="2665" t="s">
        <v>2902</v>
      </c>
      <c r="H110" s="2666" t="s">
        <v>2903</v>
      </c>
      <c r="I110" s="1598" t="str">
        <f t="shared" si="36"/>
        <v>5-DaHall1-PDU-03-30-17</v>
      </c>
      <c r="J110" s="1599" t="str">
        <f t="shared" si="37"/>
        <v>5-DaHall1-PDU-04-30-17</v>
      </c>
      <c r="K110" s="1561">
        <v>220</v>
      </c>
      <c r="L110" s="1562">
        <v>30</v>
      </c>
      <c r="M110" s="2380" t="s">
        <v>6500</v>
      </c>
      <c r="N110" s="1563">
        <v>17</v>
      </c>
      <c r="O110" s="1564">
        <v>220</v>
      </c>
      <c r="P110" s="1565">
        <v>30</v>
      </c>
      <c r="Q110" s="2410" t="s">
        <v>6495</v>
      </c>
      <c r="R110" s="1566">
        <v>17</v>
      </c>
      <c r="S110" s="3516"/>
      <c r="T110" s="3518"/>
      <c r="U110" s="3520"/>
      <c r="V110" s="3522"/>
      <c r="W110" s="3520"/>
      <c r="X110" s="3522"/>
      <c r="Y110" s="253">
        <f>SUM('5층_부하량(월간_AVG)'!D96:F96)</f>
        <v>0</v>
      </c>
      <c r="Z110" s="253">
        <f>SUM('5층_부하량(월간_AVG)'!D126:F126)</f>
        <v>0</v>
      </c>
      <c r="AA110" s="2452">
        <f t="shared" si="38"/>
        <v>0</v>
      </c>
      <c r="AB110" s="2727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0</v>
      </c>
      <c r="AC110" s="2728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0</v>
      </c>
      <c r="AD110" s="2477">
        <f t="shared" si="34"/>
        <v>0</v>
      </c>
      <c r="AE110" s="2467"/>
      <c r="AG110" s="2367">
        <f t="shared" si="27"/>
        <v>0</v>
      </c>
      <c r="AH110" s="2367">
        <f t="shared" si="28"/>
        <v>0</v>
      </c>
      <c r="AI110" s="123" t="str">
        <f t="shared" si="26"/>
        <v>무부하 랙</v>
      </c>
      <c r="AJ110" t="str">
        <f t="shared" si="29"/>
        <v/>
      </c>
      <c r="AK110" t="str">
        <f t="shared" si="30"/>
        <v/>
      </c>
      <c r="AP110" s="123"/>
      <c r="AQ110" s="123"/>
      <c r="AR110" s="123"/>
      <c r="AS110" s="3084"/>
      <c r="AT110" s="123"/>
      <c r="AU110" s="123"/>
      <c r="AV110" s="3092"/>
      <c r="AW110" s="3086"/>
      <c r="AX110" s="3087"/>
      <c r="AY110" s="3088"/>
      <c r="AZ110" s="3089"/>
      <c r="BA110" s="3090"/>
      <c r="BB110" s="1"/>
    </row>
    <row r="111" spans="1:54" ht="15.6">
      <c r="A111" s="2652"/>
      <c r="B111" s="2712"/>
      <c r="C111" s="886"/>
      <c r="D111" s="3031"/>
      <c r="E111" s="2712"/>
      <c r="F111" s="2712"/>
      <c r="G111" s="2710"/>
      <c r="H111" s="2706"/>
      <c r="I111" s="1593"/>
      <c r="J111" s="1585"/>
      <c r="K111" s="1594"/>
      <c r="L111" s="1595"/>
      <c r="M111" s="2710"/>
      <c r="N111" s="1596"/>
      <c r="O111" s="1597"/>
      <c r="P111" s="1587"/>
      <c r="Q111" s="2706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57"/>
      <c r="AB111" s="2745"/>
      <c r="AC111" s="2746"/>
      <c r="AD111" s="2484"/>
      <c r="AE111" s="2526"/>
      <c r="AG111" s="2367">
        <f t="shared" si="27"/>
        <v>0</v>
      </c>
      <c r="AH111" s="2367">
        <f t="shared" si="28"/>
        <v>0</v>
      </c>
      <c r="AI111" s="123" t="str">
        <f t="shared" si="26"/>
        <v>무부하 랙</v>
      </c>
      <c r="AJ111" t="str">
        <f t="shared" si="29"/>
        <v/>
      </c>
      <c r="AK111" t="str">
        <f t="shared" si="30"/>
        <v/>
      </c>
      <c r="AP111" s="123"/>
      <c r="AQ111" s="123"/>
      <c r="AR111" s="123"/>
      <c r="AS111" s="3084"/>
      <c r="AT111" s="123"/>
      <c r="AU111" s="123"/>
      <c r="AV111" s="3092"/>
      <c r="AW111" s="3086"/>
      <c r="AX111" s="3087"/>
      <c r="AY111" s="3088"/>
      <c r="AZ111" s="3089"/>
      <c r="BA111" s="3090"/>
      <c r="BB111" s="1"/>
    </row>
    <row r="112" spans="1:54" ht="15.6">
      <c r="A112" s="2652"/>
      <c r="B112" s="2712"/>
      <c r="C112" s="886"/>
      <c r="D112" s="3031"/>
      <c r="E112" s="2712"/>
      <c r="F112" s="2712"/>
      <c r="G112" s="2710"/>
      <c r="H112" s="2706"/>
      <c r="I112" s="1593"/>
      <c r="J112" s="1585"/>
      <c r="K112" s="1594"/>
      <c r="L112" s="1595"/>
      <c r="M112" s="2710"/>
      <c r="N112" s="1596"/>
      <c r="O112" s="1597"/>
      <c r="P112" s="1587"/>
      <c r="Q112" s="2706"/>
      <c r="R112" s="1588"/>
      <c r="S112" s="866"/>
      <c r="T112" s="867"/>
      <c r="U112" s="832"/>
      <c r="V112" s="833"/>
      <c r="W112" s="832"/>
      <c r="X112" s="833"/>
      <c r="Y112" s="834"/>
      <c r="Z112" s="834"/>
      <c r="AA112" s="2457"/>
      <c r="AB112" s="2745"/>
      <c r="AC112" s="2746"/>
      <c r="AD112" s="2484"/>
      <c r="AE112" s="2526"/>
      <c r="AG112" s="2367">
        <f t="shared" si="27"/>
        <v>0</v>
      </c>
      <c r="AH112" s="2367">
        <f t="shared" si="28"/>
        <v>0</v>
      </c>
      <c r="AI112" s="123" t="str">
        <f t="shared" si="26"/>
        <v>무부하 랙</v>
      </c>
      <c r="AJ112" t="str">
        <f t="shared" si="29"/>
        <v/>
      </c>
      <c r="AK112" t="str">
        <f t="shared" si="30"/>
        <v/>
      </c>
      <c r="AP112" s="123"/>
      <c r="AQ112" s="123"/>
      <c r="AR112" s="123"/>
      <c r="AS112" s="3084"/>
      <c r="AT112" s="123"/>
      <c r="AU112" s="123"/>
      <c r="AV112" s="3092"/>
      <c r="AW112" s="3086"/>
      <c r="AX112" s="3087"/>
      <c r="AY112" s="3088"/>
      <c r="AZ112" s="3089"/>
      <c r="BA112" s="3090"/>
      <c r="BB112" s="1"/>
    </row>
    <row r="113" spans="1:54" ht="16.2" thickBot="1">
      <c r="A113" s="2660"/>
      <c r="B113" s="842"/>
      <c r="C113" s="3003"/>
      <c r="D113" s="3031"/>
      <c r="E113" s="842"/>
      <c r="F113" s="842"/>
      <c r="G113" s="876"/>
      <c r="H113" s="877"/>
      <c r="I113" s="1612"/>
      <c r="J113" s="1613"/>
      <c r="K113" s="1614"/>
      <c r="L113" s="1615"/>
      <c r="M113" s="876"/>
      <c r="N113" s="1616"/>
      <c r="O113" s="1617"/>
      <c r="P113" s="1618"/>
      <c r="Q113" s="877"/>
      <c r="R113" s="1619"/>
      <c r="S113" s="870"/>
      <c r="T113" s="871"/>
      <c r="U113" s="843"/>
      <c r="V113" s="844"/>
      <c r="W113" s="843"/>
      <c r="X113" s="844"/>
      <c r="Y113" s="845"/>
      <c r="Z113" s="845"/>
      <c r="AA113" s="2489"/>
      <c r="AB113" s="2763"/>
      <c r="AC113" s="2764"/>
      <c r="AD113" s="2483"/>
      <c r="AE113" s="2527"/>
      <c r="AG113" s="2367">
        <f t="shared" si="27"/>
        <v>0</v>
      </c>
      <c r="AH113" s="2367">
        <f t="shared" si="28"/>
        <v>0</v>
      </c>
      <c r="AI113" s="123" t="str">
        <f t="shared" si="26"/>
        <v>무부하 랙</v>
      </c>
      <c r="AJ113" t="str">
        <f t="shared" si="29"/>
        <v/>
      </c>
      <c r="AK113" t="str">
        <f t="shared" si="30"/>
        <v/>
      </c>
      <c r="AP113" s="123"/>
      <c r="AQ113" s="123"/>
      <c r="AR113" s="123"/>
      <c r="AS113" s="3084"/>
      <c r="AT113" s="123"/>
      <c r="AU113" s="123"/>
      <c r="AV113" s="3092"/>
      <c r="AW113" s="3086"/>
      <c r="AX113" s="3087"/>
      <c r="AY113" s="3088"/>
      <c r="AZ113" s="3089"/>
      <c r="BA113" s="3090"/>
      <c r="BB113" s="1"/>
    </row>
    <row r="114" spans="1:54" ht="29.4" thickTop="1">
      <c r="A114" s="1084"/>
      <c r="B114" s="327" t="s">
        <v>2904</v>
      </c>
      <c r="C114" s="973"/>
      <c r="D114" s="3031"/>
      <c r="E114" s="327" t="s">
        <v>2905</v>
      </c>
      <c r="F114" s="327" t="s">
        <v>2906</v>
      </c>
      <c r="G114" s="2673" t="s">
        <v>2907</v>
      </c>
      <c r="H114" s="2674" t="s">
        <v>2908</v>
      </c>
      <c r="I114" s="1610" t="str">
        <f>"5-DaHall1-PDU-"&amp;M114&amp;"-"&amp;L114&amp;"-"&amp;N114</f>
        <v>5-DaHall1-PDU-03-30-35</v>
      </c>
      <c r="J114" s="1611" t="str">
        <f>"5-DaHall1-PDU-"&amp;Q114&amp;"-"&amp;P114&amp;"-"&amp;R114</f>
        <v>5-DaHall1-PDU-04-30-35</v>
      </c>
      <c r="K114" s="1555">
        <v>220</v>
      </c>
      <c r="L114" s="1556">
        <v>30</v>
      </c>
      <c r="M114" s="2379" t="s">
        <v>6500</v>
      </c>
      <c r="N114" s="1557">
        <v>35</v>
      </c>
      <c r="O114" s="1558">
        <v>220</v>
      </c>
      <c r="P114" s="1559">
        <v>30</v>
      </c>
      <c r="Q114" s="2409" t="s">
        <v>6495</v>
      </c>
      <c r="R114" s="1560">
        <v>35</v>
      </c>
      <c r="S114" s="3509" t="s">
        <v>2868</v>
      </c>
      <c r="T114" s="3501" t="s">
        <v>2869</v>
      </c>
      <c r="U114" s="3345" t="s">
        <v>2870</v>
      </c>
      <c r="V114" s="3354" t="s">
        <v>2871</v>
      </c>
      <c r="W114" s="3345" t="s">
        <v>2484</v>
      </c>
      <c r="X114" s="3354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54">
        <f t="shared" ref="AA114" si="39">SUM(Y114:Z114)</f>
        <v>0</v>
      </c>
      <c r="AB114" s="2725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0</v>
      </c>
      <c r="AC114" s="2726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0</v>
      </c>
      <c r="AD114" s="2479">
        <f>SUM(AB114:AC114)</f>
        <v>0</v>
      </c>
      <c r="AE114" s="2469"/>
      <c r="AG114" s="2367">
        <f t="shared" si="27"/>
        <v>0</v>
      </c>
      <c r="AH114" s="2367">
        <f t="shared" si="28"/>
        <v>0</v>
      </c>
      <c r="AI114" s="123" t="str">
        <f t="shared" si="26"/>
        <v>무부하 랙</v>
      </c>
      <c r="AJ114" t="str">
        <f t="shared" si="29"/>
        <v/>
      </c>
      <c r="AK114" t="str">
        <f t="shared" si="30"/>
        <v/>
      </c>
      <c r="AP114" s="123"/>
      <c r="AQ114" s="123"/>
      <c r="AR114" s="123"/>
      <c r="AS114" s="3084"/>
      <c r="AT114" s="123"/>
      <c r="AU114" s="123"/>
      <c r="AV114" s="3092"/>
      <c r="AW114" s="3086"/>
      <c r="AX114" s="3087"/>
      <c r="AY114" s="3088"/>
      <c r="AZ114" s="3089"/>
      <c r="BA114" s="3090"/>
      <c r="BB114" s="1"/>
    </row>
    <row r="115" spans="1:54" ht="15.6">
      <c r="A115" s="2652"/>
      <c r="B115" s="250" t="s">
        <v>2909</v>
      </c>
      <c r="C115" s="3004"/>
      <c r="D115" s="3031"/>
      <c r="E115" s="2712"/>
      <c r="F115" s="2712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515"/>
      <c r="T115" s="3517"/>
      <c r="U115" s="3519"/>
      <c r="V115" s="3521"/>
      <c r="W115" s="3519"/>
      <c r="X115" s="3521"/>
      <c r="Y115" s="1109"/>
      <c r="Z115" s="1109"/>
      <c r="AA115" s="2490"/>
      <c r="AB115" s="2765"/>
      <c r="AC115" s="2766"/>
      <c r="AD115" s="2484"/>
      <c r="AE115" s="2528"/>
      <c r="AG115" s="2367">
        <f t="shared" si="27"/>
        <v>0</v>
      </c>
      <c r="AH115" s="2367">
        <f t="shared" si="28"/>
        <v>0</v>
      </c>
      <c r="AI115" s="123" t="str">
        <f t="shared" si="26"/>
        <v>무부하 랙</v>
      </c>
      <c r="AJ115" t="str">
        <f t="shared" si="29"/>
        <v/>
      </c>
      <c r="AK115" t="str">
        <f t="shared" si="30"/>
        <v/>
      </c>
      <c r="AP115" s="123"/>
      <c r="AQ115" s="123"/>
      <c r="AR115" s="123"/>
      <c r="AS115" s="3084"/>
      <c r="AT115" s="123"/>
      <c r="AU115" s="123"/>
      <c r="AV115" s="3092"/>
      <c r="AW115" s="3086"/>
      <c r="AX115" s="3087"/>
      <c r="AY115" s="3088"/>
      <c r="AZ115" s="3089"/>
      <c r="BA115" s="3090"/>
      <c r="BB115" s="1"/>
    </row>
    <row r="116" spans="1:54" ht="15.6">
      <c r="A116" s="2652"/>
      <c r="B116" s="250" t="s">
        <v>2910</v>
      </c>
      <c r="C116" s="3004"/>
      <c r="D116" s="3031"/>
      <c r="E116" s="2712"/>
      <c r="F116" s="2712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515"/>
      <c r="T116" s="3517"/>
      <c r="U116" s="3519"/>
      <c r="V116" s="3521"/>
      <c r="W116" s="3519"/>
      <c r="X116" s="3521"/>
      <c r="Y116" s="1109"/>
      <c r="Z116" s="1109"/>
      <c r="AA116" s="2490"/>
      <c r="AB116" s="2765"/>
      <c r="AC116" s="2766"/>
      <c r="AD116" s="2484"/>
      <c r="AE116" s="2528"/>
      <c r="AG116" s="2367">
        <f t="shared" si="27"/>
        <v>0</v>
      </c>
      <c r="AH116" s="2367">
        <f t="shared" si="28"/>
        <v>0</v>
      </c>
      <c r="AI116" s="123" t="str">
        <f t="shared" si="26"/>
        <v>무부하 랙</v>
      </c>
      <c r="AJ116" t="str">
        <f t="shared" si="29"/>
        <v/>
      </c>
      <c r="AK116" t="str">
        <f t="shared" si="30"/>
        <v/>
      </c>
      <c r="AP116" s="123"/>
      <c r="AQ116" s="123"/>
      <c r="AR116" s="123"/>
      <c r="AS116" s="3084"/>
      <c r="AT116" s="123"/>
      <c r="AU116" s="123"/>
      <c r="AV116" s="3092"/>
      <c r="AW116" s="3086"/>
      <c r="AX116" s="3087"/>
      <c r="AY116" s="3088"/>
      <c r="AZ116" s="3089"/>
      <c r="BA116" s="3090"/>
      <c r="BB116" s="1"/>
    </row>
    <row r="117" spans="1:54" ht="15.6">
      <c r="A117" s="2652"/>
      <c r="B117" s="250" t="s">
        <v>2911</v>
      </c>
      <c r="C117" s="3004"/>
      <c r="D117" s="3031"/>
      <c r="E117" s="2712"/>
      <c r="F117" s="2712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515"/>
      <c r="T117" s="3517"/>
      <c r="U117" s="3519"/>
      <c r="V117" s="3521"/>
      <c r="W117" s="3519"/>
      <c r="X117" s="3521"/>
      <c r="Y117" s="1109"/>
      <c r="Z117" s="1109"/>
      <c r="AA117" s="2490"/>
      <c r="AB117" s="2765"/>
      <c r="AC117" s="2766"/>
      <c r="AD117" s="2484"/>
      <c r="AE117" s="2528"/>
      <c r="AG117" s="2367">
        <f t="shared" si="27"/>
        <v>0</v>
      </c>
      <c r="AH117" s="2367">
        <f t="shared" si="28"/>
        <v>0</v>
      </c>
      <c r="AI117" s="123" t="str">
        <f t="shared" si="26"/>
        <v>무부하 랙</v>
      </c>
      <c r="AJ117" t="str">
        <f t="shared" si="29"/>
        <v/>
      </c>
      <c r="AK117" t="str">
        <f t="shared" si="30"/>
        <v/>
      </c>
      <c r="AP117" s="123"/>
      <c r="AQ117" s="123"/>
      <c r="AR117" s="123"/>
      <c r="AS117" s="3084"/>
      <c r="AT117" s="123"/>
      <c r="AU117" s="123"/>
      <c r="AV117" s="3092"/>
      <c r="AW117" s="3086"/>
      <c r="AX117" s="3087"/>
      <c r="AY117" s="3088"/>
      <c r="AZ117" s="3089"/>
      <c r="BA117" s="3090"/>
      <c r="BB117" s="1"/>
    </row>
    <row r="118" spans="1:54" ht="15.6">
      <c r="A118" s="2652"/>
      <c r="B118" s="250" t="s">
        <v>2912</v>
      </c>
      <c r="C118" s="3004"/>
      <c r="D118" s="3031"/>
      <c r="E118" s="2712"/>
      <c r="F118" s="2712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515"/>
      <c r="T118" s="3517"/>
      <c r="U118" s="3519"/>
      <c r="V118" s="3521"/>
      <c r="W118" s="3519"/>
      <c r="X118" s="3521"/>
      <c r="Y118" s="1109"/>
      <c r="Z118" s="1109"/>
      <c r="AA118" s="2490"/>
      <c r="AB118" s="2765"/>
      <c r="AC118" s="2766"/>
      <c r="AD118" s="2484"/>
      <c r="AE118" s="2528"/>
      <c r="AG118" s="2367">
        <f t="shared" si="27"/>
        <v>0</v>
      </c>
      <c r="AH118" s="2367">
        <f t="shared" si="28"/>
        <v>0</v>
      </c>
      <c r="AI118" s="123" t="str">
        <f t="shared" si="26"/>
        <v>무부하 랙</v>
      </c>
      <c r="AJ118" t="str">
        <f t="shared" si="29"/>
        <v/>
      </c>
      <c r="AK118" t="str">
        <f t="shared" si="30"/>
        <v/>
      </c>
      <c r="AP118" s="123"/>
      <c r="AQ118" s="123"/>
      <c r="AR118" s="123"/>
      <c r="AS118" s="3084"/>
      <c r="AT118" s="123"/>
      <c r="AU118" s="123"/>
      <c r="AV118" s="3092"/>
      <c r="AW118" s="3086"/>
      <c r="AX118" s="3087"/>
      <c r="AY118" s="3088"/>
      <c r="AZ118" s="3089"/>
      <c r="BA118" s="3090"/>
      <c r="BB118" s="1"/>
    </row>
    <row r="119" spans="1:54" ht="15.6">
      <c r="A119" s="2652"/>
      <c r="B119" s="250" t="s">
        <v>2913</v>
      </c>
      <c r="C119" s="3004"/>
      <c r="D119" s="3031"/>
      <c r="E119" s="2712"/>
      <c r="F119" s="2712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515"/>
      <c r="T119" s="3517"/>
      <c r="U119" s="3519"/>
      <c r="V119" s="3521"/>
      <c r="W119" s="3519"/>
      <c r="X119" s="3521"/>
      <c r="Y119" s="1109"/>
      <c r="Z119" s="1109"/>
      <c r="AA119" s="2490"/>
      <c r="AB119" s="2765"/>
      <c r="AC119" s="2766"/>
      <c r="AD119" s="2484"/>
      <c r="AE119" s="2528"/>
      <c r="AG119" s="2367">
        <f t="shared" si="27"/>
        <v>0</v>
      </c>
      <c r="AH119" s="2367">
        <f t="shared" si="28"/>
        <v>0</v>
      </c>
      <c r="AI119" s="123" t="str">
        <f t="shared" si="26"/>
        <v>무부하 랙</v>
      </c>
      <c r="AJ119" t="str">
        <f t="shared" si="29"/>
        <v/>
      </c>
      <c r="AK119" t="str">
        <f t="shared" si="30"/>
        <v/>
      </c>
      <c r="AP119" s="123"/>
      <c r="AQ119" s="123"/>
      <c r="AR119" s="123"/>
      <c r="AS119" s="3084"/>
      <c r="AT119" s="123"/>
      <c r="AU119" s="123"/>
      <c r="AV119" s="3092"/>
      <c r="AW119" s="3086"/>
      <c r="AX119" s="3087"/>
      <c r="AY119" s="3088"/>
      <c r="AZ119" s="3089"/>
      <c r="BA119" s="3090"/>
      <c r="BB119" s="1"/>
    </row>
    <row r="120" spans="1:54" ht="15.6">
      <c r="A120" s="2652"/>
      <c r="B120" s="250" t="s">
        <v>2914</v>
      </c>
      <c r="C120" s="3004"/>
      <c r="D120" s="3031"/>
      <c r="E120" s="2712"/>
      <c r="F120" s="2712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3516"/>
      <c r="T120" s="3518"/>
      <c r="U120" s="3520"/>
      <c r="V120" s="3522"/>
      <c r="W120" s="3520"/>
      <c r="X120" s="3522"/>
      <c r="Y120" s="1109"/>
      <c r="Z120" s="1109"/>
      <c r="AA120" s="2490"/>
      <c r="AB120" s="2765"/>
      <c r="AC120" s="2766"/>
      <c r="AD120" s="2484"/>
      <c r="AE120" s="2528"/>
      <c r="AG120" s="2367">
        <f t="shared" si="27"/>
        <v>0</v>
      </c>
      <c r="AH120" s="2367">
        <f t="shared" si="28"/>
        <v>0</v>
      </c>
      <c r="AI120" s="123" t="str">
        <f t="shared" si="26"/>
        <v>무부하 랙</v>
      </c>
      <c r="AJ120" t="str">
        <f t="shared" si="29"/>
        <v/>
      </c>
      <c r="AK120" t="str">
        <f t="shared" si="30"/>
        <v/>
      </c>
      <c r="AP120" s="123"/>
      <c r="AQ120" s="123"/>
      <c r="AR120" s="123"/>
      <c r="AS120" s="3084"/>
      <c r="AT120" s="123"/>
      <c r="AU120" s="123"/>
      <c r="AV120" s="3092"/>
      <c r="AW120" s="3086"/>
      <c r="AX120" s="3087"/>
      <c r="AY120" s="3088"/>
      <c r="AZ120" s="3089"/>
      <c r="BA120" s="3090"/>
      <c r="BB120" s="1"/>
    </row>
    <row r="121" spans="1:54" ht="15.6">
      <c r="A121" s="2652"/>
      <c r="B121" s="1102"/>
      <c r="C121" s="3004"/>
      <c r="D121" s="3031"/>
      <c r="E121" s="2712"/>
      <c r="F121" s="2712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0"/>
      <c r="AB121" s="2765"/>
      <c r="AC121" s="2766"/>
      <c r="AD121" s="2484"/>
      <c r="AE121" s="2528"/>
      <c r="AG121" s="2367">
        <f t="shared" si="27"/>
        <v>0</v>
      </c>
      <c r="AH121" s="2367">
        <f t="shared" si="28"/>
        <v>0</v>
      </c>
      <c r="AI121" s="123" t="str">
        <f t="shared" si="26"/>
        <v>무부하 랙</v>
      </c>
      <c r="AJ121" t="str">
        <f t="shared" si="29"/>
        <v/>
      </c>
      <c r="AK121" t="str">
        <f t="shared" si="30"/>
        <v/>
      </c>
      <c r="AP121" s="123"/>
      <c r="AQ121" s="123"/>
      <c r="AR121" s="123"/>
      <c r="AS121" s="3084"/>
      <c r="AT121" s="123"/>
      <c r="AU121" s="123"/>
      <c r="AV121" s="3092"/>
      <c r="AW121" s="3086"/>
      <c r="AX121" s="3087"/>
      <c r="AY121" s="3088"/>
      <c r="AZ121" s="3089"/>
      <c r="BA121" s="3090"/>
      <c r="BB121" s="1"/>
    </row>
    <row r="122" spans="1:54" ht="15.6">
      <c r="A122" s="2652"/>
      <c r="B122" s="1102"/>
      <c r="C122" s="3004"/>
      <c r="D122" s="3031"/>
      <c r="E122" s="2712"/>
      <c r="F122" s="2712"/>
      <c r="G122" s="1103"/>
      <c r="H122" s="1104"/>
      <c r="I122" s="1593"/>
      <c r="J122" s="1585"/>
      <c r="K122" s="1620"/>
      <c r="L122" s="1621"/>
      <c r="M122" s="1103"/>
      <c r="N122" s="1622"/>
      <c r="O122" s="1623"/>
      <c r="P122" s="1624"/>
      <c r="Q122" s="1104"/>
      <c r="R122" s="1625"/>
      <c r="S122" s="1105"/>
      <c r="T122" s="1106"/>
      <c r="U122" s="1107"/>
      <c r="V122" s="1108"/>
      <c r="W122" s="1107"/>
      <c r="X122" s="1108"/>
      <c r="Y122" s="1109"/>
      <c r="Z122" s="1109"/>
      <c r="AA122" s="2490"/>
      <c r="AB122" s="2765"/>
      <c r="AC122" s="2766"/>
      <c r="AD122" s="2484"/>
      <c r="AE122" s="2528"/>
      <c r="AG122" s="2367">
        <f t="shared" si="27"/>
        <v>0</v>
      </c>
      <c r="AH122" s="2367">
        <f t="shared" si="28"/>
        <v>0</v>
      </c>
      <c r="AI122" s="123" t="str">
        <f t="shared" si="26"/>
        <v>무부하 랙</v>
      </c>
      <c r="AJ122" t="str">
        <f t="shared" si="29"/>
        <v/>
      </c>
      <c r="AK122" t="str">
        <f t="shared" si="30"/>
        <v/>
      </c>
      <c r="AP122" s="123"/>
      <c r="AQ122" s="123"/>
      <c r="AR122" s="123"/>
      <c r="AS122" s="3084"/>
      <c r="AT122" s="123"/>
      <c r="AU122" s="123"/>
      <c r="AV122" s="3092"/>
      <c r="AW122" s="3086"/>
      <c r="AX122" s="3087"/>
      <c r="AY122" s="3088"/>
      <c r="AZ122" s="3089"/>
      <c r="BA122" s="3090"/>
      <c r="BB122" s="1"/>
    </row>
    <row r="123" spans="1:54" ht="16.2" thickBot="1">
      <c r="A123" s="2660"/>
      <c r="B123" s="842"/>
      <c r="C123" s="3003"/>
      <c r="D123" s="3031"/>
      <c r="E123" s="839"/>
      <c r="F123" s="839"/>
      <c r="G123" s="876"/>
      <c r="H123" s="877"/>
      <c r="I123" s="1612"/>
      <c r="J123" s="1613"/>
      <c r="K123" s="1614"/>
      <c r="L123" s="1615"/>
      <c r="M123" s="876"/>
      <c r="N123" s="1616"/>
      <c r="O123" s="1617"/>
      <c r="P123" s="1618"/>
      <c r="Q123" s="877"/>
      <c r="R123" s="1619"/>
      <c r="S123" s="870"/>
      <c r="T123" s="871"/>
      <c r="U123" s="843"/>
      <c r="V123" s="844"/>
      <c r="W123" s="843"/>
      <c r="X123" s="844"/>
      <c r="Y123" s="845"/>
      <c r="Z123" s="845"/>
      <c r="AA123" s="2489"/>
      <c r="AB123" s="2763"/>
      <c r="AC123" s="2764"/>
      <c r="AD123" s="2483"/>
      <c r="AE123" s="2527"/>
      <c r="AG123" s="2367">
        <f t="shared" si="27"/>
        <v>0</v>
      </c>
      <c r="AH123" s="2367">
        <f t="shared" si="28"/>
        <v>0</v>
      </c>
      <c r="AI123" s="123" t="str">
        <f t="shared" si="26"/>
        <v>무부하 랙</v>
      </c>
      <c r="AJ123" t="str">
        <f t="shared" si="29"/>
        <v/>
      </c>
      <c r="AK123" t="str">
        <f t="shared" si="30"/>
        <v/>
      </c>
      <c r="AP123" s="123"/>
      <c r="AQ123" s="123"/>
      <c r="AR123" s="123"/>
      <c r="AS123" s="3084"/>
      <c r="AT123" s="123"/>
      <c r="AU123" s="123"/>
      <c r="AV123" s="3092"/>
      <c r="AW123" s="3086"/>
      <c r="AX123" s="3087"/>
      <c r="AY123" s="3088"/>
      <c r="AZ123" s="3089"/>
      <c r="BA123" s="3090"/>
      <c r="BB123" s="1"/>
    </row>
    <row r="124" spans="1:54" ht="16.2" thickTop="1">
      <c r="A124" s="1084"/>
      <c r="B124" s="327" t="s">
        <v>2915</v>
      </c>
      <c r="C124" s="973"/>
      <c r="D124" s="3031"/>
      <c r="E124" s="327"/>
      <c r="F124" s="327"/>
      <c r="G124" s="2673"/>
      <c r="H124" s="2674"/>
      <c r="I124" s="1610"/>
      <c r="J124" s="1611"/>
      <c r="K124" s="1555"/>
      <c r="L124" s="1556"/>
      <c r="M124" s="2673"/>
      <c r="N124" s="1557"/>
      <c r="O124" s="1558"/>
      <c r="P124" s="1559"/>
      <c r="Q124" s="2674"/>
      <c r="R124" s="1560"/>
      <c r="S124" s="3509"/>
      <c r="T124" s="3501"/>
      <c r="U124" s="3345"/>
      <c r="V124" s="3354"/>
      <c r="W124" s="3345"/>
      <c r="X124" s="3354"/>
      <c r="Y124" s="328"/>
      <c r="Z124" s="328"/>
      <c r="AA124" s="2454"/>
      <c r="AB124" s="2725"/>
      <c r="AC124" s="2726"/>
      <c r="AD124" s="2479"/>
      <c r="AE124" s="2469"/>
      <c r="AG124" s="2367">
        <f t="shared" si="27"/>
        <v>0</v>
      </c>
      <c r="AH124" s="2367">
        <f t="shared" si="28"/>
        <v>0</v>
      </c>
      <c r="AI124" s="123" t="str">
        <f t="shared" si="26"/>
        <v>무부하 랙</v>
      </c>
      <c r="AJ124" t="str">
        <f t="shared" si="29"/>
        <v/>
      </c>
      <c r="AK124" t="str">
        <f t="shared" si="30"/>
        <v/>
      </c>
      <c r="AP124" s="123"/>
      <c r="AQ124" s="123"/>
      <c r="AR124" s="123"/>
      <c r="AS124" s="3084"/>
      <c r="AT124" s="123"/>
      <c r="AU124" s="123"/>
      <c r="AV124" s="3092"/>
      <c r="AW124" s="3086"/>
      <c r="AX124" s="3087"/>
      <c r="AY124" s="3088"/>
      <c r="AZ124" s="3089"/>
      <c r="BA124" s="3090"/>
      <c r="BB124" s="1"/>
    </row>
    <row r="125" spans="1:54" ht="15.6">
      <c r="A125" s="2652"/>
      <c r="B125" s="250" t="s">
        <v>2916</v>
      </c>
      <c r="C125" s="2664"/>
      <c r="D125" s="3031"/>
      <c r="E125" s="250"/>
      <c r="F125" s="250"/>
      <c r="G125" s="2665"/>
      <c r="H125" s="2666"/>
      <c r="I125" s="1598"/>
      <c r="J125" s="1599"/>
      <c r="K125" s="1561"/>
      <c r="L125" s="1562"/>
      <c r="M125" s="2665"/>
      <c r="N125" s="1563"/>
      <c r="O125" s="1564"/>
      <c r="P125" s="1565"/>
      <c r="Q125" s="2666"/>
      <c r="R125" s="1566"/>
      <c r="S125" s="3510"/>
      <c r="T125" s="3502"/>
      <c r="U125" s="3343"/>
      <c r="V125" s="3340"/>
      <c r="W125" s="3343"/>
      <c r="X125" s="3340"/>
      <c r="Y125" s="253"/>
      <c r="Z125" s="253"/>
      <c r="AA125" s="2452"/>
      <c r="AB125" s="2727"/>
      <c r="AC125" s="2728"/>
      <c r="AD125" s="2477"/>
      <c r="AE125" s="2467"/>
      <c r="AG125" s="2367">
        <f t="shared" si="27"/>
        <v>0</v>
      </c>
      <c r="AH125" s="2367">
        <f t="shared" si="28"/>
        <v>0</v>
      </c>
      <c r="AI125" s="123" t="str">
        <f t="shared" si="26"/>
        <v>무부하 랙</v>
      </c>
      <c r="AJ125" t="str">
        <f t="shared" si="29"/>
        <v/>
      </c>
      <c r="AK125" t="str">
        <f t="shared" si="30"/>
        <v/>
      </c>
      <c r="AP125" s="123"/>
      <c r="AQ125" s="123"/>
      <c r="AR125" s="123"/>
      <c r="AS125" s="3084"/>
      <c r="AT125" s="123"/>
      <c r="AU125" s="123"/>
      <c r="AV125" s="3092"/>
      <c r="AW125" s="3086"/>
      <c r="AX125" s="3087"/>
      <c r="AY125" s="3088"/>
      <c r="AZ125" s="3089"/>
      <c r="BA125" s="3090"/>
      <c r="BB125" s="1"/>
    </row>
    <row r="126" spans="1:54" ht="15.6">
      <c r="A126" s="2652"/>
      <c r="B126" s="250" t="s">
        <v>2917</v>
      </c>
      <c r="C126" s="2664"/>
      <c r="D126" s="3031"/>
      <c r="E126" s="250"/>
      <c r="F126" s="250"/>
      <c r="G126" s="2665"/>
      <c r="H126" s="2666"/>
      <c r="I126" s="1598"/>
      <c r="J126" s="1599"/>
      <c r="K126" s="1561"/>
      <c r="L126" s="1562"/>
      <c r="M126" s="2665"/>
      <c r="N126" s="1563"/>
      <c r="O126" s="1564"/>
      <c r="P126" s="1565"/>
      <c r="Q126" s="2666"/>
      <c r="R126" s="1566"/>
      <c r="S126" s="3510"/>
      <c r="T126" s="3502"/>
      <c r="U126" s="3343"/>
      <c r="V126" s="3340"/>
      <c r="W126" s="3343"/>
      <c r="X126" s="3340"/>
      <c r="Y126" s="253"/>
      <c r="Z126" s="253"/>
      <c r="AA126" s="2452"/>
      <c r="AB126" s="2727"/>
      <c r="AC126" s="2728"/>
      <c r="AD126" s="2477"/>
      <c r="AE126" s="2467"/>
      <c r="AG126" s="2367">
        <f t="shared" si="27"/>
        <v>0</v>
      </c>
      <c r="AH126" s="2367">
        <f t="shared" si="28"/>
        <v>0</v>
      </c>
      <c r="AI126" s="123" t="str">
        <f t="shared" si="26"/>
        <v>무부하 랙</v>
      </c>
      <c r="AJ126" t="str">
        <f t="shared" si="29"/>
        <v/>
      </c>
      <c r="AK126" t="str">
        <f t="shared" si="30"/>
        <v/>
      </c>
      <c r="AP126" s="123"/>
      <c r="AQ126" s="123"/>
      <c r="AR126" s="123"/>
      <c r="AS126" s="3084"/>
      <c r="AT126" s="123"/>
      <c r="AU126" s="123"/>
      <c r="AV126" s="3092"/>
      <c r="AW126" s="3086"/>
      <c r="AX126" s="3087"/>
      <c r="AY126" s="3088"/>
      <c r="AZ126" s="3089"/>
      <c r="BA126" s="3090"/>
      <c r="BB126" s="1"/>
    </row>
    <row r="127" spans="1:54" ht="15.6">
      <c r="A127" s="2652"/>
      <c r="B127" s="250" t="s">
        <v>2918</v>
      </c>
      <c r="C127" s="2664"/>
      <c r="D127" s="3031"/>
      <c r="E127" s="250"/>
      <c r="F127" s="250"/>
      <c r="G127" s="2665"/>
      <c r="H127" s="2666"/>
      <c r="I127" s="1598"/>
      <c r="J127" s="1599"/>
      <c r="K127" s="1561"/>
      <c r="L127" s="1562"/>
      <c r="M127" s="2665"/>
      <c r="N127" s="1563"/>
      <c r="O127" s="1564"/>
      <c r="P127" s="1565"/>
      <c r="Q127" s="2666"/>
      <c r="R127" s="1566"/>
      <c r="S127" s="3510"/>
      <c r="T127" s="3502"/>
      <c r="U127" s="3343"/>
      <c r="V127" s="3340"/>
      <c r="W127" s="3343"/>
      <c r="X127" s="3340"/>
      <c r="Y127" s="253"/>
      <c r="Z127" s="253"/>
      <c r="AA127" s="2452"/>
      <c r="AB127" s="2727"/>
      <c r="AC127" s="2728"/>
      <c r="AD127" s="2477"/>
      <c r="AE127" s="2467"/>
      <c r="AG127" s="2367">
        <f t="shared" si="27"/>
        <v>0</v>
      </c>
      <c r="AH127" s="2367">
        <f t="shared" si="28"/>
        <v>0</v>
      </c>
      <c r="AI127" s="123" t="str">
        <f t="shared" si="26"/>
        <v>무부하 랙</v>
      </c>
      <c r="AJ127" t="str">
        <f t="shared" si="29"/>
        <v/>
      </c>
      <c r="AK127" t="str">
        <f t="shared" si="30"/>
        <v/>
      </c>
      <c r="AP127" s="123"/>
      <c r="AQ127" s="123"/>
      <c r="AR127" s="123"/>
      <c r="AS127" s="3084"/>
      <c r="AT127" s="123"/>
      <c r="AU127" s="123"/>
      <c r="AV127" s="3092"/>
      <c r="AW127" s="3086"/>
      <c r="AX127" s="3087"/>
      <c r="AY127" s="3088"/>
      <c r="AZ127" s="3089"/>
      <c r="BA127" s="3090"/>
      <c r="BB127" s="1"/>
    </row>
    <row r="128" spans="1:54" ht="15.6">
      <c r="A128" s="2652"/>
      <c r="B128" s="250" t="s">
        <v>2919</v>
      </c>
      <c r="C128" s="2664"/>
      <c r="D128" s="3031"/>
      <c r="E128" s="250"/>
      <c r="F128" s="250"/>
      <c r="G128" s="2665"/>
      <c r="H128" s="2666"/>
      <c r="I128" s="1598"/>
      <c r="J128" s="1599"/>
      <c r="K128" s="1561"/>
      <c r="L128" s="1562"/>
      <c r="M128" s="2665"/>
      <c r="N128" s="1563"/>
      <c r="O128" s="1564"/>
      <c r="P128" s="1565"/>
      <c r="Q128" s="2666"/>
      <c r="R128" s="1566"/>
      <c r="S128" s="3510"/>
      <c r="T128" s="3502"/>
      <c r="U128" s="3343"/>
      <c r="V128" s="3340"/>
      <c r="W128" s="3343"/>
      <c r="X128" s="3340"/>
      <c r="Y128" s="253"/>
      <c r="Z128" s="253"/>
      <c r="AA128" s="2452"/>
      <c r="AB128" s="2727"/>
      <c r="AC128" s="2728"/>
      <c r="AD128" s="2477"/>
      <c r="AE128" s="2467"/>
      <c r="AG128" s="2367">
        <f t="shared" si="27"/>
        <v>0</v>
      </c>
      <c r="AH128" s="2367">
        <f t="shared" si="28"/>
        <v>0</v>
      </c>
      <c r="AI128" s="123" t="str">
        <f t="shared" si="26"/>
        <v>무부하 랙</v>
      </c>
      <c r="AJ128" t="str">
        <f t="shared" si="29"/>
        <v/>
      </c>
      <c r="AK128" t="str">
        <f t="shared" si="30"/>
        <v/>
      </c>
      <c r="AP128" s="123"/>
      <c r="AQ128" s="123"/>
      <c r="AR128" s="123"/>
      <c r="AS128" s="3084"/>
      <c r="AT128" s="123"/>
      <c r="AU128" s="123"/>
      <c r="AV128" s="3092"/>
      <c r="AW128" s="3086"/>
      <c r="AX128" s="3087"/>
      <c r="AY128" s="3088"/>
      <c r="AZ128" s="3089"/>
      <c r="BA128" s="3090"/>
      <c r="BB128" s="1"/>
    </row>
    <row r="129" spans="1:54" ht="15.6">
      <c r="A129" s="2652"/>
      <c r="B129" s="250" t="s">
        <v>2920</v>
      </c>
      <c r="C129" s="2664"/>
      <c r="D129" s="3031"/>
      <c r="E129" s="250"/>
      <c r="F129" s="250"/>
      <c r="G129" s="2665"/>
      <c r="H129" s="2666"/>
      <c r="I129" s="1598"/>
      <c r="J129" s="1599"/>
      <c r="K129" s="1561"/>
      <c r="L129" s="1562"/>
      <c r="M129" s="2665"/>
      <c r="N129" s="1563"/>
      <c r="O129" s="1564"/>
      <c r="P129" s="1565"/>
      <c r="Q129" s="2666"/>
      <c r="R129" s="1566"/>
      <c r="S129" s="3511"/>
      <c r="T129" s="3503"/>
      <c r="U129" s="3359"/>
      <c r="V129" s="3346"/>
      <c r="W129" s="3359"/>
      <c r="X129" s="3346"/>
      <c r="Y129" s="253"/>
      <c r="Z129" s="253"/>
      <c r="AA129" s="2452"/>
      <c r="AB129" s="2727"/>
      <c r="AC129" s="2728"/>
      <c r="AD129" s="2477"/>
      <c r="AE129" s="2467"/>
      <c r="AG129" s="2367">
        <f t="shared" si="27"/>
        <v>0</v>
      </c>
      <c r="AH129" s="2367">
        <f t="shared" si="28"/>
        <v>0</v>
      </c>
      <c r="AI129" s="123" t="str">
        <f t="shared" si="26"/>
        <v>무부하 랙</v>
      </c>
      <c r="AJ129" t="str">
        <f t="shared" si="29"/>
        <v/>
      </c>
      <c r="AK129" t="str">
        <f t="shared" si="30"/>
        <v/>
      </c>
      <c r="AP129" s="123"/>
      <c r="AQ129" s="123"/>
      <c r="AR129" s="123"/>
      <c r="AS129" s="3084"/>
      <c r="AT129" s="123"/>
      <c r="AU129" s="123"/>
      <c r="AV129" s="3092"/>
      <c r="AW129" s="3086"/>
      <c r="AX129" s="3087"/>
      <c r="AY129" s="3088"/>
      <c r="AZ129" s="3089"/>
      <c r="BA129" s="3090"/>
      <c r="BB129" s="1"/>
    </row>
    <row r="130" spans="1:54" ht="15.6">
      <c r="A130" s="2652"/>
      <c r="B130" s="2712"/>
      <c r="C130" s="886"/>
      <c r="D130" s="3031"/>
      <c r="E130" s="2712"/>
      <c r="F130" s="2712"/>
      <c r="G130" s="2710"/>
      <c r="H130" s="2706"/>
      <c r="I130" s="1593"/>
      <c r="J130" s="1585"/>
      <c r="K130" s="1594"/>
      <c r="L130" s="1595"/>
      <c r="M130" s="2710"/>
      <c r="N130" s="1596"/>
      <c r="O130" s="1597"/>
      <c r="P130" s="1587"/>
      <c r="Q130" s="2706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57"/>
      <c r="AB130" s="2745"/>
      <c r="AC130" s="2746"/>
      <c r="AD130" s="2484"/>
      <c r="AE130" s="2526"/>
      <c r="AG130" s="2367">
        <f t="shared" si="27"/>
        <v>0</v>
      </c>
      <c r="AH130" s="2367">
        <f t="shared" si="28"/>
        <v>0</v>
      </c>
      <c r="AI130" s="123" t="str">
        <f t="shared" si="26"/>
        <v>무부하 랙</v>
      </c>
      <c r="AJ130" t="str">
        <f t="shared" si="29"/>
        <v/>
      </c>
      <c r="AK130" t="str">
        <f t="shared" si="30"/>
        <v/>
      </c>
      <c r="AP130" s="123"/>
      <c r="AQ130" s="123"/>
      <c r="AR130" s="123"/>
      <c r="AS130" s="3084"/>
      <c r="AT130" s="123"/>
      <c r="AU130" s="123"/>
      <c r="AV130" s="3092"/>
      <c r="AW130" s="3086"/>
      <c r="AX130" s="3087"/>
      <c r="AY130" s="3088"/>
      <c r="AZ130" s="3089"/>
      <c r="BA130" s="3090"/>
      <c r="BB130" s="1"/>
    </row>
    <row r="131" spans="1:54" ht="15.6">
      <c r="A131" s="2652"/>
      <c r="B131" s="2712"/>
      <c r="C131" s="886"/>
      <c r="D131" s="3031"/>
      <c r="E131" s="2712"/>
      <c r="F131" s="2712"/>
      <c r="G131" s="2710"/>
      <c r="H131" s="2706"/>
      <c r="I131" s="1593"/>
      <c r="J131" s="1585"/>
      <c r="K131" s="1594"/>
      <c r="L131" s="1595"/>
      <c r="M131" s="2710"/>
      <c r="N131" s="1596"/>
      <c r="O131" s="1597"/>
      <c r="P131" s="1587"/>
      <c r="Q131" s="2706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57"/>
      <c r="AB131" s="2745"/>
      <c r="AC131" s="2746"/>
      <c r="AD131" s="2484"/>
      <c r="AE131" s="2526"/>
      <c r="AG131" s="2367">
        <f t="shared" si="27"/>
        <v>0</v>
      </c>
      <c r="AH131" s="2367">
        <f t="shared" si="28"/>
        <v>0</v>
      </c>
      <c r="AI131" s="123" t="str">
        <f t="shared" si="26"/>
        <v>무부하 랙</v>
      </c>
      <c r="AJ131" t="str">
        <f t="shared" si="29"/>
        <v/>
      </c>
      <c r="AK131" t="str">
        <f t="shared" si="30"/>
        <v/>
      </c>
      <c r="AP131" s="123"/>
      <c r="AQ131" s="123"/>
      <c r="AR131" s="123"/>
      <c r="AS131" s="3084"/>
      <c r="AT131" s="123"/>
      <c r="AU131" s="123"/>
      <c r="AV131" s="3092"/>
      <c r="AW131" s="3086"/>
      <c r="AX131" s="3087"/>
      <c r="AY131" s="3088"/>
      <c r="AZ131" s="3089"/>
      <c r="BA131" s="3090"/>
      <c r="BB131" s="1"/>
    </row>
    <row r="132" spans="1:54" ht="15.6">
      <c r="A132" s="2652"/>
      <c r="B132" s="2712"/>
      <c r="C132" s="886"/>
      <c r="D132" s="3031"/>
      <c r="E132" s="2712"/>
      <c r="F132" s="2712"/>
      <c r="G132" s="2710"/>
      <c r="H132" s="2706"/>
      <c r="I132" s="1593"/>
      <c r="J132" s="1585"/>
      <c r="K132" s="1594"/>
      <c r="L132" s="1595"/>
      <c r="M132" s="2710"/>
      <c r="N132" s="1596"/>
      <c r="O132" s="1597"/>
      <c r="P132" s="1587"/>
      <c r="Q132" s="2706"/>
      <c r="R132" s="1588"/>
      <c r="S132" s="866"/>
      <c r="T132" s="867"/>
      <c r="U132" s="832"/>
      <c r="V132" s="833"/>
      <c r="W132" s="832"/>
      <c r="X132" s="833"/>
      <c r="Y132" s="834"/>
      <c r="Z132" s="834"/>
      <c r="AA132" s="2457"/>
      <c r="AB132" s="2745"/>
      <c r="AC132" s="2746"/>
      <c r="AD132" s="2484"/>
      <c r="AE132" s="2526"/>
      <c r="AG132" s="2367">
        <f t="shared" si="27"/>
        <v>0</v>
      </c>
      <c r="AH132" s="2367">
        <f t="shared" si="28"/>
        <v>0</v>
      </c>
      <c r="AI132" s="123" t="str">
        <f t="shared" si="26"/>
        <v>무부하 랙</v>
      </c>
      <c r="AJ132" t="str">
        <f t="shared" si="29"/>
        <v/>
      </c>
      <c r="AK132" t="str">
        <f t="shared" si="30"/>
        <v/>
      </c>
      <c r="AP132" s="123"/>
      <c r="AQ132" s="123"/>
      <c r="AR132" s="123"/>
      <c r="AS132" s="3084"/>
      <c r="AT132" s="123"/>
      <c r="AU132" s="123"/>
      <c r="AV132" s="3092"/>
      <c r="AW132" s="3086"/>
      <c r="AX132" s="3087"/>
      <c r="AY132" s="3088"/>
      <c r="AZ132" s="3089"/>
      <c r="BA132" s="3090"/>
      <c r="BB132" s="1"/>
    </row>
    <row r="133" spans="1:54" ht="16.2" thickBot="1">
      <c r="A133" s="2660"/>
      <c r="B133" s="839"/>
      <c r="C133" s="975"/>
      <c r="D133" s="3031"/>
      <c r="E133" s="839"/>
      <c r="F133" s="839"/>
      <c r="G133" s="2711"/>
      <c r="H133" s="2707"/>
      <c r="I133" s="1612"/>
      <c r="J133" s="1613"/>
      <c r="K133" s="1626"/>
      <c r="L133" s="1627"/>
      <c r="M133" s="2711"/>
      <c r="N133" s="1628"/>
      <c r="O133" s="1629"/>
      <c r="P133" s="1630"/>
      <c r="Q133" s="2707"/>
      <c r="R133" s="1631"/>
      <c r="S133" s="880"/>
      <c r="T133" s="881"/>
      <c r="U133" s="840"/>
      <c r="V133" s="849"/>
      <c r="W133" s="840"/>
      <c r="X133" s="849"/>
      <c r="Y133" s="850"/>
      <c r="Z133" s="850"/>
      <c r="AA133" s="2456"/>
      <c r="AB133" s="2767"/>
      <c r="AC133" s="2768"/>
      <c r="AD133" s="2483"/>
      <c r="AE133" s="2529"/>
      <c r="AG133" s="2367">
        <f t="shared" si="27"/>
        <v>0</v>
      </c>
      <c r="AH133" s="2367">
        <f t="shared" si="28"/>
        <v>0</v>
      </c>
      <c r="AI133" s="123" t="str">
        <f t="shared" si="26"/>
        <v>무부하 랙</v>
      </c>
      <c r="AJ133" t="str">
        <f t="shared" si="29"/>
        <v/>
      </c>
      <c r="AK133" t="str">
        <f t="shared" si="30"/>
        <v/>
      </c>
      <c r="AP133" s="123"/>
      <c r="AQ133" s="123"/>
      <c r="AR133" s="123"/>
      <c r="AS133" s="3084"/>
      <c r="AT133" s="123"/>
      <c r="AU133" s="123"/>
      <c r="AV133" s="3092"/>
      <c r="AW133" s="3086"/>
      <c r="AX133" s="3087"/>
      <c r="AY133" s="3088"/>
      <c r="AZ133" s="3089"/>
      <c r="BA133" s="3090"/>
      <c r="BB133" s="1"/>
    </row>
    <row r="134" spans="1:54" ht="29.4" thickTop="1">
      <c r="A134" s="1084"/>
      <c r="B134" s="327" t="s">
        <v>2921</v>
      </c>
      <c r="C134" s="973"/>
      <c r="D134" s="3031"/>
      <c r="E134" s="327" t="s">
        <v>2922</v>
      </c>
      <c r="F134" s="327" t="s">
        <v>2923</v>
      </c>
      <c r="G134" s="2673" t="s">
        <v>2924</v>
      </c>
      <c r="H134" s="2674" t="s">
        <v>2925</v>
      </c>
      <c r="I134" s="1610" t="str">
        <f t="shared" ref="I134:I141" si="40">"5-DaHall1-PDU-"&amp;M134&amp;"-"&amp;L134&amp;"-"&amp;N134</f>
        <v>5-DaHall1-PDU-05-30-1</v>
      </c>
      <c r="J134" s="1611" t="str">
        <f t="shared" ref="J134:J141" si="41">"5-DaHall1-PDU-"&amp;Q134&amp;"-"&amp;P134&amp;"-"&amp;R134</f>
        <v>5-DaHall1-PDU-06-30-1</v>
      </c>
      <c r="K134" s="1555">
        <v>220</v>
      </c>
      <c r="L134" s="1556">
        <v>30</v>
      </c>
      <c r="M134" s="2379" t="s">
        <v>6491</v>
      </c>
      <c r="N134" s="1557">
        <v>1</v>
      </c>
      <c r="O134" s="1558">
        <v>220</v>
      </c>
      <c r="P134" s="1559">
        <v>30</v>
      </c>
      <c r="Q134" s="2409" t="s">
        <v>6501</v>
      </c>
      <c r="R134" s="1560">
        <v>1</v>
      </c>
      <c r="S134" s="3472" t="s">
        <v>2926</v>
      </c>
      <c r="T134" s="3475" t="s">
        <v>2927</v>
      </c>
      <c r="U134" s="3355" t="s">
        <v>2928</v>
      </c>
      <c r="V134" s="3361" t="s">
        <v>2929</v>
      </c>
      <c r="W134" s="3355" t="s">
        <v>2484</v>
      </c>
      <c r="X134" s="3361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54">
        <f t="shared" ref="AA134:AA141" si="42">SUM(Y134:Z134)</f>
        <v>0</v>
      </c>
      <c r="AB134" s="2725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0</v>
      </c>
      <c r="AC134" s="2726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0</v>
      </c>
      <c r="AD134" s="2479">
        <f>SUM(AB134:AC134)</f>
        <v>0</v>
      </c>
      <c r="AE134" s="2469"/>
      <c r="AG134" s="2367">
        <f t="shared" si="27"/>
        <v>0</v>
      </c>
      <c r="AH134" s="2367">
        <f t="shared" si="28"/>
        <v>0</v>
      </c>
      <c r="AI134" s="123" t="str">
        <f t="shared" ref="AI134:AI197" si="43">IF(SIGN(AH134)&gt;=0,IF(AD134=0,"무부하 랙","적정함"),"사용초과")</f>
        <v>무부하 랙</v>
      </c>
      <c r="AJ134" t="str">
        <f t="shared" ref="AJ134:AJ197" si="44">IF(AI134="사용초과",C134,"")</f>
        <v/>
      </c>
      <c r="AK134" t="str">
        <f t="shared" ref="AK134:AK197" si="45">IF(AJ134="","",A134)</f>
        <v/>
      </c>
      <c r="AP134" s="123"/>
      <c r="AQ134" s="123"/>
      <c r="AR134" s="123"/>
      <c r="AS134" s="3084"/>
      <c r="AT134" s="123"/>
      <c r="AU134" s="123"/>
      <c r="AV134" s="3092"/>
      <c r="AW134" s="3086"/>
      <c r="AX134" s="3087"/>
      <c r="AY134" s="3088"/>
      <c r="AZ134" s="3089"/>
      <c r="BA134" s="3090"/>
      <c r="BB134" s="1"/>
    </row>
    <row r="135" spans="1:54" ht="28.8">
      <c r="A135" s="2652"/>
      <c r="B135" s="250" t="s">
        <v>2931</v>
      </c>
      <c r="C135" s="2664"/>
      <c r="D135" s="3031"/>
      <c r="E135" s="250" t="s">
        <v>2932</v>
      </c>
      <c r="F135" s="250" t="s">
        <v>2933</v>
      </c>
      <c r="G135" s="2665" t="s">
        <v>2934</v>
      </c>
      <c r="H135" s="2666" t="s">
        <v>2935</v>
      </c>
      <c r="I135" s="1598" t="str">
        <f t="shared" si="40"/>
        <v>5-DaHall1-PDU-05-30-3</v>
      </c>
      <c r="J135" s="1599" t="str">
        <f t="shared" si="41"/>
        <v>5-DaHall1-PDU-06-30-3</v>
      </c>
      <c r="K135" s="1561">
        <v>220</v>
      </c>
      <c r="L135" s="1562">
        <v>30</v>
      </c>
      <c r="M135" s="2380" t="s">
        <v>6491</v>
      </c>
      <c r="N135" s="1563">
        <v>3</v>
      </c>
      <c r="O135" s="1564">
        <v>220</v>
      </c>
      <c r="P135" s="1565">
        <v>30</v>
      </c>
      <c r="Q135" s="2410" t="s">
        <v>6501</v>
      </c>
      <c r="R135" s="1566">
        <v>3</v>
      </c>
      <c r="S135" s="3473"/>
      <c r="T135" s="3476"/>
      <c r="U135" s="3364"/>
      <c r="V135" s="3365"/>
      <c r="W135" s="3364"/>
      <c r="X135" s="3365"/>
      <c r="Y135" s="253">
        <f>SUM('5층_부하량(월간_AVG)'!D165:F165)</f>
        <v>0</v>
      </c>
      <c r="Z135" s="253">
        <f>SUM('5층_부하량(월간_AVG)'!D196:F196)</f>
        <v>0</v>
      </c>
      <c r="AA135" s="2452">
        <f t="shared" si="42"/>
        <v>0</v>
      </c>
      <c r="AB135" s="2727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0</v>
      </c>
      <c r="AC135" s="2728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0</v>
      </c>
      <c r="AD135" s="2477">
        <f>SUM(AB135:AC135)</f>
        <v>0</v>
      </c>
      <c r="AE135" s="2467"/>
      <c r="AG135" s="2367">
        <f t="shared" ref="AG135:AG198" si="46">AD135/(24*31)</f>
        <v>0</v>
      </c>
      <c r="AH135" s="2367">
        <f t="shared" ref="AH135:AH198" si="47">D135-AG135</f>
        <v>0</v>
      </c>
      <c r="AI135" s="123" t="str">
        <f t="shared" si="43"/>
        <v>무부하 랙</v>
      </c>
      <c r="AJ135" t="str">
        <f t="shared" si="44"/>
        <v/>
      </c>
      <c r="AK135" t="str">
        <f t="shared" si="45"/>
        <v/>
      </c>
      <c r="AP135" s="123"/>
      <c r="AQ135" s="123"/>
      <c r="AR135" s="123"/>
      <c r="AS135" s="3084"/>
      <c r="AT135" s="123"/>
      <c r="AU135" s="123"/>
      <c r="AV135" s="3092"/>
      <c r="AW135" s="3086"/>
      <c r="AX135" s="3087"/>
      <c r="AY135" s="3088"/>
      <c r="AZ135" s="3089"/>
      <c r="BA135" s="3090"/>
      <c r="BB135" s="1"/>
    </row>
    <row r="136" spans="1:54" ht="28.8">
      <c r="A136" s="2652"/>
      <c r="B136" s="250" t="s">
        <v>2937</v>
      </c>
      <c r="C136" s="2664"/>
      <c r="D136" s="3031"/>
      <c r="E136" s="250" t="s">
        <v>2938</v>
      </c>
      <c r="F136" s="250" t="s">
        <v>2939</v>
      </c>
      <c r="G136" s="2665" t="s">
        <v>2940</v>
      </c>
      <c r="H136" s="2666" t="s">
        <v>2941</v>
      </c>
      <c r="I136" s="1598" t="str">
        <f t="shared" si="40"/>
        <v>5-DaHall1-PDU-05-30-5</v>
      </c>
      <c r="J136" s="1599" t="str">
        <f t="shared" si="41"/>
        <v>5-DaHall1-PDU-06-30-5</v>
      </c>
      <c r="K136" s="1561">
        <v>220</v>
      </c>
      <c r="L136" s="1562">
        <v>30</v>
      </c>
      <c r="M136" s="2380" t="s">
        <v>6491</v>
      </c>
      <c r="N136" s="1563">
        <v>5</v>
      </c>
      <c r="O136" s="1564">
        <v>220</v>
      </c>
      <c r="P136" s="1565">
        <v>30</v>
      </c>
      <c r="Q136" s="2410" t="s">
        <v>6501</v>
      </c>
      <c r="R136" s="1566">
        <v>5</v>
      </c>
      <c r="S136" s="3473"/>
      <c r="T136" s="3476"/>
      <c r="U136" s="3364"/>
      <c r="V136" s="3365"/>
      <c r="W136" s="3364"/>
      <c r="X136" s="3365"/>
      <c r="Y136" s="253">
        <f>SUM('5층_부하량(월간_AVG)'!D166:F166)</f>
        <v>0</v>
      </c>
      <c r="Z136" s="253">
        <f>SUM('5층_부하량(월간_AVG)'!D197:F197)</f>
        <v>0</v>
      </c>
      <c r="AA136" s="2452">
        <f t="shared" si="42"/>
        <v>0</v>
      </c>
      <c r="AB136" s="2727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0</v>
      </c>
      <c r="AC136" s="2728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0</v>
      </c>
      <c r="AD136" s="2477">
        <f t="shared" ref="AD136:AD141" si="48">SUM(AB136:AC136)</f>
        <v>0</v>
      </c>
      <c r="AE136" s="2467"/>
      <c r="AG136" s="2367">
        <f t="shared" si="46"/>
        <v>0</v>
      </c>
      <c r="AH136" s="2367">
        <f t="shared" si="47"/>
        <v>0</v>
      </c>
      <c r="AI136" s="123" t="str">
        <f t="shared" si="43"/>
        <v>무부하 랙</v>
      </c>
      <c r="AJ136" t="str">
        <f t="shared" si="44"/>
        <v/>
      </c>
      <c r="AK136" t="str">
        <f t="shared" si="45"/>
        <v/>
      </c>
      <c r="AP136" s="123"/>
      <c r="AQ136" s="123"/>
      <c r="AR136" s="123"/>
      <c r="AS136" s="3084"/>
      <c r="AT136" s="123"/>
      <c r="AU136" s="123"/>
      <c r="AV136" s="3092"/>
      <c r="AW136" s="3086"/>
      <c r="AX136" s="3087"/>
      <c r="AY136" s="3088"/>
      <c r="AZ136" s="3089"/>
      <c r="BA136" s="3090"/>
      <c r="BB136" s="1"/>
    </row>
    <row r="137" spans="1:54" ht="28.8">
      <c r="A137" s="2652"/>
      <c r="B137" s="250" t="s">
        <v>2943</v>
      </c>
      <c r="C137" s="2664"/>
      <c r="D137" s="3031"/>
      <c r="E137" s="250" t="s">
        <v>2944</v>
      </c>
      <c r="F137" s="250" t="s">
        <v>2945</v>
      </c>
      <c r="G137" s="2665" t="s">
        <v>2946</v>
      </c>
      <c r="H137" s="2666" t="s">
        <v>2947</v>
      </c>
      <c r="I137" s="1598" t="str">
        <f t="shared" si="40"/>
        <v>5-DaHall1-PDU-05-30-9</v>
      </c>
      <c r="J137" s="1599" t="str">
        <f t="shared" si="41"/>
        <v>5-DaHall1-PDU-06-30-7</v>
      </c>
      <c r="K137" s="1561">
        <v>220</v>
      </c>
      <c r="L137" s="1562">
        <v>30</v>
      </c>
      <c r="M137" s="2380" t="s">
        <v>6491</v>
      </c>
      <c r="N137" s="1563">
        <v>9</v>
      </c>
      <c r="O137" s="1564">
        <v>220</v>
      </c>
      <c r="P137" s="1565">
        <v>30</v>
      </c>
      <c r="Q137" s="2410" t="s">
        <v>6501</v>
      </c>
      <c r="R137" s="1566">
        <v>7</v>
      </c>
      <c r="S137" s="3473"/>
      <c r="T137" s="3476"/>
      <c r="U137" s="3364"/>
      <c r="V137" s="3365"/>
      <c r="W137" s="3364"/>
      <c r="X137" s="3365"/>
      <c r="Y137" s="253">
        <f>SUM('5층_부하량(월간_AVG)'!D167:F167)</f>
        <v>0</v>
      </c>
      <c r="Z137" s="253">
        <f>SUM('5층_부하량(월간_AVG)'!D198:F198)</f>
        <v>0</v>
      </c>
      <c r="AA137" s="2452">
        <f t="shared" si="42"/>
        <v>0</v>
      </c>
      <c r="AB137" s="2727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0</v>
      </c>
      <c r="AC137" s="2728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0</v>
      </c>
      <c r="AD137" s="2477">
        <f t="shared" si="48"/>
        <v>0</v>
      </c>
      <c r="AE137" s="2467"/>
      <c r="AG137" s="2367">
        <f t="shared" si="46"/>
        <v>0</v>
      </c>
      <c r="AH137" s="2367">
        <f t="shared" si="47"/>
        <v>0</v>
      </c>
      <c r="AI137" s="123" t="str">
        <f t="shared" si="43"/>
        <v>무부하 랙</v>
      </c>
      <c r="AJ137" t="str">
        <f t="shared" si="44"/>
        <v/>
      </c>
      <c r="AK137" t="str">
        <f t="shared" si="45"/>
        <v/>
      </c>
      <c r="AP137" s="123"/>
      <c r="AQ137" s="123"/>
      <c r="AR137" s="123"/>
      <c r="AS137" s="3084"/>
      <c r="AT137" s="123"/>
      <c r="AU137" s="123"/>
      <c r="AV137" s="3092"/>
      <c r="AW137" s="3086"/>
      <c r="AX137" s="3087"/>
      <c r="AY137" s="3088"/>
      <c r="AZ137" s="3089"/>
      <c r="BA137" s="3090"/>
      <c r="BB137" s="1"/>
    </row>
    <row r="138" spans="1:54" ht="28.8">
      <c r="A138" s="2652"/>
      <c r="B138" s="250" t="s">
        <v>2949</v>
      </c>
      <c r="C138" s="2664"/>
      <c r="D138" s="3031"/>
      <c r="E138" s="250" t="s">
        <v>2950</v>
      </c>
      <c r="F138" s="250" t="s">
        <v>2951</v>
      </c>
      <c r="G138" s="2665" t="s">
        <v>2952</v>
      </c>
      <c r="H138" s="2666" t="s">
        <v>2953</v>
      </c>
      <c r="I138" s="1598" t="str">
        <f t="shared" si="40"/>
        <v>5-DaHall1-PDU-05-30-11</v>
      </c>
      <c r="J138" s="1599" t="str">
        <f t="shared" si="41"/>
        <v>5-DaHall1-PDU-06-30-9</v>
      </c>
      <c r="K138" s="1561">
        <v>220</v>
      </c>
      <c r="L138" s="1562">
        <v>30</v>
      </c>
      <c r="M138" s="2380" t="s">
        <v>6491</v>
      </c>
      <c r="N138" s="1563">
        <v>11</v>
      </c>
      <c r="O138" s="1564">
        <v>220</v>
      </c>
      <c r="P138" s="1565">
        <v>30</v>
      </c>
      <c r="Q138" s="2410" t="s">
        <v>6501</v>
      </c>
      <c r="R138" s="1566">
        <v>9</v>
      </c>
      <c r="S138" s="3473"/>
      <c r="T138" s="3476"/>
      <c r="U138" s="3364"/>
      <c r="V138" s="3365"/>
      <c r="W138" s="3364"/>
      <c r="X138" s="3365"/>
      <c r="Y138" s="253">
        <f>SUM('5층_부하량(월간_AVG)'!D168:F168)</f>
        <v>0</v>
      </c>
      <c r="Z138" s="253">
        <f>SUM('5층_부하량(월간_AVG)'!D199:F199)</f>
        <v>0</v>
      </c>
      <c r="AA138" s="2452">
        <f t="shared" si="42"/>
        <v>0</v>
      </c>
      <c r="AB138" s="2727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0</v>
      </c>
      <c r="AC138" s="2728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0</v>
      </c>
      <c r="AD138" s="2477">
        <f t="shared" si="48"/>
        <v>0</v>
      </c>
      <c r="AE138" s="2467"/>
      <c r="AG138" s="2367">
        <f t="shared" si="46"/>
        <v>0</v>
      </c>
      <c r="AH138" s="2367">
        <f t="shared" si="47"/>
        <v>0</v>
      </c>
      <c r="AI138" s="123" t="str">
        <f t="shared" si="43"/>
        <v>무부하 랙</v>
      </c>
      <c r="AJ138" t="str">
        <f t="shared" si="44"/>
        <v/>
      </c>
      <c r="AK138" t="str">
        <f t="shared" si="45"/>
        <v/>
      </c>
      <c r="AP138" s="123"/>
      <c r="AQ138" s="123"/>
      <c r="AR138" s="123"/>
      <c r="AS138" s="3084"/>
      <c r="AT138" s="123"/>
      <c r="AU138" s="123"/>
      <c r="AV138" s="3092"/>
      <c r="AW138" s="3086"/>
      <c r="AX138" s="3087"/>
      <c r="AY138" s="3088"/>
      <c r="AZ138" s="3089"/>
      <c r="BA138" s="3090"/>
      <c r="BB138" s="1"/>
    </row>
    <row r="139" spans="1:54" ht="28.8">
      <c r="A139" s="2652"/>
      <c r="B139" s="250" t="s">
        <v>2955</v>
      </c>
      <c r="C139" s="2664"/>
      <c r="D139" s="3031"/>
      <c r="E139" s="250" t="s">
        <v>2956</v>
      </c>
      <c r="F139" s="250" t="s">
        <v>2957</v>
      </c>
      <c r="G139" s="2665" t="s">
        <v>2958</v>
      </c>
      <c r="H139" s="2666" t="s">
        <v>2959</v>
      </c>
      <c r="I139" s="1598" t="str">
        <f t="shared" si="40"/>
        <v>5-DaHall1-PDU-05-30-13</v>
      </c>
      <c r="J139" s="1599" t="str">
        <f t="shared" si="41"/>
        <v>5-DaHall1-PDU-06-30-11</v>
      </c>
      <c r="K139" s="1561">
        <v>220</v>
      </c>
      <c r="L139" s="1562">
        <v>30</v>
      </c>
      <c r="M139" s="2380" t="s">
        <v>6491</v>
      </c>
      <c r="N139" s="1563">
        <v>13</v>
      </c>
      <c r="O139" s="1564">
        <v>220</v>
      </c>
      <c r="P139" s="1565">
        <v>30</v>
      </c>
      <c r="Q139" s="2410" t="s">
        <v>6501</v>
      </c>
      <c r="R139" s="1566">
        <v>11</v>
      </c>
      <c r="S139" s="3473"/>
      <c r="T139" s="3476"/>
      <c r="U139" s="3364"/>
      <c r="V139" s="3365"/>
      <c r="W139" s="3364"/>
      <c r="X139" s="3365"/>
      <c r="Y139" s="253">
        <f>SUM('5층_부하량(월간_AVG)'!D169:F169)</f>
        <v>0</v>
      </c>
      <c r="Z139" s="253">
        <f>SUM('5층_부하량(월간_AVG)'!D200:F200)</f>
        <v>0</v>
      </c>
      <c r="AA139" s="2452">
        <f t="shared" si="42"/>
        <v>0</v>
      </c>
      <c r="AB139" s="2727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0</v>
      </c>
      <c r="AC139" s="2728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0</v>
      </c>
      <c r="AD139" s="2477">
        <f t="shared" si="48"/>
        <v>0</v>
      </c>
      <c r="AE139" s="2467"/>
      <c r="AG139" s="2367">
        <f t="shared" si="46"/>
        <v>0</v>
      </c>
      <c r="AH139" s="2367">
        <f t="shared" si="47"/>
        <v>0</v>
      </c>
      <c r="AI139" s="123" t="str">
        <f t="shared" si="43"/>
        <v>무부하 랙</v>
      </c>
      <c r="AJ139" t="str">
        <f t="shared" si="44"/>
        <v/>
      </c>
      <c r="AK139" t="str">
        <f t="shared" si="45"/>
        <v/>
      </c>
      <c r="AP139" s="123"/>
      <c r="AQ139" s="123"/>
      <c r="AR139" s="123"/>
      <c r="AS139" s="3084"/>
      <c r="AT139" s="123"/>
      <c r="AU139" s="123"/>
      <c r="AV139" s="3092"/>
      <c r="AW139" s="3086"/>
      <c r="AX139" s="3087"/>
      <c r="AY139" s="3088"/>
      <c r="AZ139" s="3089"/>
      <c r="BA139" s="3090"/>
      <c r="BB139" s="1"/>
    </row>
    <row r="140" spans="1:54" ht="28.8">
      <c r="A140" s="2652"/>
      <c r="B140" s="250" t="s">
        <v>2961</v>
      </c>
      <c r="C140" s="2664"/>
      <c r="D140" s="3031"/>
      <c r="E140" s="250" t="s">
        <v>2962</v>
      </c>
      <c r="F140" s="250" t="s">
        <v>2963</v>
      </c>
      <c r="G140" s="2665" t="s">
        <v>2964</v>
      </c>
      <c r="H140" s="2666" t="s">
        <v>2965</v>
      </c>
      <c r="I140" s="1598" t="str">
        <f t="shared" si="40"/>
        <v>5-DaHall1-PDU-05-30-15</v>
      </c>
      <c r="J140" s="1599" t="str">
        <f t="shared" si="41"/>
        <v>5-DaHall1-PDU-06-30-15</v>
      </c>
      <c r="K140" s="1561">
        <v>220</v>
      </c>
      <c r="L140" s="1562">
        <v>30</v>
      </c>
      <c r="M140" s="2380" t="s">
        <v>6491</v>
      </c>
      <c r="N140" s="1563">
        <v>15</v>
      </c>
      <c r="O140" s="1564">
        <v>220</v>
      </c>
      <c r="P140" s="1565">
        <v>30</v>
      </c>
      <c r="Q140" s="2410" t="s">
        <v>6501</v>
      </c>
      <c r="R140" s="1566">
        <v>15</v>
      </c>
      <c r="S140" s="3473"/>
      <c r="T140" s="3476"/>
      <c r="U140" s="3364"/>
      <c r="V140" s="3365"/>
      <c r="W140" s="3364"/>
      <c r="X140" s="3365"/>
      <c r="Y140" s="253">
        <f>SUM('5층_부하량(월간_AVG)'!D170:F170)</f>
        <v>0</v>
      </c>
      <c r="Z140" s="253">
        <f>SUM('5층_부하량(월간_AVG)'!D202:F202)</f>
        <v>0</v>
      </c>
      <c r="AA140" s="2452">
        <f t="shared" si="42"/>
        <v>0</v>
      </c>
      <c r="AB140" s="2727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0</v>
      </c>
      <c r="AC140" s="2728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0</v>
      </c>
      <c r="AD140" s="2477">
        <f t="shared" si="48"/>
        <v>0</v>
      </c>
      <c r="AE140" s="2467"/>
      <c r="AG140" s="2367">
        <f t="shared" si="46"/>
        <v>0</v>
      </c>
      <c r="AH140" s="2367">
        <f t="shared" si="47"/>
        <v>0</v>
      </c>
      <c r="AI140" s="123" t="str">
        <f t="shared" si="43"/>
        <v>무부하 랙</v>
      </c>
      <c r="AJ140" t="str">
        <f t="shared" si="44"/>
        <v/>
      </c>
      <c r="AK140" t="str">
        <f t="shared" si="45"/>
        <v/>
      </c>
      <c r="AP140" s="123"/>
      <c r="AQ140" s="123"/>
      <c r="AR140" s="123"/>
      <c r="AS140" s="3084"/>
      <c r="AT140" s="123"/>
      <c r="AU140" s="123"/>
      <c r="AV140" s="3092"/>
      <c r="AW140" s="3086"/>
      <c r="AX140" s="3087"/>
      <c r="AY140" s="3088"/>
      <c r="AZ140" s="3089"/>
      <c r="BA140" s="3090"/>
      <c r="BB140" s="1"/>
    </row>
    <row r="141" spans="1:54" ht="28.8">
      <c r="A141" s="2652"/>
      <c r="B141" s="250" t="s">
        <v>2967</v>
      </c>
      <c r="C141" s="2664"/>
      <c r="D141" s="3031"/>
      <c r="E141" s="250" t="s">
        <v>2968</v>
      </c>
      <c r="F141" s="250" t="s">
        <v>2969</v>
      </c>
      <c r="G141" s="2665" t="s">
        <v>2970</v>
      </c>
      <c r="H141" s="2666" t="s">
        <v>2971</v>
      </c>
      <c r="I141" s="1598" t="str">
        <f t="shared" si="40"/>
        <v>5-DaHall1-PDU-05-30-17</v>
      </c>
      <c r="J141" s="1599" t="str">
        <f t="shared" si="41"/>
        <v>5-DaHall1-PDU-06-30-17</v>
      </c>
      <c r="K141" s="1561">
        <v>220</v>
      </c>
      <c r="L141" s="1562">
        <v>30</v>
      </c>
      <c r="M141" s="2380" t="s">
        <v>6491</v>
      </c>
      <c r="N141" s="1563">
        <v>17</v>
      </c>
      <c r="O141" s="1564">
        <v>220</v>
      </c>
      <c r="P141" s="1565">
        <v>30</v>
      </c>
      <c r="Q141" s="2410" t="s">
        <v>6501</v>
      </c>
      <c r="R141" s="1566">
        <v>17</v>
      </c>
      <c r="S141" s="3473"/>
      <c r="T141" s="3476"/>
      <c r="U141" s="3364"/>
      <c r="V141" s="3365"/>
      <c r="W141" s="3364"/>
      <c r="X141" s="3365"/>
      <c r="Y141" s="253">
        <f>SUM('5층_부하량(월간_AVG)'!D171:F171)</f>
        <v>0</v>
      </c>
      <c r="Z141" s="253">
        <f>SUM('5층_부하량(월간_AVG)'!D203:F203)</f>
        <v>0</v>
      </c>
      <c r="AA141" s="2452">
        <f t="shared" si="42"/>
        <v>0</v>
      </c>
      <c r="AB141" s="2727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0</v>
      </c>
      <c r="AC141" s="2728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0</v>
      </c>
      <c r="AD141" s="2477">
        <f t="shared" si="48"/>
        <v>0</v>
      </c>
      <c r="AE141" s="2467"/>
      <c r="AG141" s="2367">
        <f t="shared" si="46"/>
        <v>0</v>
      </c>
      <c r="AH141" s="2367">
        <f t="shared" si="47"/>
        <v>0</v>
      </c>
      <c r="AI141" s="123" t="str">
        <f t="shared" si="43"/>
        <v>무부하 랙</v>
      </c>
      <c r="AJ141" t="str">
        <f t="shared" si="44"/>
        <v/>
      </c>
      <c r="AK141" t="str">
        <f t="shared" si="45"/>
        <v/>
      </c>
      <c r="AP141" s="123"/>
      <c r="AQ141" s="123"/>
      <c r="AR141" s="123"/>
      <c r="AS141" s="3084"/>
      <c r="AT141" s="123"/>
      <c r="AU141" s="123"/>
      <c r="AV141" s="3092"/>
      <c r="AW141" s="3086"/>
      <c r="AX141" s="3087"/>
      <c r="AY141" s="3088"/>
      <c r="AZ141" s="3089"/>
      <c r="BA141" s="3090"/>
      <c r="BB141" s="1"/>
    </row>
    <row r="142" spans="1:54" ht="15.6">
      <c r="A142" s="2652"/>
      <c r="B142" s="2712"/>
      <c r="C142" s="886"/>
      <c r="D142" s="3031"/>
      <c r="E142" s="2712"/>
      <c r="F142" s="2712"/>
      <c r="G142" s="2710"/>
      <c r="H142" s="2706"/>
      <c r="I142" s="1593"/>
      <c r="J142" s="1585"/>
      <c r="K142" s="1594"/>
      <c r="L142" s="1595"/>
      <c r="M142" s="2710"/>
      <c r="N142" s="1596"/>
      <c r="O142" s="1597"/>
      <c r="P142" s="1587"/>
      <c r="Q142" s="2706"/>
      <c r="R142" s="1588"/>
      <c r="S142" s="2710"/>
      <c r="T142" s="2706"/>
      <c r="U142" s="832"/>
      <c r="V142" s="833"/>
      <c r="W142" s="832"/>
      <c r="X142" s="833"/>
      <c r="Y142" s="834"/>
      <c r="Z142" s="834"/>
      <c r="AA142" s="2457"/>
      <c r="AB142" s="2745"/>
      <c r="AC142" s="2746"/>
      <c r="AD142" s="2484"/>
      <c r="AE142" s="2526"/>
      <c r="AG142" s="2367">
        <f t="shared" si="46"/>
        <v>0</v>
      </c>
      <c r="AH142" s="2367">
        <f t="shared" si="47"/>
        <v>0</v>
      </c>
      <c r="AI142" s="123" t="str">
        <f t="shared" si="43"/>
        <v>무부하 랙</v>
      </c>
      <c r="AJ142" t="str">
        <f t="shared" si="44"/>
        <v/>
      </c>
      <c r="AK142" t="str">
        <f t="shared" si="45"/>
        <v/>
      </c>
      <c r="AP142" s="123"/>
      <c r="AQ142" s="123"/>
      <c r="AR142" s="123"/>
      <c r="AS142" s="3084"/>
      <c r="AT142" s="123"/>
      <c r="AU142" s="123"/>
      <c r="AV142" s="3092"/>
      <c r="AW142" s="3086"/>
      <c r="AX142" s="3087"/>
      <c r="AY142" s="3088"/>
      <c r="AZ142" s="3089"/>
      <c r="BA142" s="3090"/>
      <c r="BB142" s="1"/>
    </row>
    <row r="143" spans="1:54" ht="16.2" thickBot="1">
      <c r="A143" s="2660"/>
      <c r="B143" s="839"/>
      <c r="C143" s="975"/>
      <c r="D143" s="3031"/>
      <c r="E143" s="839"/>
      <c r="F143" s="839"/>
      <c r="G143" s="2711"/>
      <c r="H143" s="2707"/>
      <c r="I143" s="1612"/>
      <c r="J143" s="1613"/>
      <c r="K143" s="1626"/>
      <c r="L143" s="1627"/>
      <c r="M143" s="2711"/>
      <c r="N143" s="1628"/>
      <c r="O143" s="1629"/>
      <c r="P143" s="1630"/>
      <c r="Q143" s="2707"/>
      <c r="R143" s="1631"/>
      <c r="S143" s="2711"/>
      <c r="T143" s="2707"/>
      <c r="U143" s="840"/>
      <c r="V143" s="849"/>
      <c r="W143" s="840"/>
      <c r="X143" s="849"/>
      <c r="Y143" s="850"/>
      <c r="Z143" s="850"/>
      <c r="AA143" s="2456"/>
      <c r="AB143" s="2767"/>
      <c r="AC143" s="2768"/>
      <c r="AD143" s="2483"/>
      <c r="AE143" s="2529"/>
      <c r="AG143" s="2367">
        <f t="shared" si="46"/>
        <v>0</v>
      </c>
      <c r="AH143" s="2367">
        <f t="shared" si="47"/>
        <v>0</v>
      </c>
      <c r="AI143" s="123" t="str">
        <f t="shared" si="43"/>
        <v>무부하 랙</v>
      </c>
      <c r="AJ143" t="str">
        <f t="shared" si="44"/>
        <v/>
      </c>
      <c r="AK143" t="str">
        <f t="shared" si="45"/>
        <v/>
      </c>
      <c r="AP143" s="123"/>
      <c r="AQ143" s="123"/>
      <c r="AR143" s="123"/>
      <c r="AS143" s="3084"/>
      <c r="AT143" s="123"/>
      <c r="AU143" s="123"/>
      <c r="AV143" s="3092"/>
      <c r="AW143" s="3086"/>
      <c r="AX143" s="3087"/>
      <c r="AY143" s="3088"/>
      <c r="AZ143" s="3089"/>
      <c r="BA143" s="3090"/>
      <c r="BB143" s="1"/>
    </row>
    <row r="144" spans="1:54" ht="29.4" thickTop="1">
      <c r="A144" s="1084"/>
      <c r="B144" s="327" t="s">
        <v>2974</v>
      </c>
      <c r="C144" s="973"/>
      <c r="D144" s="3031"/>
      <c r="E144" s="327" t="s">
        <v>2975</v>
      </c>
      <c r="F144" s="327" t="s">
        <v>2976</v>
      </c>
      <c r="G144" s="2673" t="s">
        <v>2977</v>
      </c>
      <c r="H144" s="2674" t="s">
        <v>2978</v>
      </c>
      <c r="I144" s="1610" t="str">
        <f t="shared" ref="I144:I151" si="49">"5-DaHall1-PDU-"&amp;M144&amp;"-"&amp;L144&amp;"-"&amp;N144</f>
        <v>5-DaHall1-PDU-05-30-19</v>
      </c>
      <c r="J144" s="1611" t="str">
        <f t="shared" ref="J144:J151" si="50">"5-DaHall1-PDU-"&amp;Q144&amp;"-"&amp;P144&amp;"-"&amp;R144</f>
        <v>5-DaHall1-PDU-06-30-19</v>
      </c>
      <c r="K144" s="1555">
        <v>220</v>
      </c>
      <c r="L144" s="1556">
        <v>30</v>
      </c>
      <c r="M144" s="2379" t="s">
        <v>6491</v>
      </c>
      <c r="N144" s="1557">
        <v>19</v>
      </c>
      <c r="O144" s="1558">
        <v>220</v>
      </c>
      <c r="P144" s="1559">
        <v>30</v>
      </c>
      <c r="Q144" s="2409" t="s">
        <v>6501</v>
      </c>
      <c r="R144" s="1560">
        <v>19</v>
      </c>
      <c r="S144" s="3472" t="s">
        <v>2926</v>
      </c>
      <c r="T144" s="3475" t="s">
        <v>2927</v>
      </c>
      <c r="U144" s="3355" t="s">
        <v>2928</v>
      </c>
      <c r="V144" s="3361" t="s">
        <v>2929</v>
      </c>
      <c r="W144" s="3355" t="s">
        <v>2484</v>
      </c>
      <c r="X144" s="3361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54">
        <f t="shared" ref="AA144:AA151" si="51">SUM(Y144:Z144)</f>
        <v>0</v>
      </c>
      <c r="AB144" s="2725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0</v>
      </c>
      <c r="AC144" s="2726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0</v>
      </c>
      <c r="AD144" s="2479">
        <f>SUM(AB144:AC144)</f>
        <v>0</v>
      </c>
      <c r="AE144" s="2469"/>
      <c r="AG144" s="2367">
        <f t="shared" si="46"/>
        <v>0</v>
      </c>
      <c r="AH144" s="2367">
        <f t="shared" si="47"/>
        <v>0</v>
      </c>
      <c r="AI144" s="123" t="str">
        <f t="shared" si="43"/>
        <v>무부하 랙</v>
      </c>
      <c r="AJ144" t="str">
        <f t="shared" si="44"/>
        <v/>
      </c>
      <c r="AK144" t="str">
        <f t="shared" si="45"/>
        <v/>
      </c>
      <c r="AP144" s="123"/>
      <c r="AQ144" s="123"/>
      <c r="AR144" s="123"/>
      <c r="AS144" s="3084"/>
      <c r="AT144" s="123"/>
      <c r="AU144" s="123"/>
      <c r="AV144" s="3092"/>
      <c r="AW144" s="3086"/>
      <c r="AX144" s="3087"/>
      <c r="AY144" s="3088"/>
      <c r="AZ144" s="3089"/>
      <c r="BA144" s="3090"/>
      <c r="BB144" s="1"/>
    </row>
    <row r="145" spans="1:54" ht="28.8">
      <c r="A145" s="2652"/>
      <c r="B145" s="250" t="s">
        <v>2980</v>
      </c>
      <c r="C145" s="2664"/>
      <c r="D145" s="3031"/>
      <c r="E145" s="250" t="s">
        <v>2981</v>
      </c>
      <c r="F145" s="250" t="s">
        <v>2982</v>
      </c>
      <c r="G145" s="2665" t="s">
        <v>2983</v>
      </c>
      <c r="H145" s="2666" t="s">
        <v>2984</v>
      </c>
      <c r="I145" s="1598" t="str">
        <f t="shared" si="49"/>
        <v>5-DaHall1-PDU-05-30-21</v>
      </c>
      <c r="J145" s="1599" t="str">
        <f t="shared" si="50"/>
        <v>5-DaHall1-PDU-06-30-21</v>
      </c>
      <c r="K145" s="1561">
        <v>220</v>
      </c>
      <c r="L145" s="1562">
        <v>30</v>
      </c>
      <c r="M145" s="2380" t="s">
        <v>6491</v>
      </c>
      <c r="N145" s="1563">
        <v>21</v>
      </c>
      <c r="O145" s="1564">
        <v>220</v>
      </c>
      <c r="P145" s="1565">
        <v>30</v>
      </c>
      <c r="Q145" s="2410" t="s">
        <v>6501</v>
      </c>
      <c r="R145" s="1566">
        <v>21</v>
      </c>
      <c r="S145" s="3473"/>
      <c r="T145" s="3476"/>
      <c r="U145" s="3364"/>
      <c r="V145" s="3365"/>
      <c r="W145" s="3364"/>
      <c r="X145" s="3365"/>
      <c r="Y145" s="253">
        <f>SUM('5층_부하량(월간_AVG)'!D174:F174)</f>
        <v>0</v>
      </c>
      <c r="Z145" s="253">
        <f>SUM('5층_부하량(월간_AVG)'!D205:F205)</f>
        <v>0</v>
      </c>
      <c r="AA145" s="2452">
        <f t="shared" si="51"/>
        <v>0</v>
      </c>
      <c r="AB145" s="2727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0</v>
      </c>
      <c r="AC145" s="2728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0</v>
      </c>
      <c r="AD145" s="2477">
        <f>SUM(AB145:AC145)</f>
        <v>0</v>
      </c>
      <c r="AE145" s="2467"/>
      <c r="AG145" s="2367">
        <f t="shared" si="46"/>
        <v>0</v>
      </c>
      <c r="AH145" s="2367">
        <f t="shared" si="47"/>
        <v>0</v>
      </c>
      <c r="AI145" s="123" t="str">
        <f t="shared" si="43"/>
        <v>무부하 랙</v>
      </c>
      <c r="AJ145" t="str">
        <f t="shared" si="44"/>
        <v/>
      </c>
      <c r="AK145" t="str">
        <f t="shared" si="45"/>
        <v/>
      </c>
      <c r="AP145" s="123"/>
      <c r="AQ145" s="123"/>
      <c r="AR145" s="123"/>
      <c r="AS145" s="3084"/>
      <c r="AT145" s="123"/>
      <c r="AU145" s="123"/>
      <c r="AV145" s="3092"/>
      <c r="AW145" s="3086"/>
      <c r="AX145" s="3087"/>
      <c r="AY145" s="3088"/>
      <c r="AZ145" s="3089"/>
      <c r="BA145" s="3090"/>
      <c r="BB145" s="1"/>
    </row>
    <row r="146" spans="1:54" ht="28.8">
      <c r="A146" s="2652"/>
      <c r="B146" s="250" t="s">
        <v>2986</v>
      </c>
      <c r="C146" s="2664"/>
      <c r="D146" s="3031"/>
      <c r="E146" s="250" t="s">
        <v>2987</v>
      </c>
      <c r="F146" s="250" t="s">
        <v>2988</v>
      </c>
      <c r="G146" s="2665" t="s">
        <v>2989</v>
      </c>
      <c r="H146" s="2666" t="s">
        <v>2990</v>
      </c>
      <c r="I146" s="1598" t="str">
        <f t="shared" si="49"/>
        <v>5-DaHall1-PDU-05-30-23</v>
      </c>
      <c r="J146" s="1599" t="str">
        <f t="shared" si="50"/>
        <v>5-DaHall1-PDU-06-30-23</v>
      </c>
      <c r="K146" s="1561">
        <v>220</v>
      </c>
      <c r="L146" s="1562">
        <v>30</v>
      </c>
      <c r="M146" s="2380" t="s">
        <v>6491</v>
      </c>
      <c r="N146" s="1563">
        <v>23</v>
      </c>
      <c r="O146" s="1564">
        <v>220</v>
      </c>
      <c r="P146" s="1565">
        <v>30</v>
      </c>
      <c r="Q146" s="2410" t="s">
        <v>6501</v>
      </c>
      <c r="R146" s="1566">
        <v>23</v>
      </c>
      <c r="S146" s="3473"/>
      <c r="T146" s="3476"/>
      <c r="U146" s="3364"/>
      <c r="V146" s="3365"/>
      <c r="W146" s="3364"/>
      <c r="X146" s="3365"/>
      <c r="Y146" s="253">
        <f>SUM('5층_부하량(월간_AVG)'!D175:F175)</f>
        <v>0</v>
      </c>
      <c r="Z146" s="253">
        <f>SUM('5층_부하량(월간_AVG)'!D206:F206)</f>
        <v>0</v>
      </c>
      <c r="AA146" s="2452">
        <f t="shared" si="51"/>
        <v>0</v>
      </c>
      <c r="AB146" s="2727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0</v>
      </c>
      <c r="AC146" s="2728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0</v>
      </c>
      <c r="AD146" s="2477">
        <f t="shared" ref="AD146:AD151" si="52">SUM(AB146:AC146)</f>
        <v>0</v>
      </c>
      <c r="AE146" s="2467"/>
      <c r="AG146" s="2367">
        <f t="shared" si="46"/>
        <v>0</v>
      </c>
      <c r="AH146" s="2367">
        <f t="shared" si="47"/>
        <v>0</v>
      </c>
      <c r="AI146" s="123" t="str">
        <f t="shared" si="43"/>
        <v>무부하 랙</v>
      </c>
      <c r="AJ146" t="str">
        <f t="shared" si="44"/>
        <v/>
      </c>
      <c r="AK146" t="str">
        <f t="shared" si="45"/>
        <v/>
      </c>
      <c r="AP146" s="123"/>
      <c r="AQ146" s="123"/>
      <c r="AR146" s="123"/>
      <c r="AS146" s="3084"/>
      <c r="AT146" s="123"/>
      <c r="AU146" s="123"/>
      <c r="AV146" s="3092"/>
      <c r="AW146" s="3086"/>
      <c r="AX146" s="3087"/>
      <c r="AY146" s="3088"/>
      <c r="AZ146" s="3089"/>
      <c r="BA146" s="3090"/>
      <c r="BB146" s="1"/>
    </row>
    <row r="147" spans="1:54" ht="28.8">
      <c r="A147" s="2652"/>
      <c r="B147" s="250" t="s">
        <v>2992</v>
      </c>
      <c r="C147" s="2664"/>
      <c r="D147" s="3031"/>
      <c r="E147" s="250" t="s">
        <v>2993</v>
      </c>
      <c r="F147" s="250" t="s">
        <v>2994</v>
      </c>
      <c r="G147" s="2665" t="s">
        <v>2995</v>
      </c>
      <c r="H147" s="2666" t="s">
        <v>2996</v>
      </c>
      <c r="I147" s="1598" t="str">
        <f t="shared" si="49"/>
        <v>5-DaHall1-PDU-05-30-27</v>
      </c>
      <c r="J147" s="1599" t="str">
        <f t="shared" si="50"/>
        <v>5-DaHall1-PDU-06-30-25</v>
      </c>
      <c r="K147" s="1561">
        <v>220</v>
      </c>
      <c r="L147" s="1562">
        <v>30</v>
      </c>
      <c r="M147" s="2380" t="s">
        <v>6491</v>
      </c>
      <c r="N147" s="1563">
        <v>27</v>
      </c>
      <c r="O147" s="1564">
        <v>220</v>
      </c>
      <c r="P147" s="1565">
        <v>30</v>
      </c>
      <c r="Q147" s="2410" t="s">
        <v>6501</v>
      </c>
      <c r="R147" s="1566">
        <v>25</v>
      </c>
      <c r="S147" s="3473"/>
      <c r="T147" s="3476"/>
      <c r="U147" s="3364"/>
      <c r="V147" s="3365"/>
      <c r="W147" s="3364"/>
      <c r="X147" s="3365"/>
      <c r="Y147" s="253">
        <f>SUM('5층_부하량(월간_AVG)'!D177:F177)</f>
        <v>0</v>
      </c>
      <c r="Z147" s="253">
        <f>SUM('5층_부하량(월간_AVG)'!D207:F207)</f>
        <v>0</v>
      </c>
      <c r="AA147" s="2452">
        <f t="shared" si="51"/>
        <v>0</v>
      </c>
      <c r="AB147" s="2727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0</v>
      </c>
      <c r="AC147" s="2728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0</v>
      </c>
      <c r="AD147" s="2477">
        <f t="shared" si="52"/>
        <v>0</v>
      </c>
      <c r="AE147" s="2467"/>
      <c r="AG147" s="2367">
        <f t="shared" si="46"/>
        <v>0</v>
      </c>
      <c r="AH147" s="2367">
        <f t="shared" si="47"/>
        <v>0</v>
      </c>
      <c r="AI147" s="123" t="str">
        <f t="shared" si="43"/>
        <v>무부하 랙</v>
      </c>
      <c r="AJ147" t="str">
        <f t="shared" si="44"/>
        <v/>
      </c>
      <c r="AK147" t="str">
        <f t="shared" si="45"/>
        <v/>
      </c>
      <c r="AP147" s="123"/>
      <c r="AQ147" s="123"/>
      <c r="AR147" s="123"/>
      <c r="AS147" s="3084"/>
      <c r="AT147" s="123"/>
      <c r="AU147" s="123"/>
      <c r="AV147" s="3092"/>
      <c r="AW147" s="3086"/>
      <c r="AX147" s="3087"/>
      <c r="AY147" s="3088"/>
      <c r="AZ147" s="3089"/>
      <c r="BA147" s="3090"/>
      <c r="BB147" s="1"/>
    </row>
    <row r="148" spans="1:54" ht="28.8">
      <c r="A148" s="2652"/>
      <c r="B148" s="250" t="s">
        <v>2998</v>
      </c>
      <c r="C148" s="2664"/>
      <c r="D148" s="3031"/>
      <c r="E148" s="250" t="s">
        <v>2999</v>
      </c>
      <c r="F148" s="250" t="s">
        <v>3000</v>
      </c>
      <c r="G148" s="2665" t="s">
        <v>3001</v>
      </c>
      <c r="H148" s="2666" t="s">
        <v>3002</v>
      </c>
      <c r="I148" s="1598" t="str">
        <f t="shared" si="49"/>
        <v>5-DaHall1-PDU-05-30-29</v>
      </c>
      <c r="J148" s="1599" t="str">
        <f t="shared" si="50"/>
        <v>5-DaHall1-PDU-06-30-27</v>
      </c>
      <c r="K148" s="1561">
        <v>220</v>
      </c>
      <c r="L148" s="1562">
        <v>30</v>
      </c>
      <c r="M148" s="2380" t="s">
        <v>6491</v>
      </c>
      <c r="N148" s="1563">
        <v>29</v>
      </c>
      <c r="O148" s="1564">
        <v>220</v>
      </c>
      <c r="P148" s="1565">
        <v>30</v>
      </c>
      <c r="Q148" s="2410" t="s">
        <v>6501</v>
      </c>
      <c r="R148" s="1566">
        <v>27</v>
      </c>
      <c r="S148" s="3473"/>
      <c r="T148" s="3476"/>
      <c r="U148" s="3364"/>
      <c r="V148" s="3365"/>
      <c r="W148" s="3364"/>
      <c r="X148" s="3365"/>
      <c r="Y148" s="253">
        <f>SUM('5층_부하량(월간_AVG)'!D178:F178)</f>
        <v>0</v>
      </c>
      <c r="Z148" s="253">
        <f>SUM('5층_부하량(월간_AVG)'!D208:F208)</f>
        <v>0</v>
      </c>
      <c r="AA148" s="2452">
        <f t="shared" si="51"/>
        <v>0</v>
      </c>
      <c r="AB148" s="2727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0</v>
      </c>
      <c r="AC148" s="2728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0</v>
      </c>
      <c r="AD148" s="2477">
        <f t="shared" si="52"/>
        <v>0</v>
      </c>
      <c r="AE148" s="2467"/>
      <c r="AG148" s="2367">
        <f t="shared" si="46"/>
        <v>0</v>
      </c>
      <c r="AH148" s="2367">
        <f t="shared" si="47"/>
        <v>0</v>
      </c>
      <c r="AI148" s="123" t="str">
        <f t="shared" si="43"/>
        <v>무부하 랙</v>
      </c>
      <c r="AJ148" t="str">
        <f t="shared" si="44"/>
        <v/>
      </c>
      <c r="AK148" t="str">
        <f t="shared" si="45"/>
        <v/>
      </c>
      <c r="AP148" s="123"/>
      <c r="AQ148" s="123"/>
      <c r="AR148" s="123"/>
      <c r="AS148" s="3084"/>
      <c r="AT148" s="123"/>
      <c r="AU148" s="123"/>
      <c r="AV148" s="3092"/>
      <c r="AW148" s="3086"/>
      <c r="AX148" s="3087"/>
      <c r="AY148" s="3088"/>
      <c r="AZ148" s="3089"/>
      <c r="BA148" s="3090"/>
      <c r="BB148" s="1"/>
    </row>
    <row r="149" spans="1:54" ht="28.8">
      <c r="A149" s="2652"/>
      <c r="B149" s="250" t="s">
        <v>3004</v>
      </c>
      <c r="C149" s="2664"/>
      <c r="D149" s="3031"/>
      <c r="E149" s="250" t="s">
        <v>3005</v>
      </c>
      <c r="F149" s="250" t="s">
        <v>3006</v>
      </c>
      <c r="G149" s="2665" t="s">
        <v>3007</v>
      </c>
      <c r="H149" s="2666" t="s">
        <v>3008</v>
      </c>
      <c r="I149" s="1598" t="str">
        <f t="shared" si="49"/>
        <v>5-DaHall1-PDU-05-30-31</v>
      </c>
      <c r="J149" s="1599" t="str">
        <f t="shared" si="50"/>
        <v>5-DaHall1-PDU-06-30-29</v>
      </c>
      <c r="K149" s="1561">
        <v>220</v>
      </c>
      <c r="L149" s="1562">
        <v>30</v>
      </c>
      <c r="M149" s="2380" t="s">
        <v>6491</v>
      </c>
      <c r="N149" s="1563">
        <v>31</v>
      </c>
      <c r="O149" s="1564">
        <v>220</v>
      </c>
      <c r="P149" s="1565">
        <v>30</v>
      </c>
      <c r="Q149" s="2410" t="s">
        <v>6501</v>
      </c>
      <c r="R149" s="1566">
        <v>29</v>
      </c>
      <c r="S149" s="3473"/>
      <c r="T149" s="3476"/>
      <c r="U149" s="3364"/>
      <c r="V149" s="3365"/>
      <c r="W149" s="3364"/>
      <c r="X149" s="3365"/>
      <c r="Y149" s="253">
        <f>SUM('5층_부하량(월간_AVG)'!D179:F179)</f>
        <v>0</v>
      </c>
      <c r="Z149" s="253">
        <f>SUM('5층_부하량(월간_AVG)'!D209:F209)</f>
        <v>0</v>
      </c>
      <c r="AA149" s="2452">
        <f t="shared" si="51"/>
        <v>0</v>
      </c>
      <c r="AB149" s="2727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0</v>
      </c>
      <c r="AC149" s="2728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0</v>
      </c>
      <c r="AD149" s="2477">
        <f t="shared" si="52"/>
        <v>0</v>
      </c>
      <c r="AE149" s="2467"/>
      <c r="AG149" s="2367">
        <f t="shared" si="46"/>
        <v>0</v>
      </c>
      <c r="AH149" s="2367">
        <f t="shared" si="47"/>
        <v>0</v>
      </c>
      <c r="AI149" s="123" t="str">
        <f t="shared" si="43"/>
        <v>무부하 랙</v>
      </c>
      <c r="AJ149" t="str">
        <f t="shared" si="44"/>
        <v/>
      </c>
      <c r="AK149" t="str">
        <f t="shared" si="45"/>
        <v/>
      </c>
      <c r="AP149" s="123"/>
      <c r="AQ149" s="123"/>
      <c r="AR149" s="123"/>
      <c r="AS149" s="3084"/>
      <c r="AT149" s="123"/>
      <c r="AU149" s="123"/>
      <c r="AV149" s="3092"/>
      <c r="AW149" s="3086"/>
      <c r="AX149" s="3087"/>
      <c r="AY149" s="3088"/>
      <c r="AZ149" s="3089"/>
      <c r="BA149" s="3090"/>
      <c r="BB149" s="1"/>
    </row>
    <row r="150" spans="1:54" ht="28.8">
      <c r="A150" s="2652"/>
      <c r="B150" s="250" t="s">
        <v>3010</v>
      </c>
      <c r="C150" s="2664"/>
      <c r="D150" s="3031"/>
      <c r="E150" s="250" t="s">
        <v>3011</v>
      </c>
      <c r="F150" s="250" t="s">
        <v>3012</v>
      </c>
      <c r="G150" s="2665" t="s">
        <v>3013</v>
      </c>
      <c r="H150" s="2666" t="s">
        <v>3014</v>
      </c>
      <c r="I150" s="1598" t="str">
        <f t="shared" si="49"/>
        <v>5-DaHall1-PDU-05-30-33</v>
      </c>
      <c r="J150" s="1599" t="str">
        <f t="shared" si="50"/>
        <v>5-DaHall1-PDU-06-30-33</v>
      </c>
      <c r="K150" s="1561">
        <v>220</v>
      </c>
      <c r="L150" s="1562">
        <v>30</v>
      </c>
      <c r="M150" s="2380" t="s">
        <v>6491</v>
      </c>
      <c r="N150" s="1563">
        <v>33</v>
      </c>
      <c r="O150" s="1564">
        <v>220</v>
      </c>
      <c r="P150" s="1565">
        <v>30</v>
      </c>
      <c r="Q150" s="2410" t="s">
        <v>6501</v>
      </c>
      <c r="R150" s="1566">
        <v>33</v>
      </c>
      <c r="S150" s="3473"/>
      <c r="T150" s="3476"/>
      <c r="U150" s="3364"/>
      <c r="V150" s="3365"/>
      <c r="W150" s="3364"/>
      <c r="X150" s="3365"/>
      <c r="Y150" s="253">
        <f>SUM('5층_부하량(월간_AVG)'!D180:F180)</f>
        <v>0</v>
      </c>
      <c r="Z150" s="253">
        <f>SUM('5층_부하량(월간_AVG)'!D211:F211)</f>
        <v>0</v>
      </c>
      <c r="AA150" s="2452">
        <f t="shared" si="51"/>
        <v>0</v>
      </c>
      <c r="AB150" s="2727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0</v>
      </c>
      <c r="AC150" s="2728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0</v>
      </c>
      <c r="AD150" s="2477">
        <f t="shared" si="52"/>
        <v>0</v>
      </c>
      <c r="AE150" s="2467"/>
      <c r="AG150" s="2367">
        <f t="shared" si="46"/>
        <v>0</v>
      </c>
      <c r="AH150" s="2367">
        <f t="shared" si="47"/>
        <v>0</v>
      </c>
      <c r="AI150" s="123" t="str">
        <f t="shared" si="43"/>
        <v>무부하 랙</v>
      </c>
      <c r="AJ150" t="str">
        <f t="shared" si="44"/>
        <v/>
      </c>
      <c r="AK150" t="str">
        <f t="shared" si="45"/>
        <v/>
      </c>
      <c r="AP150" s="123"/>
      <c r="AQ150" s="123"/>
      <c r="AR150" s="123"/>
      <c r="AS150" s="3084"/>
      <c r="AT150" s="123"/>
      <c r="AU150" s="123"/>
      <c r="AV150" s="3092"/>
      <c r="AW150" s="3086"/>
      <c r="AX150" s="3087"/>
      <c r="AY150" s="3088"/>
      <c r="AZ150" s="3089"/>
      <c r="BA150" s="3090"/>
      <c r="BB150" s="1"/>
    </row>
    <row r="151" spans="1:54" ht="28.8">
      <c r="A151" s="2652"/>
      <c r="B151" s="250" t="s">
        <v>3016</v>
      </c>
      <c r="C151" s="2664"/>
      <c r="D151" s="3031"/>
      <c r="E151" s="250" t="s">
        <v>3017</v>
      </c>
      <c r="F151" s="250" t="s">
        <v>3018</v>
      </c>
      <c r="G151" s="2665" t="s">
        <v>3019</v>
      </c>
      <c r="H151" s="2666" t="s">
        <v>3020</v>
      </c>
      <c r="I151" s="1598" t="str">
        <f t="shared" si="49"/>
        <v>5-DaHall1-PDU-05-30-35</v>
      </c>
      <c r="J151" s="1599" t="str">
        <f t="shared" si="50"/>
        <v>5-DaHall1-PDU-06-30-35</v>
      </c>
      <c r="K151" s="1561">
        <v>220</v>
      </c>
      <c r="L151" s="1562">
        <v>30</v>
      </c>
      <c r="M151" s="2380" t="s">
        <v>6491</v>
      </c>
      <c r="N151" s="1563">
        <v>35</v>
      </c>
      <c r="O151" s="1564">
        <v>220</v>
      </c>
      <c r="P151" s="1565">
        <v>30</v>
      </c>
      <c r="Q151" s="2410" t="s">
        <v>6501</v>
      </c>
      <c r="R151" s="1566">
        <v>35</v>
      </c>
      <c r="S151" s="3473"/>
      <c r="T151" s="3476"/>
      <c r="U151" s="3364"/>
      <c r="V151" s="3365"/>
      <c r="W151" s="3364"/>
      <c r="X151" s="3365"/>
      <c r="Y151" s="253">
        <f>SUM('5층_부하량(월간_AVG)'!D181:F181)</f>
        <v>0</v>
      </c>
      <c r="Z151" s="253">
        <f>SUM('5층_부하량(월간_AVG)'!D212:F212)</f>
        <v>0</v>
      </c>
      <c r="AA151" s="2452">
        <f t="shared" si="51"/>
        <v>0</v>
      </c>
      <c r="AB151" s="2727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0</v>
      </c>
      <c r="AC151" s="2728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0</v>
      </c>
      <c r="AD151" s="2477">
        <f t="shared" si="52"/>
        <v>0</v>
      </c>
      <c r="AE151" s="2467"/>
      <c r="AG151" s="2367">
        <f t="shared" si="46"/>
        <v>0</v>
      </c>
      <c r="AH151" s="2367">
        <f t="shared" si="47"/>
        <v>0</v>
      </c>
      <c r="AI151" s="123" t="str">
        <f t="shared" si="43"/>
        <v>무부하 랙</v>
      </c>
      <c r="AJ151" t="str">
        <f t="shared" si="44"/>
        <v/>
      </c>
      <c r="AK151" t="str">
        <f t="shared" si="45"/>
        <v/>
      </c>
      <c r="AP151" s="123"/>
      <c r="AQ151" s="123"/>
      <c r="AR151" s="123"/>
      <c r="AS151" s="3084"/>
      <c r="AT151" s="123"/>
      <c r="AU151" s="123"/>
      <c r="AV151" s="3092"/>
      <c r="AW151" s="3086"/>
      <c r="AX151" s="3087"/>
      <c r="AY151" s="3088"/>
      <c r="AZ151" s="3089"/>
      <c r="BA151" s="3090"/>
      <c r="BB151" s="1"/>
    </row>
    <row r="152" spans="1:54" ht="15.6">
      <c r="A152" s="2652"/>
      <c r="B152" s="2712"/>
      <c r="C152" s="886"/>
      <c r="D152" s="3031"/>
      <c r="E152" s="2712"/>
      <c r="F152" s="2712"/>
      <c r="G152" s="2710"/>
      <c r="H152" s="2706"/>
      <c r="I152" s="1593"/>
      <c r="J152" s="1585"/>
      <c r="K152" s="1594"/>
      <c r="L152" s="1595"/>
      <c r="M152" s="2710"/>
      <c r="N152" s="1596"/>
      <c r="O152" s="1597"/>
      <c r="P152" s="1587"/>
      <c r="Q152" s="2706"/>
      <c r="R152" s="1588"/>
      <c r="S152" s="2710"/>
      <c r="T152" s="2706"/>
      <c r="U152" s="832"/>
      <c r="V152" s="833"/>
      <c r="W152" s="832"/>
      <c r="X152" s="833"/>
      <c r="Y152" s="834"/>
      <c r="Z152" s="834"/>
      <c r="AA152" s="2457"/>
      <c r="AB152" s="2745"/>
      <c r="AC152" s="2746"/>
      <c r="AD152" s="2484"/>
      <c r="AE152" s="2526"/>
      <c r="AG152" s="2367">
        <f t="shared" si="46"/>
        <v>0</v>
      </c>
      <c r="AH152" s="2367">
        <f t="shared" si="47"/>
        <v>0</v>
      </c>
      <c r="AI152" s="123" t="str">
        <f t="shared" si="43"/>
        <v>무부하 랙</v>
      </c>
      <c r="AJ152" t="str">
        <f t="shared" si="44"/>
        <v/>
      </c>
      <c r="AK152" t="str">
        <f t="shared" si="45"/>
        <v/>
      </c>
      <c r="AP152" s="123"/>
      <c r="AQ152" s="123"/>
      <c r="AR152" s="123"/>
      <c r="AS152" s="3084"/>
      <c r="AT152" s="123"/>
      <c r="AU152" s="123"/>
      <c r="AV152" s="3092"/>
      <c r="AW152" s="3086"/>
      <c r="AX152" s="3087"/>
      <c r="AY152" s="3088"/>
      <c r="AZ152" s="3089"/>
      <c r="BA152" s="3090"/>
      <c r="BB152" s="1"/>
    </row>
    <row r="153" spans="1:54" ht="16.2" thickBot="1">
      <c r="A153" s="2660"/>
      <c r="B153" s="839"/>
      <c r="C153" s="975"/>
      <c r="D153" s="3031"/>
      <c r="E153" s="839"/>
      <c r="F153" s="839"/>
      <c r="G153" s="2711"/>
      <c r="H153" s="2707"/>
      <c r="I153" s="1612"/>
      <c r="J153" s="1613"/>
      <c r="K153" s="1626"/>
      <c r="L153" s="1627"/>
      <c r="M153" s="2711"/>
      <c r="N153" s="1628"/>
      <c r="O153" s="1629"/>
      <c r="P153" s="1630"/>
      <c r="Q153" s="2707"/>
      <c r="R153" s="1631"/>
      <c r="S153" s="2711"/>
      <c r="T153" s="2707"/>
      <c r="U153" s="840"/>
      <c r="V153" s="849"/>
      <c r="W153" s="840"/>
      <c r="X153" s="849"/>
      <c r="Y153" s="850"/>
      <c r="Z153" s="850"/>
      <c r="AA153" s="2456"/>
      <c r="AB153" s="2767"/>
      <c r="AC153" s="2768"/>
      <c r="AD153" s="2483"/>
      <c r="AE153" s="2529"/>
      <c r="AG153" s="2367">
        <f t="shared" si="46"/>
        <v>0</v>
      </c>
      <c r="AH153" s="2367">
        <f t="shared" si="47"/>
        <v>0</v>
      </c>
      <c r="AI153" s="123" t="str">
        <f t="shared" si="43"/>
        <v>무부하 랙</v>
      </c>
      <c r="AJ153" t="str">
        <f t="shared" si="44"/>
        <v/>
      </c>
      <c r="AK153" t="str">
        <f t="shared" si="45"/>
        <v/>
      </c>
      <c r="AP153" s="123"/>
      <c r="AQ153" s="123"/>
      <c r="AR153" s="123"/>
      <c r="AS153" s="3084"/>
      <c r="AT153" s="123"/>
      <c r="AU153" s="123"/>
      <c r="AV153" s="3092"/>
      <c r="AW153" s="3086"/>
      <c r="AX153" s="3087"/>
      <c r="AY153" s="3088"/>
      <c r="AZ153" s="3089"/>
      <c r="BA153" s="3090"/>
      <c r="BB153" s="1"/>
    </row>
    <row r="154" spans="1:54" ht="29.4" thickTop="1">
      <c r="A154" s="1084"/>
      <c r="B154" s="327" t="s">
        <v>3023</v>
      </c>
      <c r="C154" s="973"/>
      <c r="D154" s="3031"/>
      <c r="E154" s="327" t="s">
        <v>3024</v>
      </c>
      <c r="F154" s="327" t="s">
        <v>3025</v>
      </c>
      <c r="G154" s="2673" t="s">
        <v>3026</v>
      </c>
      <c r="H154" s="2674" t="s">
        <v>3027</v>
      </c>
      <c r="I154" s="1610" t="str">
        <f t="shared" ref="I154:I161" si="53">"5-DaHall1-PDU-"&amp;M154&amp;"-"&amp;L154&amp;"-"&amp;N154</f>
        <v>5-DaHall1-PDU-05-30-37</v>
      </c>
      <c r="J154" s="1611" t="str">
        <f t="shared" ref="J154:J161" si="54">"5-DaHall1-PDU-"&amp;Q154&amp;"-"&amp;P154&amp;"-"&amp;R154</f>
        <v>5-DaHall1-PDU-06-30-37</v>
      </c>
      <c r="K154" s="1555">
        <v>220</v>
      </c>
      <c r="L154" s="1556">
        <v>30</v>
      </c>
      <c r="M154" s="2379" t="s">
        <v>6491</v>
      </c>
      <c r="N154" s="1557">
        <v>37</v>
      </c>
      <c r="O154" s="1558">
        <v>220</v>
      </c>
      <c r="P154" s="1559">
        <v>30</v>
      </c>
      <c r="Q154" s="2409" t="s">
        <v>6501</v>
      </c>
      <c r="R154" s="1560">
        <v>37</v>
      </c>
      <c r="S154" s="3472" t="s">
        <v>2926</v>
      </c>
      <c r="T154" s="3475" t="s">
        <v>2927</v>
      </c>
      <c r="U154" s="3355" t="s">
        <v>2928</v>
      </c>
      <c r="V154" s="3361" t="s">
        <v>2929</v>
      </c>
      <c r="W154" s="3355" t="s">
        <v>2484</v>
      </c>
      <c r="X154" s="3361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52">
        <f t="shared" ref="AA154:AA161" si="55">SUM(Y154:Z154)</f>
        <v>0</v>
      </c>
      <c r="AB154" s="2727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0</v>
      </c>
      <c r="AC154" s="2728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0</v>
      </c>
      <c r="AD154" s="2479">
        <f>SUM(AB154:AC154)</f>
        <v>0</v>
      </c>
      <c r="AE154" s="2469" t="s">
        <v>3028</v>
      </c>
      <c r="AG154" s="2367">
        <f t="shared" si="46"/>
        <v>0</v>
      </c>
      <c r="AH154" s="2367">
        <f t="shared" si="47"/>
        <v>0</v>
      </c>
      <c r="AI154" s="123" t="str">
        <f t="shared" si="43"/>
        <v>무부하 랙</v>
      </c>
      <c r="AJ154" t="str">
        <f t="shared" si="44"/>
        <v/>
      </c>
      <c r="AK154" t="str">
        <f t="shared" si="45"/>
        <v/>
      </c>
      <c r="AP154" s="123"/>
      <c r="AQ154" s="123"/>
      <c r="AR154" s="123"/>
      <c r="AS154" s="3084"/>
      <c r="AT154" s="123"/>
      <c r="AU154" s="123"/>
      <c r="AV154" s="3092"/>
      <c r="AW154" s="3086"/>
      <c r="AX154" s="3087"/>
      <c r="AY154" s="3088"/>
      <c r="AZ154" s="3089"/>
      <c r="BA154" s="3090"/>
      <c r="BB154" s="1"/>
    </row>
    <row r="155" spans="1:54" ht="28.8">
      <c r="A155" s="2652"/>
      <c r="B155" s="250" t="s">
        <v>3029</v>
      </c>
      <c r="C155" s="2664"/>
      <c r="D155" s="3031"/>
      <c r="E155" s="250" t="s">
        <v>3030</v>
      </c>
      <c r="F155" s="250" t="s">
        <v>3031</v>
      </c>
      <c r="G155" s="2665" t="s">
        <v>3032</v>
      </c>
      <c r="H155" s="2666" t="s">
        <v>3033</v>
      </c>
      <c r="I155" s="1598" t="str">
        <f t="shared" si="53"/>
        <v>5-DaHall1-PDU-05-30-39</v>
      </c>
      <c r="J155" s="1599" t="str">
        <f t="shared" si="54"/>
        <v>5-DaHall1-PDU-06-30-39</v>
      </c>
      <c r="K155" s="1561">
        <v>220</v>
      </c>
      <c r="L155" s="1562">
        <v>30</v>
      </c>
      <c r="M155" s="2380" t="s">
        <v>6491</v>
      </c>
      <c r="N155" s="1563">
        <v>39</v>
      </c>
      <c r="O155" s="1564">
        <v>220</v>
      </c>
      <c r="P155" s="1565">
        <v>30</v>
      </c>
      <c r="Q155" s="2410" t="s">
        <v>6501</v>
      </c>
      <c r="R155" s="1566">
        <v>39</v>
      </c>
      <c r="S155" s="3473"/>
      <c r="T155" s="3476"/>
      <c r="U155" s="3364"/>
      <c r="V155" s="3365"/>
      <c r="W155" s="3364"/>
      <c r="X155" s="3365"/>
      <c r="Y155" s="253">
        <f>SUM('5층_부하량(월간_AVG)'!D183:F183)</f>
        <v>0</v>
      </c>
      <c r="Z155" s="253">
        <f>SUM('5층_부하량(월간_AVG)'!D214:F214)</f>
        <v>0</v>
      </c>
      <c r="AA155" s="2452">
        <f t="shared" si="55"/>
        <v>0</v>
      </c>
      <c r="AB155" s="2727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0</v>
      </c>
      <c r="AC155" s="2728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0</v>
      </c>
      <c r="AD155" s="2477">
        <f>SUM(AB155:AC155)</f>
        <v>0</v>
      </c>
      <c r="AE155" s="2467" t="s">
        <v>3028</v>
      </c>
      <c r="AG155" s="2367">
        <f t="shared" si="46"/>
        <v>0</v>
      </c>
      <c r="AH155" s="2367">
        <f t="shared" si="47"/>
        <v>0</v>
      </c>
      <c r="AI155" s="123" t="str">
        <f t="shared" si="43"/>
        <v>무부하 랙</v>
      </c>
      <c r="AJ155" t="str">
        <f t="shared" si="44"/>
        <v/>
      </c>
      <c r="AK155" t="str">
        <f t="shared" si="45"/>
        <v/>
      </c>
      <c r="AP155" s="123"/>
      <c r="AQ155" s="123"/>
      <c r="AR155" s="123"/>
      <c r="AS155" s="3084"/>
      <c r="AT155" s="123"/>
      <c r="AU155" s="123"/>
      <c r="AV155" s="3092"/>
      <c r="AW155" s="3086"/>
      <c r="AX155" s="3087"/>
      <c r="AY155" s="3088"/>
      <c r="AZ155" s="3089"/>
      <c r="BA155" s="3090"/>
      <c r="BB155" s="1"/>
    </row>
    <row r="156" spans="1:54" ht="28.8">
      <c r="A156" s="2652"/>
      <c r="B156" s="250" t="s">
        <v>3035</v>
      </c>
      <c r="C156" s="2664"/>
      <c r="D156" s="3031"/>
      <c r="E156" s="250" t="s">
        <v>3036</v>
      </c>
      <c r="F156" s="250" t="s">
        <v>3037</v>
      </c>
      <c r="G156" s="2665" t="s">
        <v>3038</v>
      </c>
      <c r="H156" s="2666" t="s">
        <v>3039</v>
      </c>
      <c r="I156" s="1598" t="str">
        <f t="shared" si="53"/>
        <v>5-DaHall1-PDU-05-30-41</v>
      </c>
      <c r="J156" s="1599" t="str">
        <f t="shared" si="54"/>
        <v>5-DaHall1-PDU-06-30-41</v>
      </c>
      <c r="K156" s="1561">
        <v>220</v>
      </c>
      <c r="L156" s="1562">
        <v>30</v>
      </c>
      <c r="M156" s="2380" t="s">
        <v>6491</v>
      </c>
      <c r="N156" s="1563">
        <v>41</v>
      </c>
      <c r="O156" s="1564">
        <v>220</v>
      </c>
      <c r="P156" s="1565">
        <v>30</v>
      </c>
      <c r="Q156" s="2410" t="s">
        <v>6501</v>
      </c>
      <c r="R156" s="1566">
        <v>41</v>
      </c>
      <c r="S156" s="3473"/>
      <c r="T156" s="3476"/>
      <c r="U156" s="3364"/>
      <c r="V156" s="3365"/>
      <c r="W156" s="3364"/>
      <c r="X156" s="3365"/>
      <c r="Y156" s="253">
        <f>SUM('5층_부하량(월간_AVG)'!D184:F184)</f>
        <v>0</v>
      </c>
      <c r="Z156" s="253">
        <f>SUM('5층_부하량(월간_AVG)'!D215:F215)</f>
        <v>0</v>
      </c>
      <c r="AA156" s="2452">
        <f t="shared" si="55"/>
        <v>0</v>
      </c>
      <c r="AB156" s="2727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0</v>
      </c>
      <c r="AC156" s="2728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0</v>
      </c>
      <c r="AD156" s="2477">
        <f t="shared" ref="AD156:AD161" si="56">SUM(AB156:AC156)</f>
        <v>0</v>
      </c>
      <c r="AE156" s="2467" t="s">
        <v>3028</v>
      </c>
      <c r="AG156" s="2367">
        <f t="shared" si="46"/>
        <v>0</v>
      </c>
      <c r="AH156" s="2367">
        <f t="shared" si="47"/>
        <v>0</v>
      </c>
      <c r="AI156" s="123" t="str">
        <f t="shared" si="43"/>
        <v>무부하 랙</v>
      </c>
      <c r="AJ156" t="str">
        <f t="shared" si="44"/>
        <v/>
      </c>
      <c r="AK156" t="str">
        <f t="shared" si="45"/>
        <v/>
      </c>
      <c r="AP156" s="123"/>
      <c r="AQ156" s="123"/>
      <c r="AR156" s="123"/>
      <c r="AS156" s="3084"/>
      <c r="AT156" s="123"/>
      <c r="AU156" s="123"/>
      <c r="AV156" s="3092"/>
      <c r="AW156" s="3086"/>
      <c r="AX156" s="3087"/>
      <c r="AY156" s="3088"/>
      <c r="AZ156" s="3089"/>
      <c r="BA156" s="3090"/>
      <c r="BB156" s="1"/>
    </row>
    <row r="157" spans="1:54" ht="28.8">
      <c r="A157" s="2652"/>
      <c r="B157" s="250" t="s">
        <v>3041</v>
      </c>
      <c r="C157" s="2664"/>
      <c r="D157" s="3031"/>
      <c r="E157" s="250" t="s">
        <v>3042</v>
      </c>
      <c r="F157" s="250" t="s">
        <v>3043</v>
      </c>
      <c r="G157" s="2665" t="s">
        <v>3044</v>
      </c>
      <c r="H157" s="2666" t="s">
        <v>3045</v>
      </c>
      <c r="I157" s="1598" t="str">
        <f t="shared" si="53"/>
        <v>5-DaHall1-PDU-05-30-45</v>
      </c>
      <c r="J157" s="1599" t="str">
        <f t="shared" si="54"/>
        <v>5-DaHall1-PDU-06-30-43</v>
      </c>
      <c r="K157" s="1561">
        <v>220</v>
      </c>
      <c r="L157" s="1562">
        <v>30</v>
      </c>
      <c r="M157" s="2380" t="s">
        <v>6491</v>
      </c>
      <c r="N157" s="1563">
        <v>45</v>
      </c>
      <c r="O157" s="1564">
        <v>220</v>
      </c>
      <c r="P157" s="1565">
        <v>30</v>
      </c>
      <c r="Q157" s="2410" t="s">
        <v>6501</v>
      </c>
      <c r="R157" s="1566">
        <v>43</v>
      </c>
      <c r="S157" s="3473"/>
      <c r="T157" s="3476"/>
      <c r="U157" s="3364"/>
      <c r="V157" s="3365"/>
      <c r="W157" s="3364"/>
      <c r="X157" s="3365"/>
      <c r="Y157" s="253">
        <f>SUM('5층_부하량(월간_AVG)'!D186:F186)</f>
        <v>0</v>
      </c>
      <c r="Z157" s="253">
        <f>SUM('5층_부하량(월간_AVG)'!D216:F216)</f>
        <v>0</v>
      </c>
      <c r="AA157" s="2452">
        <f t="shared" si="55"/>
        <v>0</v>
      </c>
      <c r="AB157" s="2727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0</v>
      </c>
      <c r="AC157" s="2728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0</v>
      </c>
      <c r="AD157" s="2477">
        <f t="shared" si="56"/>
        <v>0</v>
      </c>
      <c r="AE157" s="2467" t="s">
        <v>3028</v>
      </c>
      <c r="AG157" s="2367">
        <f t="shared" si="46"/>
        <v>0</v>
      </c>
      <c r="AH157" s="2367">
        <f t="shared" si="47"/>
        <v>0</v>
      </c>
      <c r="AI157" s="123" t="str">
        <f t="shared" si="43"/>
        <v>무부하 랙</v>
      </c>
      <c r="AJ157" t="str">
        <f t="shared" si="44"/>
        <v/>
      </c>
      <c r="AK157" t="str">
        <f t="shared" si="45"/>
        <v/>
      </c>
      <c r="AP157" s="123"/>
      <c r="AQ157" s="123"/>
      <c r="AR157" s="123"/>
      <c r="AS157" s="3084"/>
      <c r="AT157" s="123"/>
      <c r="AU157" s="123"/>
      <c r="AV157" s="3092"/>
      <c r="AW157" s="3086"/>
      <c r="AX157" s="3087"/>
      <c r="AY157" s="3088"/>
      <c r="AZ157" s="3089"/>
      <c r="BA157" s="3090"/>
      <c r="BB157" s="1"/>
    </row>
    <row r="158" spans="1:54" ht="28.8">
      <c r="A158" s="2652"/>
      <c r="B158" s="250" t="s">
        <v>3047</v>
      </c>
      <c r="C158" s="2664"/>
      <c r="D158" s="3031"/>
      <c r="E158" s="250" t="s">
        <v>3048</v>
      </c>
      <c r="F158" s="250" t="s">
        <v>3049</v>
      </c>
      <c r="G158" s="2665" t="s">
        <v>3050</v>
      </c>
      <c r="H158" s="2666" t="s">
        <v>3051</v>
      </c>
      <c r="I158" s="1598" t="str">
        <f t="shared" si="53"/>
        <v>5-DaHall1-PDU-05-30-47</v>
      </c>
      <c r="J158" s="1599" t="str">
        <f t="shared" si="54"/>
        <v>5-DaHall1-PDU-06-30-45</v>
      </c>
      <c r="K158" s="1561">
        <v>220</v>
      </c>
      <c r="L158" s="1562">
        <v>30</v>
      </c>
      <c r="M158" s="2380" t="s">
        <v>6491</v>
      </c>
      <c r="N158" s="1563">
        <v>47</v>
      </c>
      <c r="O158" s="1564">
        <v>220</v>
      </c>
      <c r="P158" s="1565">
        <v>30</v>
      </c>
      <c r="Q158" s="2410" t="s">
        <v>6501</v>
      </c>
      <c r="R158" s="1566">
        <v>45</v>
      </c>
      <c r="S158" s="3473"/>
      <c r="T158" s="3476"/>
      <c r="U158" s="3364"/>
      <c r="V158" s="3365"/>
      <c r="W158" s="3364"/>
      <c r="X158" s="3365"/>
      <c r="Y158" s="253">
        <f>SUM('5층_부하량(월간_AVG)'!D187:F187)</f>
        <v>0</v>
      </c>
      <c r="Z158" s="253">
        <f>SUM('5층_부하량(월간_AVG)'!D217:F217)</f>
        <v>0</v>
      </c>
      <c r="AA158" s="2452">
        <f t="shared" si="55"/>
        <v>0</v>
      </c>
      <c r="AB158" s="2727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0</v>
      </c>
      <c r="AC158" s="2728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0</v>
      </c>
      <c r="AD158" s="2477">
        <f t="shared" si="56"/>
        <v>0</v>
      </c>
      <c r="AE158" s="2467" t="s">
        <v>3028</v>
      </c>
      <c r="AG158" s="2367">
        <f t="shared" si="46"/>
        <v>0</v>
      </c>
      <c r="AH158" s="2367">
        <f t="shared" si="47"/>
        <v>0</v>
      </c>
      <c r="AI158" s="123" t="str">
        <f t="shared" si="43"/>
        <v>무부하 랙</v>
      </c>
      <c r="AJ158" t="str">
        <f t="shared" si="44"/>
        <v/>
      </c>
      <c r="AK158" t="str">
        <f t="shared" si="45"/>
        <v/>
      </c>
      <c r="AP158" s="123"/>
      <c r="AQ158" s="123"/>
      <c r="AR158" s="123"/>
      <c r="AS158" s="3084"/>
      <c r="AT158" s="123"/>
      <c r="AU158" s="123"/>
      <c r="AV158" s="3092"/>
      <c r="AW158" s="3086"/>
      <c r="AX158" s="3087"/>
      <c r="AY158" s="3088"/>
      <c r="AZ158" s="3089"/>
      <c r="BA158" s="3090"/>
      <c r="BB158" s="1"/>
    </row>
    <row r="159" spans="1:54" ht="28.8">
      <c r="A159" s="2652"/>
      <c r="B159" s="250" t="s">
        <v>3053</v>
      </c>
      <c r="C159" s="2664"/>
      <c r="D159" s="3031"/>
      <c r="E159" s="250" t="s">
        <v>3054</v>
      </c>
      <c r="F159" s="250" t="s">
        <v>3055</v>
      </c>
      <c r="G159" s="2665" t="s">
        <v>3056</v>
      </c>
      <c r="H159" s="2666" t="s">
        <v>3057</v>
      </c>
      <c r="I159" s="1598" t="str">
        <f t="shared" si="53"/>
        <v>5-DaHall1-PDU-05-30-49</v>
      </c>
      <c r="J159" s="1599" t="str">
        <f t="shared" si="54"/>
        <v>5-DaHall1-PDU-06-30-47</v>
      </c>
      <c r="K159" s="1561">
        <v>220</v>
      </c>
      <c r="L159" s="1562">
        <v>30</v>
      </c>
      <c r="M159" s="2380" t="s">
        <v>6491</v>
      </c>
      <c r="N159" s="1563">
        <v>49</v>
      </c>
      <c r="O159" s="1564">
        <v>220</v>
      </c>
      <c r="P159" s="1565">
        <v>30</v>
      </c>
      <c r="Q159" s="2410" t="s">
        <v>6501</v>
      </c>
      <c r="R159" s="1566">
        <v>47</v>
      </c>
      <c r="S159" s="3473"/>
      <c r="T159" s="3476"/>
      <c r="U159" s="3364"/>
      <c r="V159" s="3365"/>
      <c r="W159" s="3364"/>
      <c r="X159" s="3365"/>
      <c r="Y159" s="253">
        <f>SUM('5층_부하량(월간_AVG)'!D188:F188)</f>
        <v>0</v>
      </c>
      <c r="Z159" s="253">
        <f>SUM('5층_부하량(월간_AVG)'!D218:F218)</f>
        <v>0</v>
      </c>
      <c r="AA159" s="2452">
        <f t="shared" si="55"/>
        <v>0</v>
      </c>
      <c r="AB159" s="2727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0</v>
      </c>
      <c r="AC159" s="2728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0</v>
      </c>
      <c r="AD159" s="2477">
        <f t="shared" si="56"/>
        <v>0</v>
      </c>
      <c r="AE159" s="2467" t="s">
        <v>3028</v>
      </c>
      <c r="AG159" s="2367">
        <f t="shared" si="46"/>
        <v>0</v>
      </c>
      <c r="AH159" s="2367">
        <f t="shared" si="47"/>
        <v>0</v>
      </c>
      <c r="AI159" s="123" t="str">
        <f t="shared" si="43"/>
        <v>무부하 랙</v>
      </c>
      <c r="AJ159" t="str">
        <f t="shared" si="44"/>
        <v/>
      </c>
      <c r="AK159" t="str">
        <f t="shared" si="45"/>
        <v/>
      </c>
      <c r="AP159" s="123"/>
      <c r="AQ159" s="123"/>
      <c r="AR159" s="123"/>
      <c r="AS159" s="3084"/>
      <c r="AT159" s="123"/>
      <c r="AU159" s="123"/>
      <c r="AV159" s="3092"/>
      <c r="AW159" s="3086"/>
      <c r="AX159" s="3087"/>
      <c r="AY159" s="3088"/>
      <c r="AZ159" s="3089"/>
      <c r="BA159" s="3090"/>
      <c r="BB159" s="1"/>
    </row>
    <row r="160" spans="1:54" ht="28.8">
      <c r="A160" s="2652"/>
      <c r="B160" s="250" t="s">
        <v>3059</v>
      </c>
      <c r="C160" s="2664"/>
      <c r="D160" s="3031"/>
      <c r="E160" s="250" t="s">
        <v>3060</v>
      </c>
      <c r="F160" s="250" t="s">
        <v>3061</v>
      </c>
      <c r="G160" s="2665" t="s">
        <v>3062</v>
      </c>
      <c r="H160" s="2666" t="s">
        <v>3063</v>
      </c>
      <c r="I160" s="1598" t="str">
        <f t="shared" si="53"/>
        <v>5-DaHall1-PDU-05-30-51</v>
      </c>
      <c r="J160" s="1599" t="str">
        <f t="shared" si="54"/>
        <v>5-DaHall1-PDU-06-30-51</v>
      </c>
      <c r="K160" s="1561">
        <v>220</v>
      </c>
      <c r="L160" s="1562">
        <v>30</v>
      </c>
      <c r="M160" s="2380" t="s">
        <v>6491</v>
      </c>
      <c r="N160" s="1563">
        <v>51</v>
      </c>
      <c r="O160" s="1564">
        <v>220</v>
      </c>
      <c r="P160" s="1565">
        <v>30</v>
      </c>
      <c r="Q160" s="2410" t="s">
        <v>6501</v>
      </c>
      <c r="R160" s="1566">
        <v>51</v>
      </c>
      <c r="S160" s="3473"/>
      <c r="T160" s="3476"/>
      <c r="U160" s="3364"/>
      <c r="V160" s="3365"/>
      <c r="W160" s="3364"/>
      <c r="X160" s="3365"/>
      <c r="Y160" s="253">
        <f>SUM('5층_부하량(월간_AVG)'!D189:F189)</f>
        <v>0</v>
      </c>
      <c r="Z160" s="253">
        <f>SUM('5층_부하량(월간_AVG)'!D220:F220)</f>
        <v>0</v>
      </c>
      <c r="AA160" s="2452">
        <f t="shared" si="55"/>
        <v>0</v>
      </c>
      <c r="AB160" s="2727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0</v>
      </c>
      <c r="AC160" s="2728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0</v>
      </c>
      <c r="AD160" s="2477">
        <f t="shared" si="56"/>
        <v>0</v>
      </c>
      <c r="AE160" s="2467" t="s">
        <v>3028</v>
      </c>
      <c r="AG160" s="2367">
        <f t="shared" si="46"/>
        <v>0</v>
      </c>
      <c r="AH160" s="2367">
        <f t="shared" si="47"/>
        <v>0</v>
      </c>
      <c r="AI160" s="123" t="str">
        <f t="shared" si="43"/>
        <v>무부하 랙</v>
      </c>
      <c r="AJ160" t="str">
        <f t="shared" si="44"/>
        <v/>
      </c>
      <c r="AK160" t="str">
        <f t="shared" si="45"/>
        <v/>
      </c>
      <c r="AP160" s="123"/>
      <c r="AQ160" s="123"/>
      <c r="AR160" s="123"/>
      <c r="AS160" s="3084"/>
      <c r="AT160" s="123"/>
      <c r="AU160" s="123"/>
      <c r="AV160" s="3092"/>
      <c r="AW160" s="3086"/>
      <c r="AX160" s="3087"/>
      <c r="AY160" s="3088"/>
      <c r="AZ160" s="3089"/>
      <c r="BA160" s="3090"/>
      <c r="BB160" s="1"/>
    </row>
    <row r="161" spans="1:54" ht="28.8">
      <c r="A161" s="2652"/>
      <c r="B161" s="250" t="s">
        <v>3065</v>
      </c>
      <c r="C161" s="2664"/>
      <c r="D161" s="3031"/>
      <c r="E161" s="250" t="s">
        <v>3066</v>
      </c>
      <c r="F161" s="250" t="s">
        <v>3067</v>
      </c>
      <c r="G161" s="2665" t="s">
        <v>3068</v>
      </c>
      <c r="H161" s="2666" t="s">
        <v>3069</v>
      </c>
      <c r="I161" s="1598" t="str">
        <f t="shared" si="53"/>
        <v>5-DaHall1-PDU-05-30-53</v>
      </c>
      <c r="J161" s="1599" t="str">
        <f t="shared" si="54"/>
        <v>5-DaHall1-PDU-06-30-53</v>
      </c>
      <c r="K161" s="1561">
        <v>220</v>
      </c>
      <c r="L161" s="1562">
        <v>30</v>
      </c>
      <c r="M161" s="2380" t="s">
        <v>6491</v>
      </c>
      <c r="N161" s="1563">
        <v>53</v>
      </c>
      <c r="O161" s="1564">
        <v>220</v>
      </c>
      <c r="P161" s="1565">
        <v>30</v>
      </c>
      <c r="Q161" s="2410" t="s">
        <v>6501</v>
      </c>
      <c r="R161" s="1566">
        <v>53</v>
      </c>
      <c r="S161" s="3473"/>
      <c r="T161" s="3476"/>
      <c r="U161" s="3364"/>
      <c r="V161" s="3365"/>
      <c r="W161" s="3364"/>
      <c r="X161" s="3365"/>
      <c r="Y161" s="253">
        <f>SUM('5층_부하량(월간_AVG)'!D190:F190)</f>
        <v>0</v>
      </c>
      <c r="Z161" s="253">
        <f>SUM('5층_부하량(월간_AVG)'!D221:F221)</f>
        <v>0</v>
      </c>
      <c r="AA161" s="2452">
        <f t="shared" si="55"/>
        <v>0</v>
      </c>
      <c r="AB161" s="2727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0</v>
      </c>
      <c r="AC161" s="2728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0</v>
      </c>
      <c r="AD161" s="2477">
        <f t="shared" si="56"/>
        <v>0</v>
      </c>
      <c r="AE161" s="2467" t="s">
        <v>3028</v>
      </c>
      <c r="AG161" s="2367">
        <f t="shared" si="46"/>
        <v>0</v>
      </c>
      <c r="AH161" s="2367">
        <f t="shared" si="47"/>
        <v>0</v>
      </c>
      <c r="AI161" s="123" t="str">
        <f t="shared" si="43"/>
        <v>무부하 랙</v>
      </c>
      <c r="AJ161" t="str">
        <f t="shared" si="44"/>
        <v/>
      </c>
      <c r="AK161" t="str">
        <f t="shared" si="45"/>
        <v/>
      </c>
      <c r="AP161" s="123"/>
      <c r="AQ161" s="123"/>
      <c r="AR161" s="123"/>
      <c r="AS161" s="3084"/>
      <c r="AT161" s="123"/>
      <c r="AU161" s="123"/>
      <c r="AV161" s="3092"/>
      <c r="AW161" s="3086"/>
      <c r="AX161" s="3087"/>
      <c r="AY161" s="3088"/>
      <c r="AZ161" s="3089"/>
      <c r="BA161" s="3090"/>
      <c r="BB161" s="1"/>
    </row>
    <row r="162" spans="1:54" ht="15.6">
      <c r="A162" s="2652"/>
      <c r="B162" s="2712"/>
      <c r="C162" s="886"/>
      <c r="D162" s="3031"/>
      <c r="E162" s="2712"/>
      <c r="F162" s="2712"/>
      <c r="G162" s="2710"/>
      <c r="H162" s="2706"/>
      <c r="I162" s="1593"/>
      <c r="J162" s="1585"/>
      <c r="K162" s="1594"/>
      <c r="L162" s="1595"/>
      <c r="M162" s="2710"/>
      <c r="N162" s="1596"/>
      <c r="O162" s="1597"/>
      <c r="P162" s="1587"/>
      <c r="Q162" s="2706"/>
      <c r="R162" s="1588"/>
      <c r="S162" s="2710"/>
      <c r="T162" s="2706"/>
      <c r="U162" s="832"/>
      <c r="V162" s="833"/>
      <c r="W162" s="832"/>
      <c r="X162" s="833"/>
      <c r="Y162" s="834"/>
      <c r="Z162" s="834"/>
      <c r="AA162" s="2457"/>
      <c r="AB162" s="2745"/>
      <c r="AC162" s="2746"/>
      <c r="AD162" s="2484"/>
      <c r="AE162" s="2526"/>
      <c r="AG162" s="2367">
        <f t="shared" si="46"/>
        <v>0</v>
      </c>
      <c r="AH162" s="2367">
        <f t="shared" si="47"/>
        <v>0</v>
      </c>
      <c r="AI162" s="123" t="str">
        <f t="shared" si="43"/>
        <v>무부하 랙</v>
      </c>
      <c r="AJ162" t="str">
        <f t="shared" si="44"/>
        <v/>
      </c>
      <c r="AK162" t="str">
        <f t="shared" si="45"/>
        <v/>
      </c>
      <c r="AP162" s="123"/>
      <c r="AQ162" s="123"/>
      <c r="AR162" s="123"/>
      <c r="AS162" s="3084"/>
      <c r="AT162" s="123"/>
      <c r="AU162" s="123"/>
      <c r="AV162" s="3092"/>
      <c r="AW162" s="3086"/>
      <c r="AX162" s="3087"/>
      <c r="AY162" s="3088"/>
      <c r="AZ162" s="3089"/>
      <c r="BA162" s="3090"/>
      <c r="BB162" s="1"/>
    </row>
    <row r="163" spans="1:54" ht="16.2" thickBot="1">
      <c r="A163" s="2660"/>
      <c r="B163" s="839"/>
      <c r="C163" s="975"/>
      <c r="D163" s="3042"/>
      <c r="E163" s="839"/>
      <c r="F163" s="839"/>
      <c r="G163" s="2711"/>
      <c r="H163" s="2707"/>
      <c r="I163" s="1612"/>
      <c r="J163" s="1613"/>
      <c r="K163" s="1626"/>
      <c r="L163" s="1627"/>
      <c r="M163" s="2711"/>
      <c r="N163" s="1628"/>
      <c r="O163" s="1629"/>
      <c r="P163" s="1630"/>
      <c r="Q163" s="2707"/>
      <c r="R163" s="1631"/>
      <c r="S163" s="2711"/>
      <c r="T163" s="2707"/>
      <c r="U163" s="840"/>
      <c r="V163" s="849"/>
      <c r="W163" s="840"/>
      <c r="X163" s="849"/>
      <c r="Y163" s="850"/>
      <c r="Z163" s="850"/>
      <c r="AA163" s="2456"/>
      <c r="AB163" s="2767"/>
      <c r="AC163" s="2768"/>
      <c r="AD163" s="2483"/>
      <c r="AE163" s="2529"/>
      <c r="AG163" s="2367">
        <f t="shared" si="46"/>
        <v>0</v>
      </c>
      <c r="AH163" s="2367">
        <f t="shared" si="47"/>
        <v>0</v>
      </c>
      <c r="AI163" s="123" t="str">
        <f t="shared" si="43"/>
        <v>무부하 랙</v>
      </c>
      <c r="AJ163" t="str">
        <f t="shared" si="44"/>
        <v/>
      </c>
      <c r="AK163" t="str">
        <f t="shared" si="45"/>
        <v/>
      </c>
      <c r="AP163" s="123"/>
      <c r="AQ163" s="123"/>
      <c r="AR163" s="123"/>
      <c r="AS163" s="3084"/>
      <c r="AT163" s="123"/>
      <c r="AU163" s="123"/>
      <c r="AV163" s="3092"/>
      <c r="AW163" s="3086"/>
      <c r="AX163" s="3087"/>
      <c r="AY163" s="3088"/>
      <c r="AZ163" s="3089"/>
      <c r="BA163" s="3090"/>
      <c r="BB163" s="1"/>
    </row>
    <row r="164" spans="1:54" s="350" customFormat="1" ht="52.8" thickTop="1">
      <c r="A164" s="3548" t="s">
        <v>1395</v>
      </c>
      <c r="B164" s="3550" t="s">
        <v>3721</v>
      </c>
      <c r="C164" s="3552" t="s">
        <v>3546</v>
      </c>
      <c r="D164" s="3433">
        <v>13</v>
      </c>
      <c r="E164" s="2792" t="s">
        <v>3722</v>
      </c>
      <c r="F164" s="1216" t="s">
        <v>3723</v>
      </c>
      <c r="G164" s="1217" t="s">
        <v>3724</v>
      </c>
      <c r="H164" s="1218" t="s">
        <v>3725</v>
      </c>
      <c r="I164" s="1748" t="str">
        <f t="shared" ref="I164:I173" si="57">"5-DaHall1-PDU-"&amp;M164&amp;"-"&amp;L164&amp;"-"&amp;N164</f>
        <v>5-DaHall1-PDU-19-50-22</v>
      </c>
      <c r="J164" s="1749" t="str">
        <f t="shared" ref="J164:J219" si="58">"5-DaHall1-PDU-"&amp;Q164&amp;"-"&amp;P164&amp;"-"&amp;R164</f>
        <v>5-DaHall1-PDU-20-50-22</v>
      </c>
      <c r="K164" s="1750">
        <v>220</v>
      </c>
      <c r="L164" s="1751">
        <v>50</v>
      </c>
      <c r="M164" s="2385" t="s">
        <v>6544</v>
      </c>
      <c r="N164" s="1752">
        <v>22</v>
      </c>
      <c r="O164" s="1753">
        <v>220</v>
      </c>
      <c r="P164" s="1754">
        <v>50</v>
      </c>
      <c r="Q164" s="2405" t="s">
        <v>6547</v>
      </c>
      <c r="R164" s="1755">
        <v>22</v>
      </c>
      <c r="S164" s="1219" t="s">
        <v>3533</v>
      </c>
      <c r="T164" s="1220" t="s">
        <v>3534</v>
      </c>
      <c r="U164" s="1221" t="s">
        <v>3535</v>
      </c>
      <c r="V164" s="1222" t="s">
        <v>3536</v>
      </c>
      <c r="W164" s="3554" t="s">
        <v>2484</v>
      </c>
      <c r="X164" s="3556" t="s">
        <v>2485</v>
      </c>
      <c r="Y164" s="1223">
        <f>SUM('5층_부하량(월간_AVG)'!N601:P601)</f>
        <v>0</v>
      </c>
      <c r="Z164" s="1238">
        <f>SUM('5층_부하량(월간_AVG)'!N617:P617)</f>
        <v>0</v>
      </c>
      <c r="AA164" s="3558">
        <f>SUM(Y164:Z165)</f>
        <v>0</v>
      </c>
      <c r="AB164" s="2770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1218.7</v>
      </c>
      <c r="AC164" s="2732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70</v>
      </c>
      <c r="AD164" s="3560">
        <f>SUM(AB164:AC165)</f>
        <v>2396.1</v>
      </c>
      <c r="AE164" s="2771"/>
      <c r="AF164"/>
      <c r="AG164" s="2367">
        <f t="shared" si="46"/>
        <v>3.2205645161290319</v>
      </c>
      <c r="AH164" s="2367">
        <f t="shared" si="47"/>
        <v>9.7794354838709676</v>
      </c>
      <c r="AI164" s="123" t="str">
        <f t="shared" si="43"/>
        <v>적정함</v>
      </c>
      <c r="AJ164" t="str">
        <f t="shared" si="44"/>
        <v/>
      </c>
      <c r="AK164" t="str">
        <f t="shared" si="45"/>
        <v/>
      </c>
      <c r="AP164" s="123"/>
      <c r="AQ164" s="123"/>
      <c r="AR164" s="123"/>
      <c r="AS164" s="3084"/>
      <c r="AT164" s="123"/>
      <c r="AU164" s="123"/>
      <c r="AV164" s="3092"/>
      <c r="AW164" s="3086"/>
      <c r="AX164" s="3087"/>
      <c r="AY164" s="3088"/>
      <c r="AZ164" s="3089"/>
      <c r="BA164" s="3090"/>
      <c r="BB164" s="1"/>
    </row>
    <row r="165" spans="1:54" s="350" customFormat="1" ht="52.8" thickBot="1">
      <c r="A165" s="3549"/>
      <c r="B165" s="3551"/>
      <c r="C165" s="3553"/>
      <c r="D165" s="3434"/>
      <c r="E165" s="2773" t="s">
        <v>3726</v>
      </c>
      <c r="F165" s="2773" t="s">
        <v>3727</v>
      </c>
      <c r="G165" s="1239" t="s">
        <v>3728</v>
      </c>
      <c r="H165" s="1240" t="s">
        <v>3729</v>
      </c>
      <c r="I165" s="2298" t="str">
        <f t="shared" si="57"/>
        <v>5-DaHall1-PDU-21-50-22</v>
      </c>
      <c r="J165" s="2299" t="str">
        <f t="shared" si="58"/>
        <v>5-DaHall1-PDU-22-50-22</v>
      </c>
      <c r="K165" s="2193">
        <v>220</v>
      </c>
      <c r="L165" s="2194">
        <v>50</v>
      </c>
      <c r="M165" s="3029" t="s">
        <v>6545</v>
      </c>
      <c r="N165" s="2300">
        <v>22</v>
      </c>
      <c r="O165" s="2196">
        <v>220</v>
      </c>
      <c r="P165" s="2197">
        <v>50</v>
      </c>
      <c r="Q165" s="2432" t="s">
        <v>6546</v>
      </c>
      <c r="R165" s="2301">
        <v>22</v>
      </c>
      <c r="S165" s="1241" t="s">
        <v>3541</v>
      </c>
      <c r="T165" s="1242" t="s">
        <v>3542</v>
      </c>
      <c r="U165" s="1243" t="s">
        <v>3543</v>
      </c>
      <c r="V165" s="1244" t="s">
        <v>3544</v>
      </c>
      <c r="W165" s="3555"/>
      <c r="X165" s="3557"/>
      <c r="Y165" s="1245">
        <f>SUM('5층_부하량(월간_AVG)'!N633:P633)</f>
        <v>0</v>
      </c>
      <c r="Z165" s="1245">
        <f>SUM('5층_부하량(월간_AVG)'!N649:P649)</f>
        <v>0</v>
      </c>
      <c r="AA165" s="3559"/>
      <c r="AB165" s="2774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1064</v>
      </c>
      <c r="AC165" s="2748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43.4</v>
      </c>
      <c r="AD165" s="3561"/>
      <c r="AE165" s="2775"/>
      <c r="AF165"/>
      <c r="AG165" s="2367">
        <f t="shared" si="46"/>
        <v>0</v>
      </c>
      <c r="AH165" s="2367">
        <f t="shared" si="47"/>
        <v>0</v>
      </c>
      <c r="AI165" s="123" t="str">
        <f t="shared" si="43"/>
        <v>무부하 랙</v>
      </c>
      <c r="AJ165" t="str">
        <f t="shared" si="44"/>
        <v/>
      </c>
      <c r="AK165" t="str">
        <f t="shared" si="45"/>
        <v/>
      </c>
      <c r="AP165" s="123"/>
      <c r="AQ165" s="123"/>
      <c r="AR165" s="123"/>
      <c r="AS165" s="3084"/>
      <c r="AT165" s="123"/>
      <c r="AU165" s="123"/>
      <c r="AV165" s="3092"/>
      <c r="AW165" s="3086"/>
      <c r="AX165" s="3087"/>
      <c r="AY165" s="3088"/>
      <c r="AZ165" s="3089"/>
      <c r="BA165" s="3090"/>
      <c r="BB165" s="1"/>
    </row>
    <row r="166" spans="1:54" s="350" customFormat="1" ht="52.8" thickTop="1">
      <c r="A166" s="3548" t="s">
        <v>2887</v>
      </c>
      <c r="B166" s="3550" t="s">
        <v>3712</v>
      </c>
      <c r="C166" s="3563" t="s">
        <v>3546</v>
      </c>
      <c r="D166" s="3435">
        <v>13</v>
      </c>
      <c r="E166" s="2781" t="s">
        <v>3713</v>
      </c>
      <c r="F166" s="1246" t="s">
        <v>3714</v>
      </c>
      <c r="G166" s="1247" t="s">
        <v>3715</v>
      </c>
      <c r="H166" s="1248" t="s">
        <v>3716</v>
      </c>
      <c r="I166" s="1778" t="str">
        <f t="shared" si="57"/>
        <v>5-DaHall1-PDU-19-50-20</v>
      </c>
      <c r="J166" s="1779" t="str">
        <f t="shared" si="58"/>
        <v>5-DaHall1-PDU-20-50-20</v>
      </c>
      <c r="K166" s="1780">
        <v>220</v>
      </c>
      <c r="L166" s="1781">
        <v>50</v>
      </c>
      <c r="M166" s="2388" t="s">
        <v>6544</v>
      </c>
      <c r="N166" s="1782">
        <v>20</v>
      </c>
      <c r="O166" s="1783">
        <v>220</v>
      </c>
      <c r="P166" s="1784">
        <v>50</v>
      </c>
      <c r="Q166" s="2407" t="s">
        <v>6547</v>
      </c>
      <c r="R166" s="1785">
        <v>20</v>
      </c>
      <c r="S166" s="1249" t="s">
        <v>3533</v>
      </c>
      <c r="T166" s="1250" t="s">
        <v>3534</v>
      </c>
      <c r="U166" s="1251" t="s">
        <v>3535</v>
      </c>
      <c r="V166" s="1252" t="s">
        <v>3536</v>
      </c>
      <c r="W166" s="3565" t="s">
        <v>2484</v>
      </c>
      <c r="X166" s="3567" t="s">
        <v>2485</v>
      </c>
      <c r="Y166" s="1253">
        <f>SUM('5층_부하량(월간_AVG)'!N600:P600)</f>
        <v>0</v>
      </c>
      <c r="Z166" s="1238">
        <f>SUM('5층_부하량(월간_AVG)'!N616:P616)</f>
        <v>0</v>
      </c>
      <c r="AA166" s="3558">
        <f>SUM(Y166:Z167)</f>
        <v>0</v>
      </c>
      <c r="AB166" s="2770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1257.9000000000001</v>
      </c>
      <c r="AC166" s="2732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282.3</v>
      </c>
      <c r="AD166" s="3560">
        <f>SUM(AB166:AC167)</f>
        <v>3001.2000000000003</v>
      </c>
      <c r="AE166" s="2771"/>
      <c r="AF166"/>
      <c r="AG166" s="2367">
        <f t="shared" si="46"/>
        <v>4.0338709677419358</v>
      </c>
      <c r="AH166" s="2367">
        <f t="shared" si="47"/>
        <v>8.9661290322580633</v>
      </c>
      <c r="AI166" s="123" t="str">
        <f t="shared" si="43"/>
        <v>적정함</v>
      </c>
      <c r="AJ166" t="str">
        <f t="shared" si="44"/>
        <v/>
      </c>
      <c r="AK166" t="str">
        <f t="shared" si="45"/>
        <v/>
      </c>
      <c r="AP166" s="123"/>
      <c r="AQ166" s="123"/>
      <c r="AR166" s="123"/>
      <c r="AS166" s="3084"/>
      <c r="AT166" s="123"/>
      <c r="AU166" s="123"/>
      <c r="AV166" s="3092"/>
      <c r="AW166" s="3086"/>
      <c r="AX166" s="3087"/>
      <c r="AY166" s="3088"/>
      <c r="AZ166" s="3089"/>
      <c r="BA166" s="3090"/>
      <c r="BB166" s="1"/>
    </row>
    <row r="167" spans="1:54" s="350" customFormat="1" ht="52.2">
      <c r="A167" s="3548"/>
      <c r="B167" s="3562"/>
      <c r="C167" s="3564"/>
      <c r="D167" s="3436"/>
      <c r="E167" s="2777" t="s">
        <v>3717</v>
      </c>
      <c r="F167" s="2777" t="s">
        <v>3718</v>
      </c>
      <c r="G167" s="1224" t="s">
        <v>3719</v>
      </c>
      <c r="H167" s="1225" t="s">
        <v>3720</v>
      </c>
      <c r="I167" s="1756" t="str">
        <f t="shared" si="57"/>
        <v>5-DaHall1-PDU-21-50-20</v>
      </c>
      <c r="J167" s="1772" t="str">
        <f t="shared" si="58"/>
        <v>5-DaHall1-PDU-22-50-20</v>
      </c>
      <c r="K167" s="1773">
        <v>220</v>
      </c>
      <c r="L167" s="1774">
        <v>50</v>
      </c>
      <c r="M167" s="2386" t="s">
        <v>6545</v>
      </c>
      <c r="N167" s="1760">
        <v>20</v>
      </c>
      <c r="O167" s="1775">
        <v>220</v>
      </c>
      <c r="P167" s="1776">
        <v>50</v>
      </c>
      <c r="Q167" s="2404" t="s">
        <v>6546</v>
      </c>
      <c r="R167" s="1777">
        <v>20</v>
      </c>
      <c r="S167" s="1226" t="s">
        <v>3541</v>
      </c>
      <c r="T167" s="1227" t="s">
        <v>3542</v>
      </c>
      <c r="U167" s="1228" t="s">
        <v>3543</v>
      </c>
      <c r="V167" s="1229" t="s">
        <v>3544</v>
      </c>
      <c r="W167" s="3566"/>
      <c r="X167" s="3568"/>
      <c r="Y167" s="1230">
        <f>SUM('5층_부하량(월간_AVG)'!N632:P632)</f>
        <v>0</v>
      </c>
      <c r="Z167" s="1230">
        <f>SUM('5층_부하량(월간_AVG)'!N648:P648)</f>
        <v>0</v>
      </c>
      <c r="AA167" s="3569"/>
      <c r="AB167" s="2770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1212.2</v>
      </c>
      <c r="AC167" s="2732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248.8</v>
      </c>
      <c r="AD167" s="3570"/>
      <c r="AE167" s="2776"/>
      <c r="AF167"/>
      <c r="AG167" s="2367">
        <f t="shared" si="46"/>
        <v>0</v>
      </c>
      <c r="AH167" s="2367">
        <f t="shared" si="47"/>
        <v>0</v>
      </c>
      <c r="AI167" s="123" t="str">
        <f t="shared" si="43"/>
        <v>무부하 랙</v>
      </c>
      <c r="AJ167" t="str">
        <f t="shared" si="44"/>
        <v/>
      </c>
      <c r="AK167" t="str">
        <f t="shared" si="45"/>
        <v/>
      </c>
      <c r="AP167" s="123"/>
      <c r="AQ167" s="123"/>
      <c r="AR167" s="123"/>
      <c r="AS167" s="3084"/>
      <c r="AT167" s="123"/>
      <c r="AU167" s="123"/>
      <c r="AV167" s="3092"/>
      <c r="AW167" s="3086"/>
      <c r="AX167" s="3087"/>
      <c r="AY167" s="3088"/>
      <c r="AZ167" s="3089"/>
      <c r="BA167" s="3090"/>
      <c r="BB167" s="1"/>
    </row>
    <row r="168" spans="1:54" s="350" customFormat="1" ht="52.2">
      <c r="A168" s="3571" t="s">
        <v>2893</v>
      </c>
      <c r="B168" s="3550" t="s">
        <v>3703</v>
      </c>
      <c r="C168" s="3564" t="s">
        <v>3546</v>
      </c>
      <c r="D168" s="3436">
        <v>13</v>
      </c>
      <c r="E168" s="2769" t="s">
        <v>3704</v>
      </c>
      <c r="F168" s="1231" t="s">
        <v>3705</v>
      </c>
      <c r="G168" s="1232" t="s">
        <v>3706</v>
      </c>
      <c r="H168" s="1233" t="s">
        <v>3707</v>
      </c>
      <c r="I168" s="1764" t="str">
        <f t="shared" si="57"/>
        <v>5-DaHall1-PDU-19-50-18</v>
      </c>
      <c r="J168" s="1765" t="str">
        <f t="shared" si="58"/>
        <v>5-DaHall1-PDU-20-50-18</v>
      </c>
      <c r="K168" s="1766">
        <v>220</v>
      </c>
      <c r="L168" s="1767">
        <v>50</v>
      </c>
      <c r="M168" s="2387" t="s">
        <v>6544</v>
      </c>
      <c r="N168" s="1768">
        <v>18</v>
      </c>
      <c r="O168" s="1769">
        <v>220</v>
      </c>
      <c r="P168" s="1770">
        <v>50</v>
      </c>
      <c r="Q168" s="2406" t="s">
        <v>6547</v>
      </c>
      <c r="R168" s="1771">
        <v>18</v>
      </c>
      <c r="S168" s="1249" t="s">
        <v>3533</v>
      </c>
      <c r="T168" s="1250" t="s">
        <v>3534</v>
      </c>
      <c r="U168" s="1251" t="s">
        <v>3535</v>
      </c>
      <c r="V168" s="1252" t="s">
        <v>3536</v>
      </c>
      <c r="W168" s="3565" t="s">
        <v>2484</v>
      </c>
      <c r="X168" s="3567" t="s">
        <v>2485</v>
      </c>
      <c r="Y168" s="1238">
        <f>SUM('5층_부하량(월간_AVG)'!N599:P599)</f>
        <v>0</v>
      </c>
      <c r="Z168" s="1253">
        <f>SUM('5층_부하량(월간_AVG)'!N615:P615)</f>
        <v>0</v>
      </c>
      <c r="AA168" s="3558">
        <f>SUM(Y168:Z169)</f>
        <v>0</v>
      </c>
      <c r="AB168" s="2770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875.6</v>
      </c>
      <c r="AC168" s="2732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838.9</v>
      </c>
      <c r="AD168" s="3575">
        <f>SUM(AB168:AC169)</f>
        <v>3220.1</v>
      </c>
      <c r="AE168" s="2778"/>
      <c r="AF168"/>
      <c r="AG168" s="2367">
        <f t="shared" si="46"/>
        <v>4.3280913978494624</v>
      </c>
      <c r="AH168" s="2367">
        <f t="shared" si="47"/>
        <v>8.6719086021505376</v>
      </c>
      <c r="AI168" s="123" t="str">
        <f t="shared" si="43"/>
        <v>적정함</v>
      </c>
      <c r="AJ168" t="str">
        <f t="shared" si="44"/>
        <v/>
      </c>
      <c r="AK168" t="str">
        <f t="shared" si="45"/>
        <v/>
      </c>
      <c r="AP168" s="123"/>
      <c r="AQ168" s="123"/>
      <c r="AR168" s="123"/>
      <c r="AS168" s="3084"/>
      <c r="AT168" s="123"/>
      <c r="AU168" s="123"/>
      <c r="AV168" s="3092"/>
      <c r="AW168" s="3086"/>
      <c r="AX168" s="3087"/>
      <c r="AY168" s="3088"/>
      <c r="AZ168" s="3089"/>
      <c r="BA168" s="3090"/>
      <c r="BB168" s="1"/>
    </row>
    <row r="169" spans="1:54" s="350" customFormat="1" ht="52.2">
      <c r="A169" s="3572"/>
      <c r="B169" s="3562"/>
      <c r="C169" s="3564"/>
      <c r="D169" s="3436"/>
      <c r="E169" s="2777" t="s">
        <v>3708</v>
      </c>
      <c r="F169" s="2777" t="s">
        <v>3709</v>
      </c>
      <c r="G169" s="1224" t="s">
        <v>3710</v>
      </c>
      <c r="H169" s="1225" t="s">
        <v>3711</v>
      </c>
      <c r="I169" s="1756" t="str">
        <f t="shared" si="57"/>
        <v>5-DaHall1-PDU-21-50-18</v>
      </c>
      <c r="J169" s="1772" t="str">
        <f t="shared" si="58"/>
        <v>5-DaHall1-PDU-22-50-18</v>
      </c>
      <c r="K169" s="1773">
        <v>220</v>
      </c>
      <c r="L169" s="1774">
        <v>50</v>
      </c>
      <c r="M169" s="2386" t="s">
        <v>6545</v>
      </c>
      <c r="N169" s="1760">
        <v>18</v>
      </c>
      <c r="O169" s="1775">
        <v>220</v>
      </c>
      <c r="P169" s="1776">
        <v>50</v>
      </c>
      <c r="Q169" s="2404" t="s">
        <v>6546</v>
      </c>
      <c r="R169" s="1777">
        <v>18</v>
      </c>
      <c r="S169" s="1226" t="s">
        <v>3541</v>
      </c>
      <c r="T169" s="1227" t="s">
        <v>3542</v>
      </c>
      <c r="U169" s="1258" t="s">
        <v>3543</v>
      </c>
      <c r="V169" s="1259" t="s">
        <v>3544</v>
      </c>
      <c r="W169" s="3573"/>
      <c r="X169" s="3574"/>
      <c r="Y169" s="1260">
        <f>SUM('5층_부하량(월간_AVG)'!N631:P631)</f>
        <v>0</v>
      </c>
      <c r="Z169" s="1260">
        <f>SUM('5층_부하량(월간_AVG)'!N647:P647)</f>
        <v>0</v>
      </c>
      <c r="AA169" s="3569"/>
      <c r="AB169" s="2770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774</v>
      </c>
      <c r="AC169" s="2732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731.6</v>
      </c>
      <c r="AD169" s="3570"/>
      <c r="AE169" s="2779"/>
      <c r="AF169"/>
      <c r="AG169" s="2367">
        <f t="shared" si="46"/>
        <v>0</v>
      </c>
      <c r="AH169" s="2367">
        <f t="shared" si="47"/>
        <v>0</v>
      </c>
      <c r="AI169" s="123" t="str">
        <f t="shared" si="43"/>
        <v>무부하 랙</v>
      </c>
      <c r="AJ169" t="str">
        <f t="shared" si="44"/>
        <v/>
      </c>
      <c r="AK169" t="str">
        <f t="shared" si="45"/>
        <v/>
      </c>
      <c r="AP169" s="123"/>
      <c r="AQ169" s="123"/>
      <c r="AR169" s="123"/>
      <c r="AS169" s="3084"/>
      <c r="AT169" s="123"/>
      <c r="AU169" s="123"/>
      <c r="AV169" s="3092"/>
      <c r="AW169" s="3086"/>
      <c r="AX169" s="3087"/>
      <c r="AY169" s="3088"/>
      <c r="AZ169" s="3089"/>
      <c r="BA169" s="3090"/>
      <c r="BB169" s="1"/>
    </row>
    <row r="170" spans="1:54" s="350" customFormat="1" ht="52.2">
      <c r="A170" s="3548" t="s">
        <v>1432</v>
      </c>
      <c r="B170" s="3550" t="s">
        <v>3694</v>
      </c>
      <c r="C170" s="3564" t="s">
        <v>3546</v>
      </c>
      <c r="D170" s="3436">
        <v>13</v>
      </c>
      <c r="E170" s="2769" t="s">
        <v>3695</v>
      </c>
      <c r="F170" s="1231" t="s">
        <v>3696</v>
      </c>
      <c r="G170" s="1232" t="s">
        <v>3697</v>
      </c>
      <c r="H170" s="1233" t="s">
        <v>3698</v>
      </c>
      <c r="I170" s="1764" t="str">
        <f t="shared" si="57"/>
        <v>5-DaHall1-PDU-19-50-16</v>
      </c>
      <c r="J170" s="1765" t="str">
        <f t="shared" si="58"/>
        <v>5-DaHall1-PDU-20-50-16</v>
      </c>
      <c r="K170" s="1766">
        <v>220</v>
      </c>
      <c r="L170" s="1767">
        <v>50</v>
      </c>
      <c r="M170" s="2387" t="s">
        <v>6544</v>
      </c>
      <c r="N170" s="1768">
        <v>16</v>
      </c>
      <c r="O170" s="1769">
        <v>220</v>
      </c>
      <c r="P170" s="1770">
        <v>50</v>
      </c>
      <c r="Q170" s="2406" t="s">
        <v>6547</v>
      </c>
      <c r="R170" s="1771">
        <v>16</v>
      </c>
      <c r="S170" s="1234" t="s">
        <v>3623</v>
      </c>
      <c r="T170" s="1235" t="s">
        <v>3624</v>
      </c>
      <c r="U170" s="1236" t="s">
        <v>3535</v>
      </c>
      <c r="V170" s="1237" t="s">
        <v>3536</v>
      </c>
      <c r="W170" s="3576" t="s">
        <v>2484</v>
      </c>
      <c r="X170" s="3577" t="s">
        <v>2485</v>
      </c>
      <c r="Y170" s="1238">
        <f>SUM('5층_부하량(월간_AVG)'!N598:P598)</f>
        <v>0</v>
      </c>
      <c r="Z170" s="1238">
        <f>SUM('5층_부하량(월간_AVG)'!N614:P614)</f>
        <v>0</v>
      </c>
      <c r="AA170" s="3558">
        <f>SUM(Y170:Z171)</f>
        <v>0</v>
      </c>
      <c r="AB170" s="2770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1135.5999999999999</v>
      </c>
      <c r="AC170" s="2732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1152.9000000000001</v>
      </c>
      <c r="AD170" s="3575">
        <f t="shared" ref="AD170" si="59">SUM(AB170:AC171)</f>
        <v>4765.1000000000004</v>
      </c>
      <c r="AE170" s="2771"/>
      <c r="AF170"/>
      <c r="AG170" s="2367">
        <f t="shared" si="46"/>
        <v>6.4047043010752693</v>
      </c>
      <c r="AH170" s="2367">
        <f t="shared" si="47"/>
        <v>6.5952956989247307</v>
      </c>
      <c r="AI170" s="123" t="str">
        <f t="shared" si="43"/>
        <v>적정함</v>
      </c>
      <c r="AJ170" t="str">
        <f t="shared" si="44"/>
        <v/>
      </c>
      <c r="AK170" t="str">
        <f t="shared" si="45"/>
        <v/>
      </c>
      <c r="AP170" s="123"/>
      <c r="AQ170" s="123"/>
      <c r="AR170" s="123"/>
      <c r="AS170" s="3084"/>
      <c r="AT170" s="123"/>
      <c r="AU170" s="123"/>
      <c r="AV170" s="3092"/>
      <c r="AW170" s="3086"/>
      <c r="AX170" s="3087"/>
      <c r="AY170" s="3088"/>
      <c r="AZ170" s="3089"/>
      <c r="BA170" s="3090"/>
      <c r="BB170" s="1"/>
    </row>
    <row r="171" spans="1:54" s="350" customFormat="1" ht="52.2">
      <c r="A171" s="3548"/>
      <c r="B171" s="3562"/>
      <c r="C171" s="3564"/>
      <c r="D171" s="3436"/>
      <c r="E171" s="2777" t="s">
        <v>3699</v>
      </c>
      <c r="F171" s="2777" t="s">
        <v>3700</v>
      </c>
      <c r="G171" s="1224" t="s">
        <v>3701</v>
      </c>
      <c r="H171" s="1225" t="s">
        <v>3702</v>
      </c>
      <c r="I171" s="1756" t="str">
        <f t="shared" si="57"/>
        <v>5-DaHall1-PDU-21-50-16</v>
      </c>
      <c r="J171" s="1772" t="str">
        <f t="shared" si="58"/>
        <v>5-DaHall1-PDU-22-50-16</v>
      </c>
      <c r="K171" s="1773">
        <v>220</v>
      </c>
      <c r="L171" s="1774">
        <v>50</v>
      </c>
      <c r="M171" s="2386" t="s">
        <v>6545</v>
      </c>
      <c r="N171" s="1760">
        <v>16</v>
      </c>
      <c r="O171" s="1775">
        <v>220</v>
      </c>
      <c r="P171" s="1776">
        <v>50</v>
      </c>
      <c r="Q171" s="2404" t="s">
        <v>6546</v>
      </c>
      <c r="R171" s="1777">
        <v>16</v>
      </c>
      <c r="S171" s="1226" t="s">
        <v>3629</v>
      </c>
      <c r="T171" s="1227" t="s">
        <v>3630</v>
      </c>
      <c r="U171" s="1228" t="s">
        <v>3543</v>
      </c>
      <c r="V171" s="1229" t="s">
        <v>3544</v>
      </c>
      <c r="W171" s="3566"/>
      <c r="X171" s="3568"/>
      <c r="Y171" s="1230">
        <f>SUM('5층_부하량(월간_AVG)'!N630:P630)</f>
        <v>0</v>
      </c>
      <c r="Z171" s="1230">
        <f>SUM('5층_부하량(월간_AVG)'!N646:P646)</f>
        <v>0</v>
      </c>
      <c r="AA171" s="3569"/>
      <c r="AB171" s="2770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1211.2</v>
      </c>
      <c r="AC171" s="2732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1265.4000000000001</v>
      </c>
      <c r="AD171" s="3570"/>
      <c r="AE171" s="2776"/>
      <c r="AF171"/>
      <c r="AG171" s="2367">
        <f t="shared" si="46"/>
        <v>0</v>
      </c>
      <c r="AH171" s="2367">
        <f t="shared" si="47"/>
        <v>0</v>
      </c>
      <c r="AI171" s="123" t="str">
        <f t="shared" si="43"/>
        <v>무부하 랙</v>
      </c>
      <c r="AJ171" t="str">
        <f t="shared" si="44"/>
        <v/>
      </c>
      <c r="AK171" t="str">
        <f t="shared" si="45"/>
        <v/>
      </c>
      <c r="AP171" s="123"/>
      <c r="AQ171" s="123"/>
      <c r="AR171" s="123"/>
      <c r="AS171" s="3084"/>
      <c r="AT171" s="123"/>
      <c r="AU171" s="123"/>
      <c r="AV171" s="3092"/>
      <c r="AW171" s="3086"/>
      <c r="AX171" s="3087"/>
      <c r="AY171" s="3088"/>
      <c r="AZ171" s="3089"/>
      <c r="BA171" s="3090"/>
      <c r="BB171" s="1"/>
    </row>
    <row r="172" spans="1:54" s="350" customFormat="1" ht="34.799999999999997">
      <c r="A172" s="3548" t="s">
        <v>1338</v>
      </c>
      <c r="B172" s="3578" t="s">
        <v>8725</v>
      </c>
      <c r="C172" s="3564" t="s">
        <v>3546</v>
      </c>
      <c r="D172" s="3580">
        <v>13</v>
      </c>
      <c r="E172" s="2781"/>
      <c r="F172" s="1246"/>
      <c r="G172" s="1232"/>
      <c r="H172" s="1233"/>
      <c r="I172" s="1764" t="str">
        <f t="shared" si="57"/>
        <v>5-DaHall1-PDU-19-30-21</v>
      </c>
      <c r="J172" s="1765" t="str">
        <f t="shared" si="58"/>
        <v>5-DaHall1-PDU-20-30-21</v>
      </c>
      <c r="K172" s="1766">
        <v>220</v>
      </c>
      <c r="L172" s="1767">
        <v>30</v>
      </c>
      <c r="M172" s="2387" t="s">
        <v>6544</v>
      </c>
      <c r="N172" s="1768">
        <v>21</v>
      </c>
      <c r="O172" s="1769">
        <v>220</v>
      </c>
      <c r="P172" s="1770">
        <v>30</v>
      </c>
      <c r="Q172" s="2406" t="s">
        <v>6547</v>
      </c>
      <c r="R172" s="1771">
        <v>21</v>
      </c>
      <c r="S172" s="1249" t="s">
        <v>3533</v>
      </c>
      <c r="T172" s="1250" t="s">
        <v>3534</v>
      </c>
      <c r="U172" s="1236" t="s">
        <v>3535</v>
      </c>
      <c r="V172" s="1237" t="s">
        <v>3536</v>
      </c>
      <c r="W172" s="3576" t="s">
        <v>2484</v>
      </c>
      <c r="X172" s="3577" t="s">
        <v>2485</v>
      </c>
      <c r="Y172" s="1238">
        <f>SUM('5층_부하량(월간_AVG)'!D601:F601)</f>
        <v>0</v>
      </c>
      <c r="Z172" s="1238">
        <f>SUM('5층_부하량(월간_AVG)'!D617:F617)</f>
        <v>0</v>
      </c>
      <c r="AA172" s="3558">
        <f t="shared" ref="AA172" si="60">SUM(Y172:Z173)</f>
        <v>0</v>
      </c>
      <c r="AB172" s="2770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2" s="2732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2" s="3575">
        <f t="shared" ref="AD172" si="61">SUM(AB172:AC173)</f>
        <v>0</v>
      </c>
      <c r="AE172" s="3581" t="s">
        <v>8726</v>
      </c>
      <c r="AF172"/>
      <c r="AG172" s="2367">
        <f t="shared" si="46"/>
        <v>0</v>
      </c>
      <c r="AH172" s="2367">
        <f t="shared" si="47"/>
        <v>13</v>
      </c>
      <c r="AI172" s="123" t="str">
        <f t="shared" si="43"/>
        <v>무부하 랙</v>
      </c>
      <c r="AJ172" t="str">
        <f t="shared" si="44"/>
        <v/>
      </c>
      <c r="AK172" t="str">
        <f t="shared" si="45"/>
        <v/>
      </c>
      <c r="AP172" s="123"/>
      <c r="AQ172" s="123"/>
      <c r="AR172" s="123"/>
      <c r="AS172" s="3084"/>
      <c r="AT172" s="123"/>
      <c r="AU172" s="123"/>
      <c r="AV172" s="3092"/>
      <c r="AW172" s="3086"/>
      <c r="AX172" s="3087"/>
      <c r="AY172" s="3088"/>
      <c r="AZ172" s="3089"/>
      <c r="BA172" s="3090"/>
      <c r="BB172" s="1"/>
    </row>
    <row r="173" spans="1:54" s="350" customFormat="1" ht="34.799999999999997">
      <c r="A173" s="3548"/>
      <c r="B173" s="3579"/>
      <c r="C173" s="3564"/>
      <c r="D173" s="3580"/>
      <c r="E173" s="2782"/>
      <c r="F173" s="2782"/>
      <c r="G173" s="1224"/>
      <c r="H173" s="1225"/>
      <c r="I173" s="1756" t="str">
        <f t="shared" si="57"/>
        <v>5-DaHall1-PDU-21-30-21</v>
      </c>
      <c r="J173" s="1772" t="str">
        <f t="shared" si="58"/>
        <v>5-DaHall1-PDU-22-30-21</v>
      </c>
      <c r="K173" s="1773">
        <v>220</v>
      </c>
      <c r="L173" s="1774">
        <v>30</v>
      </c>
      <c r="M173" s="2386" t="s">
        <v>6545</v>
      </c>
      <c r="N173" s="1760">
        <v>21</v>
      </c>
      <c r="O173" s="1775">
        <v>220</v>
      </c>
      <c r="P173" s="1776">
        <v>30</v>
      </c>
      <c r="Q173" s="2404" t="s">
        <v>6546</v>
      </c>
      <c r="R173" s="1777">
        <v>21</v>
      </c>
      <c r="S173" s="1226" t="s">
        <v>3541</v>
      </c>
      <c r="T173" s="1227" t="s">
        <v>3542</v>
      </c>
      <c r="U173" s="1228" t="s">
        <v>3543</v>
      </c>
      <c r="V173" s="1229" t="s">
        <v>3544</v>
      </c>
      <c r="W173" s="3566"/>
      <c r="X173" s="3568"/>
      <c r="Y173" s="1230">
        <f>SUM('5층_부하량(월간_AVG)'!D633:F633)</f>
        <v>0</v>
      </c>
      <c r="Z173" s="1230">
        <f>SUM('5층_부하량(월간_AVG)'!D649:F649)</f>
        <v>0</v>
      </c>
      <c r="AA173" s="3569"/>
      <c r="AB173" s="2770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3" s="2732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3" s="3570"/>
      <c r="AE173" s="3582"/>
      <c r="AF173"/>
      <c r="AG173" s="2367">
        <f t="shared" si="46"/>
        <v>0</v>
      </c>
      <c r="AH173" s="2367">
        <f t="shared" si="47"/>
        <v>0</v>
      </c>
      <c r="AI173" s="123" t="str">
        <f t="shared" si="43"/>
        <v>무부하 랙</v>
      </c>
      <c r="AJ173" t="str">
        <f t="shared" si="44"/>
        <v/>
      </c>
      <c r="AK173" t="str">
        <f t="shared" si="45"/>
        <v/>
      </c>
      <c r="AP173" s="123"/>
      <c r="AQ173" s="123"/>
      <c r="AR173" s="123"/>
      <c r="AS173" s="3084"/>
      <c r="AT173" s="123"/>
      <c r="AU173" s="123"/>
      <c r="AV173" s="3092"/>
      <c r="AW173" s="3086"/>
      <c r="AX173" s="3087"/>
      <c r="AY173" s="3088"/>
      <c r="AZ173" s="3089"/>
      <c r="BA173" s="3090"/>
      <c r="BB173" s="1"/>
    </row>
    <row r="174" spans="1:54" s="350" customFormat="1" ht="52.2">
      <c r="A174" s="3548" t="s">
        <v>1344</v>
      </c>
      <c r="B174" s="3578" t="s">
        <v>3685</v>
      </c>
      <c r="C174" s="3564" t="s">
        <v>3546</v>
      </c>
      <c r="D174" s="3436">
        <v>13</v>
      </c>
      <c r="E174" s="2781" t="s">
        <v>3686</v>
      </c>
      <c r="F174" s="1246" t="s">
        <v>3687</v>
      </c>
      <c r="G174" s="1232" t="s">
        <v>3688</v>
      </c>
      <c r="H174" s="1233" t="s">
        <v>3689</v>
      </c>
      <c r="I174" s="1764" t="str">
        <f>"5-DaHall1-PDU-"&amp;M174&amp;"-"&amp;L174&amp;"-"&amp;N174</f>
        <v>5-DaHall1-PDU-19-30-19</v>
      </c>
      <c r="J174" s="1765" t="str">
        <f t="shared" si="58"/>
        <v>5-DaHall1-PDU-20-30-19</v>
      </c>
      <c r="K174" s="1766">
        <v>220</v>
      </c>
      <c r="L174" s="1767">
        <v>30</v>
      </c>
      <c r="M174" s="2387" t="s">
        <v>6544</v>
      </c>
      <c r="N174" s="1768">
        <v>19</v>
      </c>
      <c r="O174" s="1769">
        <v>220</v>
      </c>
      <c r="P174" s="1770">
        <v>30</v>
      </c>
      <c r="Q174" s="2406" t="s">
        <v>6547</v>
      </c>
      <c r="R174" s="1771">
        <v>19</v>
      </c>
      <c r="S174" s="1249" t="s">
        <v>3533</v>
      </c>
      <c r="T174" s="1250" t="s">
        <v>3534</v>
      </c>
      <c r="U174" s="1236" t="s">
        <v>3535</v>
      </c>
      <c r="V174" s="1237" t="s">
        <v>3536</v>
      </c>
      <c r="W174" s="3576" t="s">
        <v>2484</v>
      </c>
      <c r="X174" s="3577" t="s">
        <v>2485</v>
      </c>
      <c r="Y174" s="1238">
        <f>SUM('5층_부하량(월간_AVG)'!D600:F600)</f>
        <v>0</v>
      </c>
      <c r="Z174" s="1238">
        <f>SUM('5층_부하량(월간_AVG)'!D616:F616)</f>
        <v>0</v>
      </c>
      <c r="AA174" s="3558">
        <f t="shared" ref="AA174" si="62">SUM(Y174:Z175)</f>
        <v>0</v>
      </c>
      <c r="AB174" s="2770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598.70000000000005</v>
      </c>
      <c r="AC174" s="2732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641.5</v>
      </c>
      <c r="AD174" s="3575">
        <f t="shared" ref="AD174" si="63">SUM(AB174:AC175)</f>
        <v>2438.2000000000003</v>
      </c>
      <c r="AE174" s="2771"/>
      <c r="AF174"/>
      <c r="AG174" s="2367">
        <f t="shared" si="46"/>
        <v>3.2771505376344088</v>
      </c>
      <c r="AH174" s="2367">
        <f t="shared" si="47"/>
        <v>9.7228494623655912</v>
      </c>
      <c r="AI174" s="123" t="str">
        <f t="shared" si="43"/>
        <v>적정함</v>
      </c>
      <c r="AJ174" t="str">
        <f t="shared" si="44"/>
        <v/>
      </c>
      <c r="AK174" t="str">
        <f t="shared" si="45"/>
        <v/>
      </c>
      <c r="AP174" s="123"/>
      <c r="AQ174" s="123"/>
      <c r="AR174" s="123"/>
      <c r="AS174" s="3084"/>
      <c r="AT174" s="123"/>
      <c r="AU174" s="123"/>
      <c r="AV174" s="3092"/>
      <c r="AW174" s="3086"/>
      <c r="AX174" s="3087"/>
      <c r="AY174" s="3088"/>
      <c r="AZ174" s="3089"/>
      <c r="BA174" s="3090"/>
      <c r="BB174" s="1"/>
    </row>
    <row r="175" spans="1:54" s="350" customFormat="1" ht="52.2">
      <c r="A175" s="3548"/>
      <c r="B175" s="3579"/>
      <c r="C175" s="3564"/>
      <c r="D175" s="3436"/>
      <c r="E175" s="2782" t="s">
        <v>3690</v>
      </c>
      <c r="F175" s="2782" t="s">
        <v>3691</v>
      </c>
      <c r="G175" s="1224" t="s">
        <v>3692</v>
      </c>
      <c r="H175" s="1225" t="s">
        <v>3693</v>
      </c>
      <c r="I175" s="1756" t="str">
        <f>"5-DaHall1-PDU-"&amp;M175&amp;"-"&amp;L175&amp;"-"&amp;N175</f>
        <v>5-DaHall1-PDU-21-30-19</v>
      </c>
      <c r="J175" s="1772" t="str">
        <f t="shared" si="58"/>
        <v>5-DaHall1-PDU-22-30-19</v>
      </c>
      <c r="K175" s="1773">
        <v>220</v>
      </c>
      <c r="L175" s="1774">
        <v>30</v>
      </c>
      <c r="M175" s="2386" t="s">
        <v>6545</v>
      </c>
      <c r="N175" s="1760">
        <v>19</v>
      </c>
      <c r="O175" s="1775">
        <v>220</v>
      </c>
      <c r="P175" s="1776">
        <v>30</v>
      </c>
      <c r="Q175" s="2404" t="s">
        <v>6546</v>
      </c>
      <c r="R175" s="1777">
        <v>19</v>
      </c>
      <c r="S175" s="1226" t="s">
        <v>3541</v>
      </c>
      <c r="T175" s="1227" t="s">
        <v>3542</v>
      </c>
      <c r="U175" s="1228" t="s">
        <v>3543</v>
      </c>
      <c r="V175" s="1229" t="s">
        <v>3544</v>
      </c>
      <c r="W175" s="3566"/>
      <c r="X175" s="3568"/>
      <c r="Y175" s="1230">
        <f>SUM('5층_부하량(월간_AVG)'!D632:F632)</f>
        <v>0</v>
      </c>
      <c r="Z175" s="1230">
        <f>SUM('5층_부하량(월간_AVG)'!D648:F648)</f>
        <v>0</v>
      </c>
      <c r="AA175" s="3569"/>
      <c r="AB175" s="2770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560.1</v>
      </c>
      <c r="AC175" s="2732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637.9</v>
      </c>
      <c r="AD175" s="3570"/>
      <c r="AE175" s="2776"/>
      <c r="AF175"/>
      <c r="AG175" s="2367">
        <f t="shared" si="46"/>
        <v>0</v>
      </c>
      <c r="AH175" s="2367">
        <f t="shared" si="47"/>
        <v>0</v>
      </c>
      <c r="AI175" s="123" t="str">
        <f t="shared" si="43"/>
        <v>무부하 랙</v>
      </c>
      <c r="AJ175" t="str">
        <f t="shared" si="44"/>
        <v/>
      </c>
      <c r="AK175" t="str">
        <f t="shared" si="45"/>
        <v/>
      </c>
      <c r="AP175" s="123"/>
      <c r="AQ175" s="123"/>
      <c r="AR175" s="123"/>
      <c r="AS175" s="3084"/>
      <c r="AT175" s="123"/>
      <c r="AU175" s="123"/>
      <c r="AV175" s="3092"/>
      <c r="AW175" s="3086"/>
      <c r="AX175" s="3087"/>
      <c r="AY175" s="3088"/>
      <c r="AZ175" s="3089"/>
      <c r="BA175" s="3090"/>
      <c r="BB175" s="1"/>
    </row>
    <row r="176" spans="1:54" s="350" customFormat="1" ht="52.2">
      <c r="A176" s="3548" t="s">
        <v>1351</v>
      </c>
      <c r="B176" s="3579" t="s">
        <v>3676</v>
      </c>
      <c r="C176" s="3564" t="s">
        <v>3546</v>
      </c>
      <c r="D176" s="3436">
        <v>13</v>
      </c>
      <c r="E176" s="2769" t="s">
        <v>3677</v>
      </c>
      <c r="F176" s="1231" t="s">
        <v>3678</v>
      </c>
      <c r="G176" s="1232" t="s">
        <v>3679</v>
      </c>
      <c r="H176" s="1233" t="s">
        <v>3680</v>
      </c>
      <c r="I176" s="1764" t="str">
        <f>"5-DaHall1-PDU-"&amp;M176&amp;"-"&amp;L176&amp;"-"&amp;N176</f>
        <v>5-DaHall1-PDU-19-30-17</v>
      </c>
      <c r="J176" s="1765" t="str">
        <f t="shared" si="58"/>
        <v>5-DaHall1-PDU-20-30-17</v>
      </c>
      <c r="K176" s="1766">
        <v>220</v>
      </c>
      <c r="L176" s="1767">
        <v>30</v>
      </c>
      <c r="M176" s="2387" t="s">
        <v>6544</v>
      </c>
      <c r="N176" s="1768">
        <v>17</v>
      </c>
      <c r="O176" s="1769">
        <v>220</v>
      </c>
      <c r="P176" s="1770">
        <v>30</v>
      </c>
      <c r="Q176" s="2406" t="s">
        <v>6547</v>
      </c>
      <c r="R176" s="1771">
        <v>17</v>
      </c>
      <c r="S176" s="1249" t="s">
        <v>3533</v>
      </c>
      <c r="T176" s="1250" t="s">
        <v>3534</v>
      </c>
      <c r="U176" s="1236" t="s">
        <v>3535</v>
      </c>
      <c r="V176" s="1237" t="s">
        <v>3536</v>
      </c>
      <c r="W176" s="3576" t="s">
        <v>2484</v>
      </c>
      <c r="X176" s="3577" t="s">
        <v>2485</v>
      </c>
      <c r="Y176" s="1238">
        <f>SUM('5층_부하량(월간_AVG)'!D599:F599)</f>
        <v>0</v>
      </c>
      <c r="Z176" s="1238">
        <f>SUM('5층_부하량(월간_AVG)'!D615:F615)</f>
        <v>0</v>
      </c>
      <c r="AA176" s="3558">
        <f t="shared" ref="AA176" si="64">SUM(Y176:Z177)</f>
        <v>0</v>
      </c>
      <c r="AB176" s="2770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569.70000000000005</v>
      </c>
      <c r="AC176" s="2732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635</v>
      </c>
      <c r="AD176" s="3575">
        <f t="shared" ref="AD176" si="65">SUM(AB176:AC177)</f>
        <v>2414.6</v>
      </c>
      <c r="AE176" s="2771"/>
      <c r="AF176"/>
      <c r="AG176" s="2367">
        <f t="shared" si="46"/>
        <v>3.2454301075268814</v>
      </c>
      <c r="AH176" s="2367">
        <f t="shared" si="47"/>
        <v>9.7545698924731177</v>
      </c>
      <c r="AI176" s="123" t="str">
        <f t="shared" si="43"/>
        <v>적정함</v>
      </c>
      <c r="AJ176" t="str">
        <f t="shared" si="44"/>
        <v/>
      </c>
      <c r="AK176" t="str">
        <f t="shared" si="45"/>
        <v/>
      </c>
      <c r="AP176" s="123"/>
      <c r="AQ176" s="123"/>
      <c r="AR176" s="123"/>
      <c r="AS176" s="3084"/>
      <c r="AT176" s="123"/>
      <c r="AU176" s="123"/>
      <c r="AV176" s="3092"/>
      <c r="AW176" s="3086"/>
      <c r="AX176" s="3087"/>
      <c r="AY176" s="3088"/>
      <c r="AZ176" s="3089"/>
      <c r="BA176" s="3090"/>
      <c r="BB176" s="1"/>
    </row>
    <row r="177" spans="1:54" s="350" customFormat="1" ht="52.2">
      <c r="A177" s="3548"/>
      <c r="B177" s="3579"/>
      <c r="C177" s="3564"/>
      <c r="D177" s="3436"/>
      <c r="E177" s="2777" t="s">
        <v>3681</v>
      </c>
      <c r="F177" s="2777" t="s">
        <v>3682</v>
      </c>
      <c r="G177" s="1224" t="s">
        <v>3683</v>
      </c>
      <c r="H177" s="1225" t="s">
        <v>3684</v>
      </c>
      <c r="I177" s="1756" t="str">
        <f>"5-DaHall1-PDU-"&amp;M177&amp;"-"&amp;L177&amp;"-"&amp;N177</f>
        <v>5-DaHall1-PDU-21-30-17</v>
      </c>
      <c r="J177" s="1772" t="str">
        <f t="shared" si="58"/>
        <v>5-DaHall1-PDU-22-30-17</v>
      </c>
      <c r="K177" s="1773">
        <v>220</v>
      </c>
      <c r="L177" s="1774">
        <v>30</v>
      </c>
      <c r="M177" s="2386" t="s">
        <v>6545</v>
      </c>
      <c r="N177" s="1760">
        <v>17</v>
      </c>
      <c r="O177" s="1775">
        <v>220</v>
      </c>
      <c r="P177" s="1776">
        <v>30</v>
      </c>
      <c r="Q177" s="2404" t="s">
        <v>6546</v>
      </c>
      <c r="R177" s="1777">
        <v>17</v>
      </c>
      <c r="S177" s="1226" t="s">
        <v>3541</v>
      </c>
      <c r="T177" s="1227" t="s">
        <v>3542</v>
      </c>
      <c r="U177" s="1228" t="s">
        <v>3543</v>
      </c>
      <c r="V177" s="1229" t="s">
        <v>3544</v>
      </c>
      <c r="W177" s="3566"/>
      <c r="X177" s="3568"/>
      <c r="Y177" s="1230">
        <f>SUM('5층_부하량(월간_AVG)'!D631:F631)</f>
        <v>0</v>
      </c>
      <c r="Z177" s="1230">
        <f>SUM('5층_부하량(월간_AVG)'!D647:F647)</f>
        <v>0</v>
      </c>
      <c r="AA177" s="3569"/>
      <c r="AB177" s="2770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601</v>
      </c>
      <c r="AC177" s="2732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608.9</v>
      </c>
      <c r="AD177" s="3570"/>
      <c r="AE177" s="2776"/>
      <c r="AF177"/>
      <c r="AG177" s="2367">
        <f t="shared" si="46"/>
        <v>0</v>
      </c>
      <c r="AH177" s="2367">
        <f t="shared" si="47"/>
        <v>0</v>
      </c>
      <c r="AI177" s="123" t="str">
        <f t="shared" si="43"/>
        <v>무부하 랙</v>
      </c>
      <c r="AJ177" t="str">
        <f t="shared" si="44"/>
        <v/>
      </c>
      <c r="AK177" t="str">
        <f t="shared" si="45"/>
        <v/>
      </c>
      <c r="AP177" s="123"/>
      <c r="AQ177" s="123"/>
      <c r="AR177" s="123"/>
      <c r="AS177" s="3084"/>
      <c r="AT177" s="123"/>
      <c r="AU177" s="123"/>
      <c r="AV177" s="3092"/>
      <c r="AW177" s="3086"/>
      <c r="AX177" s="3087"/>
      <c r="AY177" s="3088"/>
      <c r="AZ177" s="3089"/>
      <c r="BA177" s="3090"/>
      <c r="BB177" s="1"/>
    </row>
    <row r="178" spans="1:54" s="350" customFormat="1" ht="52.2">
      <c r="A178" s="3571" t="s">
        <v>1357</v>
      </c>
      <c r="B178" s="3579" t="s">
        <v>3667</v>
      </c>
      <c r="C178" s="3564" t="s">
        <v>3546</v>
      </c>
      <c r="D178" s="3436">
        <v>13</v>
      </c>
      <c r="E178" s="2769" t="s">
        <v>3668</v>
      </c>
      <c r="F178" s="1231" t="s">
        <v>3669</v>
      </c>
      <c r="G178" s="1232" t="s">
        <v>3670</v>
      </c>
      <c r="H178" s="1233" t="s">
        <v>3671</v>
      </c>
      <c r="I178" s="1764" t="str">
        <f t="shared" ref="I178:I219" si="66">"5-DaHall1-PDU-"&amp;M178&amp;"-"&amp;L178&amp;"-"&amp;N178</f>
        <v>5-DaHall1-PDU-19-30-15</v>
      </c>
      <c r="J178" s="1765" t="str">
        <f t="shared" si="58"/>
        <v>5-DaHall1-PDU-20-30-15</v>
      </c>
      <c r="K178" s="1766">
        <v>220</v>
      </c>
      <c r="L178" s="1767">
        <v>30</v>
      </c>
      <c r="M178" s="2387" t="s">
        <v>6544</v>
      </c>
      <c r="N178" s="1768">
        <v>15</v>
      </c>
      <c r="O178" s="1769">
        <v>220</v>
      </c>
      <c r="P178" s="1770">
        <v>30</v>
      </c>
      <c r="Q178" s="2406" t="s">
        <v>6547</v>
      </c>
      <c r="R178" s="1771">
        <v>15</v>
      </c>
      <c r="S178" s="1249" t="s">
        <v>3533</v>
      </c>
      <c r="T178" s="1250" t="s">
        <v>3534</v>
      </c>
      <c r="U178" s="1251" t="s">
        <v>3535</v>
      </c>
      <c r="V178" s="1252" t="s">
        <v>3536</v>
      </c>
      <c r="W178" s="3565" t="s">
        <v>2484</v>
      </c>
      <c r="X178" s="3567" t="s">
        <v>2485</v>
      </c>
      <c r="Y178" s="1238">
        <f>SUM('5층_부하량(월간_AVG)'!D598:F598)</f>
        <v>0</v>
      </c>
      <c r="Z178" s="1238">
        <f>SUM('5층_부하량(월간_AVG)'!D614:F614)</f>
        <v>0</v>
      </c>
      <c r="AA178" s="3558">
        <f t="shared" ref="AA178" si="67">SUM(Y178:Z179)</f>
        <v>0</v>
      </c>
      <c r="AB178" s="2770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1208.2</v>
      </c>
      <c r="AC178" s="2732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1403.5</v>
      </c>
      <c r="AD178" s="3575">
        <f t="shared" ref="AD178" si="68">SUM(AB178:AC179)</f>
        <v>3776.4999999999995</v>
      </c>
      <c r="AE178" s="2778"/>
      <c r="AF178"/>
      <c r="AG178" s="2367">
        <f t="shared" si="46"/>
        <v>5.0759408602150531</v>
      </c>
      <c r="AH178" s="2367">
        <f t="shared" si="47"/>
        <v>7.9240591397849469</v>
      </c>
      <c r="AI178" s="123" t="str">
        <f t="shared" si="43"/>
        <v>적정함</v>
      </c>
      <c r="AJ178" t="str">
        <f t="shared" si="44"/>
        <v/>
      </c>
      <c r="AK178" t="str">
        <f t="shared" si="45"/>
        <v/>
      </c>
      <c r="AP178" s="123"/>
      <c r="AQ178" s="123"/>
      <c r="AR178" s="123"/>
      <c r="AS178" s="3084"/>
      <c r="AT178" s="123"/>
      <c r="AU178" s="123"/>
      <c r="AV178" s="3092"/>
      <c r="AW178" s="3086"/>
      <c r="AX178" s="3087"/>
      <c r="AY178" s="3088"/>
      <c r="AZ178" s="3089"/>
      <c r="BA178" s="3090"/>
      <c r="BB178" s="1"/>
    </row>
    <row r="179" spans="1:54" s="350" customFormat="1" ht="52.2">
      <c r="A179" s="3572"/>
      <c r="B179" s="3579"/>
      <c r="C179" s="3564"/>
      <c r="D179" s="3436"/>
      <c r="E179" s="2777" t="s">
        <v>3672</v>
      </c>
      <c r="F179" s="2777" t="s">
        <v>3673</v>
      </c>
      <c r="G179" s="1224" t="s">
        <v>3674</v>
      </c>
      <c r="H179" s="1225" t="s">
        <v>3675</v>
      </c>
      <c r="I179" s="1756" t="str">
        <f t="shared" si="66"/>
        <v>5-DaHall1-PDU-21-30-15</v>
      </c>
      <c r="J179" s="1772" t="str">
        <f t="shared" si="58"/>
        <v>5-DaHall1-PDU-22-30-15</v>
      </c>
      <c r="K179" s="1773">
        <v>220</v>
      </c>
      <c r="L179" s="1774">
        <v>30</v>
      </c>
      <c r="M179" s="2386" t="s">
        <v>6545</v>
      </c>
      <c r="N179" s="1760">
        <v>15</v>
      </c>
      <c r="O179" s="1775">
        <v>220</v>
      </c>
      <c r="P179" s="1776">
        <v>30</v>
      </c>
      <c r="Q179" s="2404" t="s">
        <v>6546</v>
      </c>
      <c r="R179" s="1777">
        <v>15</v>
      </c>
      <c r="S179" s="1226" t="s">
        <v>3541</v>
      </c>
      <c r="T179" s="1227" t="s">
        <v>3542</v>
      </c>
      <c r="U179" s="1258" t="s">
        <v>3543</v>
      </c>
      <c r="V179" s="1259" t="s">
        <v>3544</v>
      </c>
      <c r="W179" s="3573"/>
      <c r="X179" s="3574"/>
      <c r="Y179" s="1230">
        <f>SUM('5층_부하량(월간_AVG)'!D630:F630)</f>
        <v>0</v>
      </c>
      <c r="Z179" s="1230">
        <f>SUM('5층_부하량(월간_AVG)'!D646:F646)</f>
        <v>0</v>
      </c>
      <c r="AA179" s="3569"/>
      <c r="AB179" s="2770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519.70000000000005</v>
      </c>
      <c r="AC179" s="2732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645.1</v>
      </c>
      <c r="AD179" s="3570"/>
      <c r="AE179" s="2779"/>
      <c r="AF179"/>
      <c r="AG179" s="2367">
        <f t="shared" si="46"/>
        <v>0</v>
      </c>
      <c r="AH179" s="2367">
        <f t="shared" si="47"/>
        <v>0</v>
      </c>
      <c r="AI179" s="123" t="str">
        <f t="shared" si="43"/>
        <v>무부하 랙</v>
      </c>
      <c r="AJ179" t="str">
        <f t="shared" si="44"/>
        <v/>
      </c>
      <c r="AK179" t="str">
        <f t="shared" si="45"/>
        <v/>
      </c>
      <c r="AP179" s="123"/>
      <c r="AQ179" s="123"/>
      <c r="AR179" s="123"/>
      <c r="AS179" s="3084"/>
      <c r="AT179" s="123"/>
      <c r="AU179" s="123"/>
      <c r="AV179" s="3092"/>
      <c r="AW179" s="3086"/>
      <c r="AX179" s="3087"/>
      <c r="AY179" s="3088"/>
      <c r="AZ179" s="3089"/>
      <c r="BA179" s="3090"/>
      <c r="BB179" s="1"/>
    </row>
    <row r="180" spans="1:54" s="350" customFormat="1" ht="52.2">
      <c r="A180" s="3548" t="s">
        <v>1284</v>
      </c>
      <c r="B180" s="3579" t="s">
        <v>3658</v>
      </c>
      <c r="C180" s="3564" t="s">
        <v>3546</v>
      </c>
      <c r="D180" s="3436">
        <v>13</v>
      </c>
      <c r="E180" s="2769" t="s">
        <v>3659</v>
      </c>
      <c r="F180" s="1231" t="s">
        <v>3660</v>
      </c>
      <c r="G180" s="1247" t="s">
        <v>3661</v>
      </c>
      <c r="H180" s="1248" t="s">
        <v>3662</v>
      </c>
      <c r="I180" s="1778" t="str">
        <f t="shared" si="66"/>
        <v>5-DaHall1-PDU-19-30-14</v>
      </c>
      <c r="J180" s="1779" t="str">
        <f t="shared" si="58"/>
        <v>5-DaHall1-PDU-20-30-14</v>
      </c>
      <c r="K180" s="1780">
        <v>220</v>
      </c>
      <c r="L180" s="1781">
        <v>30</v>
      </c>
      <c r="M180" s="2388" t="s">
        <v>6544</v>
      </c>
      <c r="N180" s="1782">
        <v>14</v>
      </c>
      <c r="O180" s="1783">
        <v>220</v>
      </c>
      <c r="P180" s="1784">
        <v>30</v>
      </c>
      <c r="Q180" s="2407" t="s">
        <v>6547</v>
      </c>
      <c r="R180" s="1785">
        <v>14</v>
      </c>
      <c r="S180" s="1249" t="s">
        <v>3533</v>
      </c>
      <c r="T180" s="1250" t="s">
        <v>3534</v>
      </c>
      <c r="U180" s="1236" t="s">
        <v>3535</v>
      </c>
      <c r="V180" s="1237" t="s">
        <v>3536</v>
      </c>
      <c r="W180" s="3576" t="s">
        <v>2484</v>
      </c>
      <c r="X180" s="3577" t="s">
        <v>2485</v>
      </c>
      <c r="Y180" s="1238">
        <f>SUM('5층_부하량(월간_AVG)'!N597:P597)</f>
        <v>0</v>
      </c>
      <c r="Z180" s="1238">
        <f>SUM('5층_부하량(월간_AVG)'!N613:P613)</f>
        <v>0</v>
      </c>
      <c r="AA180" s="3558">
        <f t="shared" ref="AA180" si="69">SUM(Y180:Z181)</f>
        <v>0</v>
      </c>
      <c r="AB180" s="2770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224.7</v>
      </c>
      <c r="AC180" s="2732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206.5</v>
      </c>
      <c r="AD180" s="3575">
        <f t="shared" ref="AD180" si="70">SUM(AB180:AC181)</f>
        <v>979.59999999999991</v>
      </c>
      <c r="AE180" s="2771"/>
      <c r="AF180"/>
      <c r="AG180" s="2367">
        <f t="shared" si="46"/>
        <v>1.3166666666666667</v>
      </c>
      <c r="AH180" s="2367">
        <f t="shared" si="47"/>
        <v>11.683333333333334</v>
      </c>
      <c r="AI180" s="123" t="str">
        <f t="shared" si="43"/>
        <v>적정함</v>
      </c>
      <c r="AJ180" t="str">
        <f t="shared" si="44"/>
        <v/>
      </c>
      <c r="AK180" t="str">
        <f t="shared" si="45"/>
        <v/>
      </c>
      <c r="AP180" s="123"/>
      <c r="AQ180" s="123"/>
      <c r="AR180" s="123"/>
      <c r="AS180" s="3084"/>
      <c r="AT180" s="123"/>
      <c r="AU180" s="123"/>
      <c r="AV180" s="3092"/>
      <c r="AW180" s="3086"/>
      <c r="AX180" s="3087"/>
      <c r="AY180" s="3088"/>
      <c r="AZ180" s="3089"/>
      <c r="BA180" s="3090"/>
      <c r="BB180" s="1"/>
    </row>
    <row r="181" spans="1:54" s="350" customFormat="1" ht="52.2">
      <c r="A181" s="3548"/>
      <c r="B181" s="3579"/>
      <c r="C181" s="3564"/>
      <c r="D181" s="3436"/>
      <c r="E181" s="2777" t="s">
        <v>3663</v>
      </c>
      <c r="F181" s="2777" t="s">
        <v>3664</v>
      </c>
      <c r="G181" s="1254" t="s">
        <v>3665</v>
      </c>
      <c r="H181" s="1255" t="s">
        <v>3666</v>
      </c>
      <c r="I181" s="1786" t="str">
        <f t="shared" si="66"/>
        <v>5-DaHall1-PDU-21-30-14</v>
      </c>
      <c r="J181" s="1757" t="str">
        <f t="shared" si="58"/>
        <v>5-DaHall1-PDU-22-30-14</v>
      </c>
      <c r="K181" s="1758">
        <v>220</v>
      </c>
      <c r="L181" s="1759">
        <v>30</v>
      </c>
      <c r="M181" s="2389" t="s">
        <v>6545</v>
      </c>
      <c r="N181" s="1787">
        <v>14</v>
      </c>
      <c r="O181" s="1761">
        <v>220</v>
      </c>
      <c r="P181" s="1762">
        <v>30</v>
      </c>
      <c r="Q181" s="2403" t="s">
        <v>6546</v>
      </c>
      <c r="R181" s="1763">
        <v>14</v>
      </c>
      <c r="S181" s="1226" t="s">
        <v>3541</v>
      </c>
      <c r="T181" s="1227" t="s">
        <v>3542</v>
      </c>
      <c r="U181" s="1228" t="s">
        <v>3543</v>
      </c>
      <c r="V181" s="1229" t="s">
        <v>3544</v>
      </c>
      <c r="W181" s="3566"/>
      <c r="X181" s="3568"/>
      <c r="Y181" s="1230">
        <f>SUM('5층_부하량(월간_AVG)'!N629:P629)</f>
        <v>0</v>
      </c>
      <c r="Z181" s="1230">
        <f>SUM('5층_부하량(월간_AVG)'!N645:P645)</f>
        <v>0</v>
      </c>
      <c r="AA181" s="3569"/>
      <c r="AB181" s="2770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272.39999999999998</v>
      </c>
      <c r="AC181" s="2732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276</v>
      </c>
      <c r="AD181" s="3570"/>
      <c r="AE181" s="2776"/>
      <c r="AF181"/>
      <c r="AG181" s="2367">
        <f t="shared" si="46"/>
        <v>0</v>
      </c>
      <c r="AH181" s="2367">
        <f t="shared" si="47"/>
        <v>0</v>
      </c>
      <c r="AI181" s="123" t="str">
        <f t="shared" si="43"/>
        <v>무부하 랙</v>
      </c>
      <c r="AJ181" t="str">
        <f t="shared" si="44"/>
        <v/>
      </c>
      <c r="AK181" t="str">
        <f t="shared" si="45"/>
        <v/>
      </c>
      <c r="AP181" s="123"/>
      <c r="AQ181" s="123"/>
      <c r="AR181" s="123"/>
      <c r="AS181" s="3084"/>
      <c r="AT181" s="123"/>
      <c r="AU181" s="123"/>
      <c r="AV181" s="3092"/>
      <c r="AW181" s="3086"/>
      <c r="AX181" s="3087"/>
      <c r="AY181" s="3088"/>
      <c r="AZ181" s="3089"/>
      <c r="BA181" s="3090"/>
      <c r="BB181" s="1"/>
    </row>
    <row r="182" spans="1:54" s="350" customFormat="1" ht="52.2">
      <c r="A182" s="3571" t="s">
        <v>1290</v>
      </c>
      <c r="B182" s="3579" t="s">
        <v>3649</v>
      </c>
      <c r="C182" s="3564" t="s">
        <v>3546</v>
      </c>
      <c r="D182" s="3436">
        <v>13</v>
      </c>
      <c r="E182" s="2781" t="s">
        <v>3650</v>
      </c>
      <c r="F182" s="1246" t="s">
        <v>3651</v>
      </c>
      <c r="G182" s="1232" t="s">
        <v>3652</v>
      </c>
      <c r="H182" s="1233" t="s">
        <v>3653</v>
      </c>
      <c r="I182" s="1764" t="str">
        <f t="shared" si="66"/>
        <v>5-DaHall1-PDU-19-30-12</v>
      </c>
      <c r="J182" s="1765" t="str">
        <f t="shared" si="58"/>
        <v>5-DaHall1-PDU-20-30-12</v>
      </c>
      <c r="K182" s="1766">
        <v>220</v>
      </c>
      <c r="L182" s="1767">
        <v>30</v>
      </c>
      <c r="M182" s="2387" t="s">
        <v>6544</v>
      </c>
      <c r="N182" s="1768">
        <v>12</v>
      </c>
      <c r="O182" s="1769">
        <v>220</v>
      </c>
      <c r="P182" s="1770">
        <v>30</v>
      </c>
      <c r="Q182" s="2406" t="s">
        <v>6547</v>
      </c>
      <c r="R182" s="1771">
        <v>12</v>
      </c>
      <c r="S182" s="1249" t="s">
        <v>3533</v>
      </c>
      <c r="T182" s="1250" t="s">
        <v>3534</v>
      </c>
      <c r="U182" s="1251" t="s">
        <v>3535</v>
      </c>
      <c r="V182" s="1252" t="s">
        <v>3536</v>
      </c>
      <c r="W182" s="3565" t="s">
        <v>2484</v>
      </c>
      <c r="X182" s="3567" t="s">
        <v>2485</v>
      </c>
      <c r="Y182" s="1238">
        <f>SUM('5층_부하량(월간_AVG)'!N596:P596)</f>
        <v>0</v>
      </c>
      <c r="Z182" s="1253">
        <f>SUM('5층_부하량(월간_AVG)'!N612:P612)</f>
        <v>0</v>
      </c>
      <c r="AA182" s="3558">
        <f t="shared" ref="AA182" si="71">SUM(Y182:Z183)</f>
        <v>0</v>
      </c>
      <c r="AB182" s="2770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562.70000000000005</v>
      </c>
      <c r="AC182" s="2732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541</v>
      </c>
      <c r="AD182" s="3575">
        <f t="shared" ref="AD182" si="72">SUM(AB182:AC183)</f>
        <v>1489.4</v>
      </c>
      <c r="AE182" s="2778"/>
      <c r="AF182"/>
      <c r="AG182" s="2367">
        <f t="shared" si="46"/>
        <v>2.0018817204301076</v>
      </c>
      <c r="AH182" s="2367">
        <f t="shared" si="47"/>
        <v>10.998118279569892</v>
      </c>
      <c r="AI182" s="123" t="str">
        <f t="shared" si="43"/>
        <v>적정함</v>
      </c>
      <c r="AJ182" t="str">
        <f t="shared" si="44"/>
        <v/>
      </c>
      <c r="AK182" t="str">
        <f t="shared" si="45"/>
        <v/>
      </c>
      <c r="AP182" s="123"/>
      <c r="AQ182" s="123"/>
      <c r="AR182" s="123"/>
      <c r="AS182" s="3084"/>
      <c r="AT182" s="123"/>
      <c r="AU182" s="123"/>
      <c r="AV182" s="3092"/>
      <c r="AW182" s="3086"/>
      <c r="AX182" s="3087"/>
      <c r="AY182" s="3088"/>
      <c r="AZ182" s="3089"/>
      <c r="BA182" s="3090"/>
      <c r="BB182" s="1"/>
    </row>
    <row r="183" spans="1:54" s="350" customFormat="1" ht="52.2">
      <c r="A183" s="3572"/>
      <c r="B183" s="3579"/>
      <c r="C183" s="3564"/>
      <c r="D183" s="3436"/>
      <c r="E183" s="2782" t="s">
        <v>3654</v>
      </c>
      <c r="F183" s="2782" t="s">
        <v>3655</v>
      </c>
      <c r="G183" s="1224" t="s">
        <v>3656</v>
      </c>
      <c r="H183" s="1225" t="s">
        <v>3657</v>
      </c>
      <c r="I183" s="1756" t="str">
        <f t="shared" si="66"/>
        <v>5-DaHall1-PDU-21-30-12</v>
      </c>
      <c r="J183" s="1772" t="str">
        <f t="shared" si="58"/>
        <v>5-DaHall1-PDU-22-30-12</v>
      </c>
      <c r="K183" s="1773">
        <v>220</v>
      </c>
      <c r="L183" s="1774">
        <v>30</v>
      </c>
      <c r="M183" s="2386" t="s">
        <v>6545</v>
      </c>
      <c r="N183" s="1760">
        <v>12</v>
      </c>
      <c r="O183" s="1775">
        <v>220</v>
      </c>
      <c r="P183" s="1776">
        <v>30</v>
      </c>
      <c r="Q183" s="2404" t="s">
        <v>6546</v>
      </c>
      <c r="R183" s="1777">
        <v>12</v>
      </c>
      <c r="S183" s="1226" t="s">
        <v>3541</v>
      </c>
      <c r="T183" s="1227" t="s">
        <v>3542</v>
      </c>
      <c r="U183" s="1258" t="s">
        <v>3543</v>
      </c>
      <c r="V183" s="1259" t="s">
        <v>3544</v>
      </c>
      <c r="W183" s="3573"/>
      <c r="X183" s="3574"/>
      <c r="Y183" s="1230">
        <f>SUM('5층_부하량(월간_AVG)'!N628:P628)</f>
        <v>0</v>
      </c>
      <c r="Z183" s="1260">
        <f>SUM('5층_부하량(월간_AVG)'!N644:P644)</f>
        <v>0</v>
      </c>
      <c r="AA183" s="3569"/>
      <c r="AB183" s="2770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187.4</v>
      </c>
      <c r="AC183" s="2732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198.3</v>
      </c>
      <c r="AD183" s="3570"/>
      <c r="AE183" s="2779"/>
      <c r="AF183"/>
      <c r="AG183" s="2367">
        <f t="shared" si="46"/>
        <v>0</v>
      </c>
      <c r="AH183" s="2367">
        <f t="shared" si="47"/>
        <v>0</v>
      </c>
      <c r="AI183" s="123" t="str">
        <f t="shared" si="43"/>
        <v>무부하 랙</v>
      </c>
      <c r="AJ183" t="str">
        <f t="shared" si="44"/>
        <v/>
      </c>
      <c r="AK183" t="str">
        <f t="shared" si="45"/>
        <v/>
      </c>
      <c r="AP183" s="123"/>
      <c r="AQ183" s="123"/>
      <c r="AR183" s="123"/>
      <c r="AS183" s="3084"/>
      <c r="AT183" s="123"/>
      <c r="AU183" s="123"/>
      <c r="AV183" s="3092"/>
      <c r="AW183" s="3086"/>
      <c r="AX183" s="3087"/>
      <c r="AY183" s="3088"/>
      <c r="AZ183" s="3089"/>
      <c r="BA183" s="3090"/>
      <c r="BB183" s="1"/>
    </row>
    <row r="184" spans="1:54" s="350" customFormat="1" ht="52.2">
      <c r="A184" s="3548" t="s">
        <v>1296</v>
      </c>
      <c r="B184" s="3579" t="s">
        <v>3640</v>
      </c>
      <c r="C184" s="3564" t="s">
        <v>3546</v>
      </c>
      <c r="D184" s="3436">
        <v>13</v>
      </c>
      <c r="E184" s="2769" t="s">
        <v>3641</v>
      </c>
      <c r="F184" s="1231" t="s">
        <v>3642</v>
      </c>
      <c r="G184" s="1232" t="s">
        <v>3643</v>
      </c>
      <c r="H184" s="1233" t="s">
        <v>3644</v>
      </c>
      <c r="I184" s="1764" t="str">
        <f t="shared" si="66"/>
        <v>5-DaHall1-PDU-19-50-10</v>
      </c>
      <c r="J184" s="1765" t="str">
        <f t="shared" si="58"/>
        <v>5-DaHall1-PDU-20-50-10</v>
      </c>
      <c r="K184" s="1766">
        <v>220</v>
      </c>
      <c r="L184" s="1767">
        <v>50</v>
      </c>
      <c r="M184" s="2387" t="s">
        <v>6544</v>
      </c>
      <c r="N184" s="1768">
        <v>10</v>
      </c>
      <c r="O184" s="1769">
        <v>220</v>
      </c>
      <c r="P184" s="1770">
        <v>50</v>
      </c>
      <c r="Q184" s="2406" t="s">
        <v>6547</v>
      </c>
      <c r="R184" s="1771">
        <v>10</v>
      </c>
      <c r="S184" s="1234" t="s">
        <v>3533</v>
      </c>
      <c r="T184" s="1235" t="s">
        <v>3534</v>
      </c>
      <c r="U184" s="1236" t="s">
        <v>3535</v>
      </c>
      <c r="V184" s="1237" t="s">
        <v>3536</v>
      </c>
      <c r="W184" s="3576" t="s">
        <v>2484</v>
      </c>
      <c r="X184" s="3577" t="s">
        <v>2485</v>
      </c>
      <c r="Y184" s="1238">
        <f>SUM('5층_부하량(월간_AVG)'!N595:P595)</f>
        <v>0</v>
      </c>
      <c r="Z184" s="1238">
        <f>SUM('5층_부하량(월간_AVG)'!N611:P611)</f>
        <v>0</v>
      </c>
      <c r="AA184" s="3558">
        <f t="shared" ref="AA184" si="73">SUM(Y184:Z185)</f>
        <v>0</v>
      </c>
      <c r="AB184" s="2770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790.6</v>
      </c>
      <c r="AC184" s="2732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775.8</v>
      </c>
      <c r="AD184" s="3575">
        <f t="shared" ref="AD184" si="74">SUM(AB184:AC185)</f>
        <v>3817.2000000000003</v>
      </c>
      <c r="AE184" s="2771"/>
      <c r="AF184"/>
      <c r="AG184" s="2367">
        <f t="shared" si="46"/>
        <v>5.1306451612903228</v>
      </c>
      <c r="AH184" s="2367">
        <f t="shared" si="47"/>
        <v>7.8693548387096772</v>
      </c>
      <c r="AI184" s="123" t="str">
        <f t="shared" si="43"/>
        <v>적정함</v>
      </c>
      <c r="AJ184" t="str">
        <f t="shared" si="44"/>
        <v/>
      </c>
      <c r="AK184" t="str">
        <f t="shared" si="45"/>
        <v/>
      </c>
      <c r="AP184" s="123"/>
      <c r="AQ184" s="123"/>
      <c r="AR184" s="123"/>
      <c r="AS184" s="3084"/>
      <c r="AT184" s="123"/>
      <c r="AU184" s="123"/>
      <c r="AV184" s="3092"/>
      <c r="AW184" s="3086"/>
      <c r="AX184" s="3087"/>
      <c r="AY184" s="3088"/>
      <c r="AZ184" s="3089"/>
      <c r="BA184" s="3090"/>
      <c r="BB184" s="1"/>
    </row>
    <row r="185" spans="1:54" s="350" customFormat="1" ht="52.2">
      <c r="A185" s="3548"/>
      <c r="B185" s="3579"/>
      <c r="C185" s="3564"/>
      <c r="D185" s="3436"/>
      <c r="E185" s="2777" t="s">
        <v>3645</v>
      </c>
      <c r="F185" s="2777" t="s">
        <v>3646</v>
      </c>
      <c r="G185" s="1224" t="s">
        <v>3647</v>
      </c>
      <c r="H185" s="1225" t="s">
        <v>3648</v>
      </c>
      <c r="I185" s="1756" t="str">
        <f t="shared" si="66"/>
        <v>5-DaHall1-PDU-21-50-10</v>
      </c>
      <c r="J185" s="1772" t="str">
        <f t="shared" si="58"/>
        <v>5-DaHall1-PDU-22-50-10</v>
      </c>
      <c r="K185" s="1773">
        <v>220</v>
      </c>
      <c r="L185" s="1774">
        <v>50</v>
      </c>
      <c r="M185" s="2386" t="s">
        <v>6545</v>
      </c>
      <c r="N185" s="1760">
        <v>10</v>
      </c>
      <c r="O185" s="1775">
        <v>220</v>
      </c>
      <c r="P185" s="1776">
        <v>50</v>
      </c>
      <c r="Q185" s="2404" t="s">
        <v>6546</v>
      </c>
      <c r="R185" s="1777">
        <v>10</v>
      </c>
      <c r="S185" s="1226" t="s">
        <v>3541</v>
      </c>
      <c r="T185" s="1227" t="s">
        <v>3542</v>
      </c>
      <c r="U185" s="1228" t="s">
        <v>3543</v>
      </c>
      <c r="V185" s="1229" t="s">
        <v>3544</v>
      </c>
      <c r="W185" s="3566"/>
      <c r="X185" s="3568"/>
      <c r="Y185" s="1230">
        <f>SUM('5층_부하량(월간_AVG)'!N627:P627)</f>
        <v>0</v>
      </c>
      <c r="Z185" s="1230">
        <f>SUM('5층_부하량(월간_AVG)'!N643:P643)</f>
        <v>0</v>
      </c>
      <c r="AA185" s="3569"/>
      <c r="AB185" s="2770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1099.9000000000001</v>
      </c>
      <c r="AC185" s="2732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1150.9000000000001</v>
      </c>
      <c r="AD185" s="3570"/>
      <c r="AE185" s="2776"/>
      <c r="AF185"/>
      <c r="AG185" s="2367">
        <f t="shared" si="46"/>
        <v>0</v>
      </c>
      <c r="AH185" s="2367">
        <f t="shared" si="47"/>
        <v>0</v>
      </c>
      <c r="AI185" s="123" t="str">
        <f t="shared" si="43"/>
        <v>무부하 랙</v>
      </c>
      <c r="AJ185" t="str">
        <f t="shared" si="44"/>
        <v/>
      </c>
      <c r="AK185" t="str">
        <f t="shared" si="45"/>
        <v/>
      </c>
      <c r="AP185" s="123"/>
      <c r="AQ185" s="123"/>
      <c r="AR185" s="123"/>
      <c r="AS185" s="3084"/>
      <c r="AT185" s="123"/>
      <c r="AU185" s="123"/>
      <c r="AV185" s="3092"/>
      <c r="AW185" s="3086"/>
      <c r="AX185" s="3087"/>
      <c r="AY185" s="3088"/>
      <c r="AZ185" s="3089"/>
      <c r="BA185" s="3090"/>
      <c r="BB185" s="1"/>
    </row>
    <row r="186" spans="1:54" s="350" customFormat="1" ht="52.2">
      <c r="A186" s="3571" t="s">
        <v>1302</v>
      </c>
      <c r="B186" s="3578" t="s">
        <v>3631</v>
      </c>
      <c r="C186" s="3564" t="s">
        <v>3546</v>
      </c>
      <c r="D186" s="3436">
        <v>13</v>
      </c>
      <c r="E186" s="2781" t="s">
        <v>3632</v>
      </c>
      <c r="F186" s="1246" t="s">
        <v>3633</v>
      </c>
      <c r="G186" s="1247" t="s">
        <v>3634</v>
      </c>
      <c r="H186" s="1248" t="s">
        <v>3635</v>
      </c>
      <c r="I186" s="1778" t="str">
        <f t="shared" si="66"/>
        <v>5-DaHall1-PDU-19-50-8</v>
      </c>
      <c r="J186" s="1779" t="str">
        <f t="shared" si="58"/>
        <v>5-DaHall1-PDU-20-50-8</v>
      </c>
      <c r="K186" s="1780">
        <v>220</v>
      </c>
      <c r="L186" s="1781">
        <v>50</v>
      </c>
      <c r="M186" s="2388" t="s">
        <v>6544</v>
      </c>
      <c r="N186" s="1782">
        <v>8</v>
      </c>
      <c r="O186" s="1783">
        <v>220</v>
      </c>
      <c r="P186" s="1784">
        <v>50</v>
      </c>
      <c r="Q186" s="2407" t="s">
        <v>6547</v>
      </c>
      <c r="R186" s="1785">
        <v>8</v>
      </c>
      <c r="S186" s="1249" t="s">
        <v>3533</v>
      </c>
      <c r="T186" s="1250" t="s">
        <v>3534</v>
      </c>
      <c r="U186" s="1251" t="s">
        <v>3535</v>
      </c>
      <c r="V186" s="1252" t="s">
        <v>3536</v>
      </c>
      <c r="W186" s="3565" t="s">
        <v>2484</v>
      </c>
      <c r="X186" s="3567" t="s">
        <v>2485</v>
      </c>
      <c r="Y186" s="1253">
        <f>SUM('5층_부하량(월간_AVG)'!N594:P594)</f>
        <v>0</v>
      </c>
      <c r="Z186" s="1253">
        <f>SUM('5층_부하량(월간_AVG)'!N610:P610)</f>
        <v>0</v>
      </c>
      <c r="AA186" s="3584">
        <f t="shared" ref="AA186" si="75">SUM(Y186:Z187)</f>
        <v>0</v>
      </c>
      <c r="AB186" s="2783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770.1</v>
      </c>
      <c r="AC186" s="2732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786.6</v>
      </c>
      <c r="AD186" s="3575">
        <f t="shared" ref="AD186" si="76">SUM(AB186:AC187)</f>
        <v>3292.2</v>
      </c>
      <c r="AE186" s="2778"/>
      <c r="AF186"/>
      <c r="AG186" s="2367">
        <f t="shared" si="46"/>
        <v>4.4249999999999998</v>
      </c>
      <c r="AH186" s="2367">
        <f t="shared" si="47"/>
        <v>8.5749999999999993</v>
      </c>
      <c r="AI186" s="123" t="str">
        <f t="shared" si="43"/>
        <v>적정함</v>
      </c>
      <c r="AJ186" t="str">
        <f t="shared" si="44"/>
        <v/>
      </c>
      <c r="AK186" t="str">
        <f t="shared" si="45"/>
        <v/>
      </c>
      <c r="AP186" s="123"/>
      <c r="AQ186" s="123"/>
      <c r="AR186" s="123"/>
      <c r="AS186" s="3084"/>
      <c r="AT186" s="123"/>
      <c r="AU186" s="123"/>
      <c r="AV186" s="3092"/>
      <c r="AW186" s="3086"/>
      <c r="AX186" s="3087"/>
      <c r="AY186" s="3088"/>
      <c r="AZ186" s="3089"/>
      <c r="BA186" s="3090"/>
      <c r="BB186" s="1"/>
    </row>
    <row r="187" spans="1:54" s="350" customFormat="1" ht="52.2">
      <c r="A187" s="3572"/>
      <c r="B187" s="3583"/>
      <c r="C187" s="3564"/>
      <c r="D187" s="3436"/>
      <c r="E187" s="2782" t="s">
        <v>3636</v>
      </c>
      <c r="F187" s="2782" t="s">
        <v>3637</v>
      </c>
      <c r="G187" s="1254" t="s">
        <v>3638</v>
      </c>
      <c r="H187" s="1255" t="s">
        <v>3639</v>
      </c>
      <c r="I187" s="1786" t="str">
        <f t="shared" si="66"/>
        <v>5-DaHall1-PDU-21-50-8</v>
      </c>
      <c r="J187" s="1757" t="str">
        <f t="shared" si="58"/>
        <v>5-DaHall1-PDU-22-50-8</v>
      </c>
      <c r="K187" s="1758">
        <v>220</v>
      </c>
      <c r="L187" s="1759">
        <v>50</v>
      </c>
      <c r="M187" s="2389" t="s">
        <v>6545</v>
      </c>
      <c r="N187" s="1787">
        <v>8</v>
      </c>
      <c r="O187" s="1761">
        <v>220</v>
      </c>
      <c r="P187" s="1762">
        <v>50</v>
      </c>
      <c r="Q187" s="2403" t="s">
        <v>6546</v>
      </c>
      <c r="R187" s="1763">
        <v>8</v>
      </c>
      <c r="S187" s="1256" t="s">
        <v>3541</v>
      </c>
      <c r="T187" s="1257" t="s">
        <v>3542</v>
      </c>
      <c r="U187" s="1258" t="s">
        <v>3543</v>
      </c>
      <c r="V187" s="1259" t="s">
        <v>3544</v>
      </c>
      <c r="W187" s="3573"/>
      <c r="X187" s="3574"/>
      <c r="Y187" s="1260">
        <f>SUM('5층_부하량(월간_AVG)'!N626:P626)</f>
        <v>0</v>
      </c>
      <c r="Z187" s="1260">
        <f>SUM('5층_부하량(월간_AVG)'!N642:P642)</f>
        <v>0</v>
      </c>
      <c r="AA187" s="3584"/>
      <c r="AB187" s="2770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840.5</v>
      </c>
      <c r="AC187" s="2732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895</v>
      </c>
      <c r="AD187" s="3570"/>
      <c r="AE187" s="2779"/>
      <c r="AF187"/>
      <c r="AG187" s="2367">
        <f t="shared" si="46"/>
        <v>0</v>
      </c>
      <c r="AH187" s="2367">
        <f t="shared" si="47"/>
        <v>0</v>
      </c>
      <c r="AI187" s="123" t="str">
        <f t="shared" si="43"/>
        <v>무부하 랙</v>
      </c>
      <c r="AJ187" t="str">
        <f t="shared" si="44"/>
        <v/>
      </c>
      <c r="AK187" t="str">
        <f t="shared" si="45"/>
        <v/>
      </c>
      <c r="AP187" s="123"/>
      <c r="AQ187" s="123"/>
      <c r="AR187" s="123"/>
      <c r="AS187" s="3084"/>
      <c r="AT187" s="123"/>
      <c r="AU187" s="123"/>
      <c r="AV187" s="3092"/>
      <c r="AW187" s="3086"/>
      <c r="AX187" s="3087"/>
      <c r="AY187" s="3088"/>
      <c r="AZ187" s="3089"/>
      <c r="BA187" s="3090"/>
      <c r="BB187" s="1"/>
    </row>
    <row r="188" spans="1:54" s="350" customFormat="1" ht="34.799999999999997">
      <c r="A188" s="3548" t="s">
        <v>2942</v>
      </c>
      <c r="B188" s="3583" t="s">
        <v>8727</v>
      </c>
      <c r="C188" s="3564" t="s">
        <v>3546</v>
      </c>
      <c r="D188" s="3580">
        <v>13</v>
      </c>
      <c r="E188" s="2784"/>
      <c r="F188" s="2784"/>
      <c r="G188" s="2785"/>
      <c r="H188" s="2786"/>
      <c r="I188" s="1764" t="str">
        <f t="shared" si="66"/>
        <v>5-DaHall1-PDU-19-50-24</v>
      </c>
      <c r="J188" s="1765" t="str">
        <f t="shared" si="58"/>
        <v>5-DaHall1-PDU-20-50-24</v>
      </c>
      <c r="K188" s="1766">
        <v>220</v>
      </c>
      <c r="L188" s="1767">
        <v>50</v>
      </c>
      <c r="M188" s="2387" t="s">
        <v>6544</v>
      </c>
      <c r="N188" s="1768">
        <v>24</v>
      </c>
      <c r="O188" s="1769">
        <v>220</v>
      </c>
      <c r="P188" s="1770">
        <v>50</v>
      </c>
      <c r="Q188" s="2406" t="s">
        <v>6547</v>
      </c>
      <c r="R188" s="1771">
        <v>24</v>
      </c>
      <c r="S188" s="1234" t="s">
        <v>3623</v>
      </c>
      <c r="T188" s="1235" t="s">
        <v>3624</v>
      </c>
      <c r="U188" s="1236" t="s">
        <v>3535</v>
      </c>
      <c r="V188" s="1237" t="s">
        <v>3536</v>
      </c>
      <c r="W188" s="3576" t="s">
        <v>2484</v>
      </c>
      <c r="X188" s="3577" t="s">
        <v>2485</v>
      </c>
      <c r="Y188" s="1238">
        <f>SUM('5층_부하량(월간_AVG)'!N602:P602)</f>
        <v>0</v>
      </c>
      <c r="Z188" s="1238">
        <f>SUM('5층_부하량(월간_AVG)'!N618:P618)</f>
        <v>0</v>
      </c>
      <c r="AA188" s="3585">
        <f t="shared" ref="AA188" si="77">SUM(Y188:Z189)</f>
        <v>0</v>
      </c>
      <c r="AB188" s="2770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8" s="2732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8" s="3575">
        <f t="shared" ref="AD188" si="78">SUM(AB188:AC189)</f>
        <v>0</v>
      </c>
      <c r="AE188" s="3581" t="s">
        <v>8726</v>
      </c>
      <c r="AF188"/>
      <c r="AG188" s="2367">
        <f t="shared" si="46"/>
        <v>0</v>
      </c>
      <c r="AH188" s="2367">
        <f t="shared" si="47"/>
        <v>13</v>
      </c>
      <c r="AI188" s="123" t="str">
        <f t="shared" si="43"/>
        <v>무부하 랙</v>
      </c>
      <c r="AJ188" t="str">
        <f t="shared" si="44"/>
        <v/>
      </c>
      <c r="AK188" t="str">
        <f t="shared" si="45"/>
        <v/>
      </c>
      <c r="AP188" s="123"/>
      <c r="AQ188" s="123"/>
      <c r="AR188" s="123"/>
      <c r="AS188" s="3084"/>
      <c r="AT188" s="123"/>
      <c r="AU188" s="123"/>
      <c r="AV188" s="3092"/>
      <c r="AW188" s="3086"/>
      <c r="AX188" s="3087"/>
      <c r="AY188" s="3088"/>
      <c r="AZ188" s="3089"/>
      <c r="BA188" s="3090"/>
      <c r="BB188" s="1"/>
    </row>
    <row r="189" spans="1:54" s="350" customFormat="1" ht="34.799999999999997">
      <c r="A189" s="3548"/>
      <c r="B189" s="3578"/>
      <c r="C189" s="3564"/>
      <c r="D189" s="3580"/>
      <c r="E189" s="2787"/>
      <c r="F189" s="2787"/>
      <c r="G189" s="2788"/>
      <c r="H189" s="2789"/>
      <c r="I189" s="1756" t="str">
        <f t="shared" si="66"/>
        <v>5-DaHall1-PDU-21-50-24</v>
      </c>
      <c r="J189" s="1772" t="str">
        <f t="shared" si="58"/>
        <v>5-DaHall1-PDU-22-50-24</v>
      </c>
      <c r="K189" s="1773">
        <v>220</v>
      </c>
      <c r="L189" s="1774">
        <v>50</v>
      </c>
      <c r="M189" s="2386" t="s">
        <v>6545</v>
      </c>
      <c r="N189" s="1760">
        <v>24</v>
      </c>
      <c r="O189" s="1775">
        <v>220</v>
      </c>
      <c r="P189" s="1776">
        <v>50</v>
      </c>
      <c r="Q189" s="2404" t="s">
        <v>6546</v>
      </c>
      <c r="R189" s="1777">
        <v>24</v>
      </c>
      <c r="S189" s="1226" t="s">
        <v>3629</v>
      </c>
      <c r="T189" s="1227" t="s">
        <v>3630</v>
      </c>
      <c r="U189" s="1228" t="s">
        <v>3543</v>
      </c>
      <c r="V189" s="1229" t="s">
        <v>3544</v>
      </c>
      <c r="W189" s="3566"/>
      <c r="X189" s="3568"/>
      <c r="Y189" s="1230">
        <f>SUM('5층_부하량(월간_AVG)'!N634:P634)</f>
        <v>0</v>
      </c>
      <c r="Z189" s="1230">
        <f>SUM('5층_부하량(월간_AVG)'!N650:P650)</f>
        <v>0</v>
      </c>
      <c r="AA189" s="3586"/>
      <c r="AB189" s="2770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9" s="2732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9" s="3570"/>
      <c r="AE189" s="3582"/>
      <c r="AF189"/>
      <c r="AG189" s="2367">
        <f t="shared" si="46"/>
        <v>0</v>
      </c>
      <c r="AH189" s="2367">
        <f t="shared" si="47"/>
        <v>0</v>
      </c>
      <c r="AI189" s="123" t="str">
        <f t="shared" si="43"/>
        <v>무부하 랙</v>
      </c>
      <c r="AJ189" t="str">
        <f t="shared" si="44"/>
        <v/>
      </c>
      <c r="AK189" t="str">
        <f t="shared" si="45"/>
        <v/>
      </c>
      <c r="AP189" s="123"/>
      <c r="AQ189" s="123"/>
      <c r="AR189" s="123"/>
      <c r="AS189" s="3084"/>
      <c r="AT189" s="123"/>
      <c r="AU189" s="123"/>
      <c r="AV189" s="3092"/>
      <c r="AW189" s="3086"/>
      <c r="AX189" s="3087"/>
      <c r="AY189" s="3088"/>
      <c r="AZ189" s="3089"/>
      <c r="BA189" s="3090"/>
      <c r="BB189" s="1"/>
    </row>
    <row r="190" spans="1:54" s="350" customFormat="1" ht="52.2">
      <c r="A190" s="3548" t="s">
        <v>2948</v>
      </c>
      <c r="B190" s="3583" t="s">
        <v>3618</v>
      </c>
      <c r="C190" s="3564" t="s">
        <v>3546</v>
      </c>
      <c r="D190" s="3436">
        <v>13</v>
      </c>
      <c r="E190" s="2769" t="s">
        <v>3619</v>
      </c>
      <c r="F190" s="1231" t="s">
        <v>3620</v>
      </c>
      <c r="G190" s="1232" t="s">
        <v>3621</v>
      </c>
      <c r="H190" s="1233" t="s">
        <v>3622</v>
      </c>
      <c r="I190" s="1764" t="str">
        <f t="shared" si="66"/>
        <v>5-DaHall1-PDU-19-30-6</v>
      </c>
      <c r="J190" s="1765" t="str">
        <f t="shared" si="58"/>
        <v>5-DaHall1-PDU-20-30-6</v>
      </c>
      <c r="K190" s="1766">
        <v>220</v>
      </c>
      <c r="L190" s="1767">
        <v>30</v>
      </c>
      <c r="M190" s="2387" t="s">
        <v>6544</v>
      </c>
      <c r="N190" s="1768">
        <v>6</v>
      </c>
      <c r="O190" s="1769">
        <v>220</v>
      </c>
      <c r="P190" s="1770">
        <v>30</v>
      </c>
      <c r="Q190" s="2406" t="s">
        <v>6547</v>
      </c>
      <c r="R190" s="1771">
        <v>6</v>
      </c>
      <c r="S190" s="1234" t="s">
        <v>3623</v>
      </c>
      <c r="T190" s="1235" t="s">
        <v>3624</v>
      </c>
      <c r="U190" s="1236" t="s">
        <v>3535</v>
      </c>
      <c r="V190" s="1237" t="s">
        <v>3536</v>
      </c>
      <c r="W190" s="3576" t="s">
        <v>2484</v>
      </c>
      <c r="X190" s="3577" t="s">
        <v>2485</v>
      </c>
      <c r="Y190" s="1238">
        <f>SUM('5층_부하량(월간_AVG)'!N593:P593)</f>
        <v>0</v>
      </c>
      <c r="Z190" s="1238">
        <f>SUM('5층_부하량(월간_AVG)'!N609:P609)</f>
        <v>0</v>
      </c>
      <c r="AA190" s="3558">
        <f t="shared" ref="AA190" si="79">SUM(Y190:Z191)</f>
        <v>0</v>
      </c>
      <c r="AB190" s="2770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456.3</v>
      </c>
      <c r="AC190" s="2732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265.5</v>
      </c>
      <c r="AD190" s="3575">
        <f t="shared" ref="AD190" si="80">SUM(AB190:AC191)</f>
        <v>1751.5</v>
      </c>
      <c r="AE190" s="2771"/>
      <c r="AF190"/>
      <c r="AG190" s="2367">
        <f t="shared" si="46"/>
        <v>2.3541666666666665</v>
      </c>
      <c r="AH190" s="2367">
        <f t="shared" si="47"/>
        <v>10.645833333333334</v>
      </c>
      <c r="AI190" s="123" t="str">
        <f t="shared" si="43"/>
        <v>적정함</v>
      </c>
      <c r="AJ190" t="str">
        <f t="shared" si="44"/>
        <v/>
      </c>
      <c r="AK190" t="str">
        <f t="shared" si="45"/>
        <v/>
      </c>
      <c r="AP190" s="123"/>
      <c r="AQ190" s="123"/>
      <c r="AR190" s="123"/>
      <c r="AS190" s="3084"/>
      <c r="AT190" s="123"/>
      <c r="AU190" s="123"/>
      <c r="AV190" s="3092"/>
      <c r="AW190" s="3086"/>
      <c r="AX190" s="3087"/>
      <c r="AY190" s="3088"/>
      <c r="AZ190" s="3089"/>
      <c r="BA190" s="3090"/>
      <c r="BB190" s="1"/>
    </row>
    <row r="191" spans="1:54" s="350" customFormat="1" ht="52.2">
      <c r="A191" s="3548"/>
      <c r="B191" s="3578"/>
      <c r="C191" s="3564"/>
      <c r="D191" s="3436"/>
      <c r="E191" s="2777" t="s">
        <v>3625</v>
      </c>
      <c r="F191" s="2777" t="s">
        <v>3626</v>
      </c>
      <c r="G191" s="1224" t="s">
        <v>3627</v>
      </c>
      <c r="H191" s="1225" t="s">
        <v>3628</v>
      </c>
      <c r="I191" s="1756" t="str">
        <f t="shared" si="66"/>
        <v>5-DaHall1-PDU-21-30-6</v>
      </c>
      <c r="J191" s="1772" t="str">
        <f t="shared" si="58"/>
        <v>5-DaHall1-PDU-22-30-6</v>
      </c>
      <c r="K191" s="1773">
        <v>220</v>
      </c>
      <c r="L191" s="1774">
        <v>30</v>
      </c>
      <c r="M191" s="2386" t="s">
        <v>6545</v>
      </c>
      <c r="N191" s="1760">
        <v>6</v>
      </c>
      <c r="O191" s="1775">
        <v>220</v>
      </c>
      <c r="P191" s="1776">
        <v>30</v>
      </c>
      <c r="Q191" s="2404" t="s">
        <v>6546</v>
      </c>
      <c r="R191" s="1777">
        <v>6</v>
      </c>
      <c r="S191" s="1226" t="s">
        <v>3629</v>
      </c>
      <c r="T191" s="1227" t="s">
        <v>3630</v>
      </c>
      <c r="U191" s="1228" t="s">
        <v>3543</v>
      </c>
      <c r="V191" s="1229" t="s">
        <v>3544</v>
      </c>
      <c r="W191" s="3566"/>
      <c r="X191" s="3568"/>
      <c r="Y191" s="1230">
        <f>SUM('5층_부하량(월간_AVG)'!N625:P625)</f>
        <v>0</v>
      </c>
      <c r="Z191" s="1230">
        <f>SUM('5층_부하량(월간_AVG)'!N641:P641)</f>
        <v>0</v>
      </c>
      <c r="AA191" s="3569"/>
      <c r="AB191" s="2770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673.7</v>
      </c>
      <c r="AC191" s="2732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356</v>
      </c>
      <c r="AD191" s="3570"/>
      <c r="AE191" s="2776"/>
      <c r="AF191"/>
      <c r="AG191" s="2367">
        <f t="shared" si="46"/>
        <v>0</v>
      </c>
      <c r="AH191" s="2367">
        <f t="shared" si="47"/>
        <v>0</v>
      </c>
      <c r="AI191" s="123" t="str">
        <f t="shared" si="43"/>
        <v>무부하 랙</v>
      </c>
      <c r="AJ191" t="str">
        <f t="shared" si="44"/>
        <v/>
      </c>
      <c r="AK191" t="str">
        <f t="shared" si="45"/>
        <v/>
      </c>
      <c r="AP191" s="123"/>
      <c r="AQ191" s="123"/>
      <c r="AR191" s="123"/>
      <c r="AS191" s="3084"/>
      <c r="AT191" s="123"/>
      <c r="AU191" s="123"/>
      <c r="AV191" s="3092"/>
      <c r="AW191" s="3086"/>
      <c r="AX191" s="3087"/>
      <c r="AY191" s="3088"/>
      <c r="AZ191" s="3089"/>
      <c r="BA191" s="3090"/>
      <c r="BB191" s="1"/>
    </row>
    <row r="192" spans="1:54" s="350" customFormat="1" ht="52.2">
      <c r="A192" s="3548" t="s">
        <v>2954</v>
      </c>
      <c r="B192" s="3583" t="s">
        <v>3609</v>
      </c>
      <c r="C192" s="3564" t="s">
        <v>3546</v>
      </c>
      <c r="D192" s="3436">
        <v>13</v>
      </c>
      <c r="E192" s="2769" t="s">
        <v>3610</v>
      </c>
      <c r="F192" s="1231" t="s">
        <v>3611</v>
      </c>
      <c r="G192" s="1247" t="s">
        <v>3612</v>
      </c>
      <c r="H192" s="1248" t="s">
        <v>3613</v>
      </c>
      <c r="I192" s="1778" t="str">
        <f t="shared" si="66"/>
        <v>5-DaHall1-PDU-19-50-4</v>
      </c>
      <c r="J192" s="1779" t="str">
        <f t="shared" si="58"/>
        <v>5-DaHall1-PDU-20-50-4</v>
      </c>
      <c r="K192" s="1780">
        <v>220</v>
      </c>
      <c r="L192" s="1781">
        <v>50</v>
      </c>
      <c r="M192" s="2388" t="s">
        <v>6544</v>
      </c>
      <c r="N192" s="1782">
        <v>4</v>
      </c>
      <c r="O192" s="1783">
        <v>220</v>
      </c>
      <c r="P192" s="1784">
        <v>50</v>
      </c>
      <c r="Q192" s="2407" t="s">
        <v>6547</v>
      </c>
      <c r="R192" s="1785">
        <v>4</v>
      </c>
      <c r="S192" s="1249" t="s">
        <v>3533</v>
      </c>
      <c r="T192" s="1250" t="s">
        <v>3534</v>
      </c>
      <c r="U192" s="1236" t="s">
        <v>3535</v>
      </c>
      <c r="V192" s="1237" t="s">
        <v>3536</v>
      </c>
      <c r="W192" s="3576" t="s">
        <v>2484</v>
      </c>
      <c r="X192" s="3577" t="s">
        <v>2485</v>
      </c>
      <c r="Y192" s="1238">
        <f>SUM('5층_부하량(월간_AVG)'!N592:P592)</f>
        <v>0</v>
      </c>
      <c r="Z192" s="1238">
        <f>SUM('5층_부하량(월간_AVG)'!N608:P608)</f>
        <v>0</v>
      </c>
      <c r="AA192" s="3558">
        <f t="shared" ref="AA192" si="81">SUM(Y192:Z193)</f>
        <v>0</v>
      </c>
      <c r="AB192" s="2770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529.4</v>
      </c>
      <c r="AC192" s="2732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503.3</v>
      </c>
      <c r="AD192" s="3575">
        <f t="shared" ref="AD192" si="82">SUM(AB192:AC193)</f>
        <v>2152.6000000000004</v>
      </c>
      <c r="AE192" s="2771"/>
      <c r="AF192"/>
      <c r="AG192" s="2367">
        <f t="shared" si="46"/>
        <v>2.8932795698924738</v>
      </c>
      <c r="AH192" s="2367">
        <f t="shared" si="47"/>
        <v>10.106720430107526</v>
      </c>
      <c r="AI192" s="123" t="str">
        <f t="shared" si="43"/>
        <v>적정함</v>
      </c>
      <c r="AJ192" t="str">
        <f t="shared" si="44"/>
        <v/>
      </c>
      <c r="AK192" t="str">
        <f t="shared" si="45"/>
        <v/>
      </c>
      <c r="AP192" s="123"/>
      <c r="AQ192" s="123"/>
      <c r="AR192" s="123"/>
      <c r="AS192" s="3084"/>
      <c r="AT192" s="123"/>
      <c r="AU192" s="123"/>
      <c r="AV192" s="3092"/>
      <c r="AW192" s="3086"/>
      <c r="AX192" s="3087"/>
      <c r="AY192" s="3088"/>
      <c r="AZ192" s="3089"/>
      <c r="BA192" s="3090"/>
      <c r="BB192" s="1"/>
    </row>
    <row r="193" spans="1:54" s="350" customFormat="1" ht="52.2">
      <c r="A193" s="3548"/>
      <c r="B193" s="3578"/>
      <c r="C193" s="3564"/>
      <c r="D193" s="3436"/>
      <c r="E193" s="2777" t="s">
        <v>3614</v>
      </c>
      <c r="F193" s="2777" t="s">
        <v>3615</v>
      </c>
      <c r="G193" s="1254" t="s">
        <v>3616</v>
      </c>
      <c r="H193" s="1255" t="s">
        <v>3617</v>
      </c>
      <c r="I193" s="1786" t="str">
        <f t="shared" si="66"/>
        <v>5-DaHall1-PDU-21-50-4</v>
      </c>
      <c r="J193" s="1757" t="str">
        <f t="shared" si="58"/>
        <v>5-DaHall1-PDU-22-50-4</v>
      </c>
      <c r="K193" s="1758">
        <v>220</v>
      </c>
      <c r="L193" s="1759">
        <v>50</v>
      </c>
      <c r="M193" s="2389" t="s">
        <v>6545</v>
      </c>
      <c r="N193" s="1787">
        <v>4</v>
      </c>
      <c r="O193" s="1761">
        <v>220</v>
      </c>
      <c r="P193" s="1762">
        <v>50</v>
      </c>
      <c r="Q193" s="2403" t="s">
        <v>6546</v>
      </c>
      <c r="R193" s="1763">
        <v>4</v>
      </c>
      <c r="S193" s="1226" t="s">
        <v>3541</v>
      </c>
      <c r="T193" s="1227" t="s">
        <v>3542</v>
      </c>
      <c r="U193" s="1228" t="s">
        <v>3543</v>
      </c>
      <c r="V193" s="1229" t="s">
        <v>3544</v>
      </c>
      <c r="W193" s="3566"/>
      <c r="X193" s="3568"/>
      <c r="Y193" s="1230">
        <f>SUM('5층_부하량(월간_AVG)'!N624:P624)</f>
        <v>0</v>
      </c>
      <c r="Z193" s="1230">
        <f>SUM('5층_부하량(월간_AVG)'!N640:P640)</f>
        <v>0</v>
      </c>
      <c r="AA193" s="3569"/>
      <c r="AB193" s="2770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569.70000000000005</v>
      </c>
      <c r="AC193" s="2732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550.20000000000005</v>
      </c>
      <c r="AD193" s="3570"/>
      <c r="AE193" s="2776"/>
      <c r="AF193"/>
      <c r="AG193" s="2367">
        <f t="shared" si="46"/>
        <v>0</v>
      </c>
      <c r="AH193" s="2367">
        <f t="shared" si="47"/>
        <v>0</v>
      </c>
      <c r="AI193" s="123" t="str">
        <f t="shared" si="43"/>
        <v>무부하 랙</v>
      </c>
      <c r="AJ193" t="str">
        <f t="shared" si="44"/>
        <v/>
      </c>
      <c r="AK193" t="str">
        <f t="shared" si="45"/>
        <v/>
      </c>
      <c r="AP193" s="123"/>
      <c r="AQ193" s="123"/>
      <c r="AR193" s="123"/>
      <c r="AS193" s="3084"/>
      <c r="AT193" s="123"/>
      <c r="AU193" s="123"/>
      <c r="AV193" s="3092"/>
      <c r="AW193" s="3086"/>
      <c r="AX193" s="3087"/>
      <c r="AY193" s="3088"/>
      <c r="AZ193" s="3089"/>
      <c r="BA193" s="3090"/>
      <c r="BB193" s="1"/>
    </row>
    <row r="194" spans="1:54" s="350" customFormat="1" ht="52.2">
      <c r="A194" s="3548" t="s">
        <v>2960</v>
      </c>
      <c r="B194" s="3583" t="s">
        <v>3600</v>
      </c>
      <c r="C194" s="3564" t="s">
        <v>3546</v>
      </c>
      <c r="D194" s="3436">
        <v>13</v>
      </c>
      <c r="E194" s="2769" t="s">
        <v>3601</v>
      </c>
      <c r="F194" s="1231" t="s">
        <v>3602</v>
      </c>
      <c r="G194" s="1247" t="s">
        <v>3603</v>
      </c>
      <c r="H194" s="1248" t="s">
        <v>3604</v>
      </c>
      <c r="I194" s="1778" t="str">
        <f t="shared" si="66"/>
        <v>5-DaHall1-PDU-19-50-2</v>
      </c>
      <c r="J194" s="1779" t="str">
        <f t="shared" si="58"/>
        <v>5-DaHall1-PDU-20-50-2</v>
      </c>
      <c r="K194" s="1780">
        <v>220</v>
      </c>
      <c r="L194" s="1781">
        <v>50</v>
      </c>
      <c r="M194" s="2388" t="s">
        <v>6544</v>
      </c>
      <c r="N194" s="1782">
        <v>2</v>
      </c>
      <c r="O194" s="1783">
        <v>220</v>
      </c>
      <c r="P194" s="1784">
        <v>50</v>
      </c>
      <c r="Q194" s="2407" t="s">
        <v>6547</v>
      </c>
      <c r="R194" s="1785">
        <v>2</v>
      </c>
      <c r="S194" s="1249" t="s">
        <v>3533</v>
      </c>
      <c r="T194" s="1250" t="s">
        <v>3534</v>
      </c>
      <c r="U194" s="1236" t="s">
        <v>3535</v>
      </c>
      <c r="V194" s="1237" t="s">
        <v>3536</v>
      </c>
      <c r="W194" s="3576" t="s">
        <v>2484</v>
      </c>
      <c r="X194" s="3577" t="s">
        <v>2485</v>
      </c>
      <c r="Y194" s="1238">
        <f>SUM('5층_부하량(월간_AVG)'!N591:P591)</f>
        <v>0</v>
      </c>
      <c r="Z194" s="1238">
        <f>SUM('5층_부하량(월간_AVG)'!N607:P607)</f>
        <v>0</v>
      </c>
      <c r="AA194" s="3558">
        <f t="shared" ref="AA194" si="83">SUM(Y194:Z195)</f>
        <v>0</v>
      </c>
      <c r="AB194" s="2770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817.9</v>
      </c>
      <c r="AC194" s="2732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863.7</v>
      </c>
      <c r="AD194" s="3575">
        <f t="shared" ref="AD194" si="84">SUM(AB194:AC195)</f>
        <v>2903.7999999999997</v>
      </c>
      <c r="AE194" s="2771"/>
      <c r="AF194"/>
      <c r="AG194" s="2367">
        <f t="shared" si="46"/>
        <v>3.9029569892473113</v>
      </c>
      <c r="AH194" s="2367">
        <f t="shared" si="47"/>
        <v>9.0970430107526887</v>
      </c>
      <c r="AI194" s="123" t="str">
        <f t="shared" si="43"/>
        <v>적정함</v>
      </c>
      <c r="AJ194" t="str">
        <f t="shared" si="44"/>
        <v/>
      </c>
      <c r="AK194" t="str">
        <f t="shared" si="45"/>
        <v/>
      </c>
      <c r="AP194" s="123"/>
      <c r="AQ194" s="123"/>
      <c r="AR194" s="123"/>
      <c r="AS194" s="3084"/>
      <c r="AT194" s="123"/>
      <c r="AU194" s="123"/>
      <c r="AV194" s="3092"/>
      <c r="AW194" s="3086"/>
      <c r="AX194" s="3087"/>
      <c r="AY194" s="3088"/>
      <c r="AZ194" s="3089"/>
      <c r="BA194" s="3090"/>
      <c r="BB194" s="1"/>
    </row>
    <row r="195" spans="1:54" s="350" customFormat="1" ht="52.2">
      <c r="A195" s="3548"/>
      <c r="B195" s="3578"/>
      <c r="C195" s="3564"/>
      <c r="D195" s="3436"/>
      <c r="E195" s="2777" t="s">
        <v>3605</v>
      </c>
      <c r="F195" s="2777" t="s">
        <v>3606</v>
      </c>
      <c r="G195" s="1224" t="s">
        <v>3607</v>
      </c>
      <c r="H195" s="1225" t="s">
        <v>3608</v>
      </c>
      <c r="I195" s="1756" t="str">
        <f t="shared" si="66"/>
        <v>5-DaHall1-PDU-21-50-2</v>
      </c>
      <c r="J195" s="1772" t="str">
        <f t="shared" si="58"/>
        <v>5-DaHall1-PDU-22-50-2</v>
      </c>
      <c r="K195" s="1773">
        <v>220</v>
      </c>
      <c r="L195" s="1774">
        <v>50</v>
      </c>
      <c r="M195" s="2386" t="s">
        <v>6545</v>
      </c>
      <c r="N195" s="1760">
        <v>2</v>
      </c>
      <c r="O195" s="1775">
        <v>220</v>
      </c>
      <c r="P195" s="1776">
        <v>50</v>
      </c>
      <c r="Q195" s="2404" t="s">
        <v>6546</v>
      </c>
      <c r="R195" s="1777">
        <v>2</v>
      </c>
      <c r="S195" s="1226" t="s">
        <v>3541</v>
      </c>
      <c r="T195" s="1227" t="s">
        <v>3542</v>
      </c>
      <c r="U195" s="1228" t="s">
        <v>3543</v>
      </c>
      <c r="V195" s="1229" t="s">
        <v>3544</v>
      </c>
      <c r="W195" s="3566"/>
      <c r="X195" s="3568"/>
      <c r="Y195" s="1230">
        <f>SUM('5층_부하량(월간_AVG)'!N623:P623)</f>
        <v>0</v>
      </c>
      <c r="Z195" s="1230">
        <f>SUM('5층_부하량(월간_AVG)'!N639:P639)</f>
        <v>0</v>
      </c>
      <c r="AA195" s="3569"/>
      <c r="AB195" s="2770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618.29999999999995</v>
      </c>
      <c r="AC195" s="2732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603.9</v>
      </c>
      <c r="AD195" s="3570"/>
      <c r="AE195" s="2776"/>
      <c r="AF195"/>
      <c r="AG195" s="2367">
        <f t="shared" si="46"/>
        <v>0</v>
      </c>
      <c r="AH195" s="2367">
        <f t="shared" si="47"/>
        <v>0</v>
      </c>
      <c r="AI195" s="123" t="str">
        <f t="shared" si="43"/>
        <v>무부하 랙</v>
      </c>
      <c r="AJ195" t="str">
        <f t="shared" si="44"/>
        <v/>
      </c>
      <c r="AK195" t="str">
        <f t="shared" si="45"/>
        <v/>
      </c>
      <c r="AP195" s="123"/>
      <c r="AQ195" s="123"/>
      <c r="AR195" s="123"/>
      <c r="AS195" s="3084"/>
      <c r="AT195" s="123"/>
      <c r="AU195" s="123"/>
      <c r="AV195" s="3092"/>
      <c r="AW195" s="3086"/>
      <c r="AX195" s="3087"/>
      <c r="AY195" s="3088"/>
      <c r="AZ195" s="3089"/>
      <c r="BA195" s="3090"/>
      <c r="BB195" s="1"/>
    </row>
    <row r="196" spans="1:54" s="350" customFormat="1" ht="52.2">
      <c r="A196" s="3571" t="s">
        <v>2991</v>
      </c>
      <c r="B196" s="3583" t="s">
        <v>3591</v>
      </c>
      <c r="C196" s="3564" t="s">
        <v>3546</v>
      </c>
      <c r="D196" s="3436">
        <v>13</v>
      </c>
      <c r="E196" s="2769" t="s">
        <v>3592</v>
      </c>
      <c r="F196" s="1231" t="s">
        <v>3593</v>
      </c>
      <c r="G196" s="1232" t="s">
        <v>3594</v>
      </c>
      <c r="H196" s="1233" t="s">
        <v>3595</v>
      </c>
      <c r="I196" s="1764" t="str">
        <f t="shared" si="66"/>
        <v>5-DaHall1-PDU-19-50-13</v>
      </c>
      <c r="J196" s="1765" t="str">
        <f t="shared" si="58"/>
        <v>5-DaHall1-PDU-20-50-13</v>
      </c>
      <c r="K196" s="1766">
        <v>220</v>
      </c>
      <c r="L196" s="1767">
        <v>50</v>
      </c>
      <c r="M196" s="2387" t="s">
        <v>6544</v>
      </c>
      <c r="N196" s="1768">
        <v>13</v>
      </c>
      <c r="O196" s="1769">
        <v>220</v>
      </c>
      <c r="P196" s="1770">
        <v>50</v>
      </c>
      <c r="Q196" s="2406" t="s">
        <v>6547</v>
      </c>
      <c r="R196" s="1771">
        <v>13</v>
      </c>
      <c r="S196" s="1249" t="s">
        <v>3533</v>
      </c>
      <c r="T196" s="1250" t="s">
        <v>3534</v>
      </c>
      <c r="U196" s="1251" t="s">
        <v>3535</v>
      </c>
      <c r="V196" s="1252" t="s">
        <v>3536</v>
      </c>
      <c r="W196" s="3565" t="s">
        <v>2484</v>
      </c>
      <c r="X196" s="3567" t="s">
        <v>2485</v>
      </c>
      <c r="Y196" s="1238">
        <f>SUM('5층_부하량(월간_AVG)'!D597:F597)</f>
        <v>0</v>
      </c>
      <c r="Z196" s="1238">
        <f>SUM('5층_부하량(월간_AVG)'!D613:F613)</f>
        <v>0</v>
      </c>
      <c r="AA196" s="3558">
        <f>SUM(Y196:Z197)</f>
        <v>0</v>
      </c>
      <c r="AB196" s="2770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851.2</v>
      </c>
      <c r="AC196" s="2732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786.6</v>
      </c>
      <c r="AD196" s="3575">
        <f t="shared" ref="AD196" si="85">SUM(AB196:AC197)</f>
        <v>3457.5</v>
      </c>
      <c r="AE196" s="2778"/>
      <c r="AF196"/>
      <c r="AG196" s="2367">
        <f t="shared" si="46"/>
        <v>4.647177419354839</v>
      </c>
      <c r="AH196" s="2367">
        <f t="shared" si="47"/>
        <v>8.3528225806451601</v>
      </c>
      <c r="AI196" s="123" t="str">
        <f t="shared" si="43"/>
        <v>적정함</v>
      </c>
      <c r="AJ196" t="str">
        <f t="shared" si="44"/>
        <v/>
      </c>
      <c r="AK196" t="str">
        <f t="shared" si="45"/>
        <v/>
      </c>
      <c r="AP196" s="123"/>
      <c r="AQ196" s="123"/>
      <c r="AR196" s="123"/>
      <c r="AS196" s="3084"/>
      <c r="AT196" s="123"/>
      <c r="AU196" s="123"/>
      <c r="AV196" s="3092"/>
      <c r="AW196" s="3086"/>
      <c r="AX196" s="3087"/>
      <c r="AY196" s="3088"/>
      <c r="AZ196" s="3089"/>
      <c r="BA196" s="3090"/>
      <c r="BB196" s="1"/>
    </row>
    <row r="197" spans="1:54" s="350" customFormat="1" ht="52.2">
      <c r="A197" s="3572"/>
      <c r="B197" s="3578"/>
      <c r="C197" s="3564"/>
      <c r="D197" s="3436"/>
      <c r="E197" s="2777" t="s">
        <v>3596</v>
      </c>
      <c r="F197" s="2777" t="s">
        <v>3597</v>
      </c>
      <c r="G197" s="1224" t="s">
        <v>3598</v>
      </c>
      <c r="H197" s="1225" t="s">
        <v>3599</v>
      </c>
      <c r="I197" s="1756" t="str">
        <f t="shared" si="66"/>
        <v>5-DaHall1-PDU-21-50-13</v>
      </c>
      <c r="J197" s="1772" t="str">
        <f t="shared" si="58"/>
        <v>5-DaHall1-PDU-22-50-13</v>
      </c>
      <c r="K197" s="1773">
        <v>220</v>
      </c>
      <c r="L197" s="1774">
        <v>50</v>
      </c>
      <c r="M197" s="2386" t="s">
        <v>6545</v>
      </c>
      <c r="N197" s="1760">
        <v>13</v>
      </c>
      <c r="O197" s="1775">
        <v>220</v>
      </c>
      <c r="P197" s="1776">
        <v>50</v>
      </c>
      <c r="Q197" s="2404" t="s">
        <v>6546</v>
      </c>
      <c r="R197" s="1777">
        <v>13</v>
      </c>
      <c r="S197" s="1226" t="s">
        <v>3541</v>
      </c>
      <c r="T197" s="1227" t="s">
        <v>3542</v>
      </c>
      <c r="U197" s="1258" t="s">
        <v>3543</v>
      </c>
      <c r="V197" s="1259" t="s">
        <v>3544</v>
      </c>
      <c r="W197" s="3573"/>
      <c r="X197" s="3574"/>
      <c r="Y197" s="1230">
        <f>SUM('5층_부하량(월간_AVG)'!D629:F629)</f>
        <v>0</v>
      </c>
      <c r="Z197" s="1230">
        <f>SUM('5층_부하량(월간_AVG)'!D645:F645)</f>
        <v>0</v>
      </c>
      <c r="AA197" s="3569"/>
      <c r="AB197" s="2770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949.1</v>
      </c>
      <c r="AC197" s="2732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870.6</v>
      </c>
      <c r="AD197" s="3570"/>
      <c r="AE197" s="2779"/>
      <c r="AF197"/>
      <c r="AG197" s="2367">
        <f t="shared" si="46"/>
        <v>0</v>
      </c>
      <c r="AH197" s="2367">
        <f t="shared" si="47"/>
        <v>0</v>
      </c>
      <c r="AI197" s="123" t="str">
        <f t="shared" si="43"/>
        <v>무부하 랙</v>
      </c>
      <c r="AJ197" t="str">
        <f t="shared" si="44"/>
        <v/>
      </c>
      <c r="AK197" t="str">
        <f t="shared" si="45"/>
        <v/>
      </c>
      <c r="AP197" s="123"/>
      <c r="AQ197" s="123"/>
      <c r="AR197" s="123"/>
      <c r="AS197" s="3084"/>
      <c r="AT197" s="123"/>
      <c r="AU197" s="123"/>
      <c r="AV197" s="3092"/>
      <c r="AW197" s="3086"/>
      <c r="AX197" s="3087"/>
      <c r="AY197" s="3088"/>
      <c r="AZ197" s="3089"/>
      <c r="BA197" s="3090"/>
      <c r="BB197" s="1"/>
    </row>
    <row r="198" spans="1:54" s="350" customFormat="1" ht="52.2">
      <c r="A198" s="3548" t="s">
        <v>2997</v>
      </c>
      <c r="B198" s="3583" t="s">
        <v>3582</v>
      </c>
      <c r="C198" s="3564" t="s">
        <v>3546</v>
      </c>
      <c r="D198" s="3436">
        <v>13</v>
      </c>
      <c r="E198" s="2769" t="s">
        <v>3583</v>
      </c>
      <c r="F198" s="1231" t="s">
        <v>3584</v>
      </c>
      <c r="G198" s="1247" t="s">
        <v>3585</v>
      </c>
      <c r="H198" s="1248" t="s">
        <v>3586</v>
      </c>
      <c r="I198" s="1778" t="str">
        <f t="shared" si="66"/>
        <v>5-DaHall1-PDU-19-50-11</v>
      </c>
      <c r="J198" s="1779" t="str">
        <f t="shared" si="58"/>
        <v>5-DaHall1-PDU-20-50-11</v>
      </c>
      <c r="K198" s="1780">
        <v>220</v>
      </c>
      <c r="L198" s="1781">
        <v>50</v>
      </c>
      <c r="M198" s="2388" t="s">
        <v>6544</v>
      </c>
      <c r="N198" s="1782">
        <v>11</v>
      </c>
      <c r="O198" s="1783">
        <v>220</v>
      </c>
      <c r="P198" s="1784">
        <v>50</v>
      </c>
      <c r="Q198" s="2407" t="s">
        <v>6547</v>
      </c>
      <c r="R198" s="1785">
        <v>11</v>
      </c>
      <c r="S198" s="1249" t="s">
        <v>3533</v>
      </c>
      <c r="T198" s="1250" t="s">
        <v>3534</v>
      </c>
      <c r="U198" s="1236" t="s">
        <v>3535</v>
      </c>
      <c r="V198" s="1237" t="s">
        <v>3536</v>
      </c>
      <c r="W198" s="3576" t="s">
        <v>2484</v>
      </c>
      <c r="X198" s="3577" t="s">
        <v>2485</v>
      </c>
      <c r="Y198" s="1238">
        <f>SUM('5층_부하량(월간_AVG)'!D596:F596)</f>
        <v>0</v>
      </c>
      <c r="Z198" s="1238">
        <f>SUM('5층_부하량(월간_AVG)'!D612:F612)</f>
        <v>0</v>
      </c>
      <c r="AA198" s="3558">
        <f>SUM(Y198:Z199)</f>
        <v>0</v>
      </c>
      <c r="AB198" s="2770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804.3</v>
      </c>
      <c r="AC198" s="2732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705.6</v>
      </c>
      <c r="AD198" s="3575">
        <f t="shared" ref="AD198" si="86">SUM(AB198:AC199)</f>
        <v>2841.9</v>
      </c>
      <c r="AE198" s="2771"/>
      <c r="AF198"/>
      <c r="AG198" s="2367">
        <f t="shared" si="46"/>
        <v>3.8197580645161291</v>
      </c>
      <c r="AH198" s="2367">
        <f t="shared" si="47"/>
        <v>9.1802419354838705</v>
      </c>
      <c r="AI198" s="123" t="str">
        <f t="shared" ref="AI198:AI261" si="87">IF(SIGN(AH198)&gt;=0,IF(AD198=0,"무부하 랙","적정함"),"사용초과")</f>
        <v>적정함</v>
      </c>
      <c r="AJ198" t="str">
        <f t="shared" ref="AJ198:AJ261" si="88">IF(AI198="사용초과",C198,"")</f>
        <v/>
      </c>
      <c r="AK198" t="str">
        <f t="shared" ref="AK198:AK261" si="89">IF(AJ198="","",A198)</f>
        <v/>
      </c>
      <c r="AP198" s="123"/>
      <c r="AQ198" s="123"/>
      <c r="AR198" s="123"/>
      <c r="AS198" s="3084"/>
      <c r="AT198" s="123"/>
      <c r="AU198" s="123"/>
      <c r="AV198" s="3092"/>
      <c r="AW198" s="3086"/>
      <c r="AX198" s="3087"/>
      <c r="AY198" s="3088"/>
      <c r="AZ198" s="3089"/>
      <c r="BA198" s="3090"/>
      <c r="BB198" s="1"/>
    </row>
    <row r="199" spans="1:54" s="350" customFormat="1" ht="52.2">
      <c r="A199" s="3548"/>
      <c r="B199" s="3578"/>
      <c r="C199" s="3564"/>
      <c r="D199" s="3436"/>
      <c r="E199" s="2777" t="s">
        <v>3587</v>
      </c>
      <c r="F199" s="2777" t="s">
        <v>3588</v>
      </c>
      <c r="G199" s="1254" t="s">
        <v>3589</v>
      </c>
      <c r="H199" s="1255" t="s">
        <v>3590</v>
      </c>
      <c r="I199" s="1786" t="str">
        <f t="shared" si="66"/>
        <v>5-DaHall1-PDU-21-50-11</v>
      </c>
      <c r="J199" s="1757" t="str">
        <f t="shared" si="58"/>
        <v>5-DaHall1-PDU-22-50-11</v>
      </c>
      <c r="K199" s="1758">
        <v>220</v>
      </c>
      <c r="L199" s="1759">
        <v>50</v>
      </c>
      <c r="M199" s="2389" t="s">
        <v>6545</v>
      </c>
      <c r="N199" s="1787">
        <v>11</v>
      </c>
      <c r="O199" s="1761">
        <v>220</v>
      </c>
      <c r="P199" s="1762">
        <v>50</v>
      </c>
      <c r="Q199" s="2403" t="s">
        <v>6546</v>
      </c>
      <c r="R199" s="1763">
        <v>11</v>
      </c>
      <c r="S199" s="1226" t="s">
        <v>3541</v>
      </c>
      <c r="T199" s="1227" t="s">
        <v>3542</v>
      </c>
      <c r="U199" s="1228" t="s">
        <v>3543</v>
      </c>
      <c r="V199" s="1229" t="s">
        <v>3544</v>
      </c>
      <c r="W199" s="3566"/>
      <c r="X199" s="3568"/>
      <c r="Y199" s="1230">
        <f>SUM('5층_부하량(월간_AVG)'!D628:F628)</f>
        <v>0</v>
      </c>
      <c r="Z199" s="1230">
        <f>SUM('5층_부하량(월간_AVG)'!D644:F644)</f>
        <v>0</v>
      </c>
      <c r="AA199" s="3569"/>
      <c r="AB199" s="2770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645</v>
      </c>
      <c r="AC199" s="2732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687</v>
      </c>
      <c r="AD199" s="3570"/>
      <c r="AE199" s="2776"/>
      <c r="AF199"/>
      <c r="AG199" s="2367">
        <f t="shared" ref="AG199:AG262" si="90">AD199/(24*31)</f>
        <v>0</v>
      </c>
      <c r="AH199" s="2367">
        <f t="shared" ref="AH199:AH262" si="91">D199-AG199</f>
        <v>0</v>
      </c>
      <c r="AI199" s="123" t="str">
        <f t="shared" si="87"/>
        <v>무부하 랙</v>
      </c>
      <c r="AJ199" t="str">
        <f t="shared" si="88"/>
        <v/>
      </c>
      <c r="AK199" t="str">
        <f t="shared" si="89"/>
        <v/>
      </c>
      <c r="AP199" s="123"/>
      <c r="AQ199" s="123"/>
      <c r="AR199" s="123"/>
      <c r="AS199" s="3084"/>
      <c r="AT199" s="123"/>
      <c r="AU199" s="123"/>
      <c r="AV199" s="3092"/>
      <c r="AW199" s="3086"/>
      <c r="AX199" s="3087"/>
      <c r="AY199" s="3088"/>
      <c r="AZ199" s="3089"/>
      <c r="BA199" s="3090"/>
      <c r="BB199" s="1"/>
    </row>
    <row r="200" spans="1:54" s="350" customFormat="1" ht="52.2">
      <c r="A200" s="3571" t="s">
        <v>3003</v>
      </c>
      <c r="B200" s="3583" t="s">
        <v>3573</v>
      </c>
      <c r="C200" s="3564" t="s">
        <v>3546</v>
      </c>
      <c r="D200" s="3436">
        <v>13</v>
      </c>
      <c r="E200" s="2769" t="s">
        <v>3574</v>
      </c>
      <c r="F200" s="1231" t="s">
        <v>3575</v>
      </c>
      <c r="G200" s="1232" t="s">
        <v>3576</v>
      </c>
      <c r="H200" s="1233" t="s">
        <v>3577</v>
      </c>
      <c r="I200" s="1764" t="str">
        <f t="shared" si="66"/>
        <v>5-DaHall1-PDU-19-50-9</v>
      </c>
      <c r="J200" s="1765" t="str">
        <f t="shared" si="58"/>
        <v>5-DaHall1-PDU-20-50-9</v>
      </c>
      <c r="K200" s="1766">
        <v>220</v>
      </c>
      <c r="L200" s="1767">
        <v>50</v>
      </c>
      <c r="M200" s="2387" t="s">
        <v>6544</v>
      </c>
      <c r="N200" s="1768">
        <v>9</v>
      </c>
      <c r="O200" s="1769">
        <v>220</v>
      </c>
      <c r="P200" s="1770">
        <v>50</v>
      </c>
      <c r="Q200" s="2406" t="s">
        <v>6547</v>
      </c>
      <c r="R200" s="1771">
        <v>9</v>
      </c>
      <c r="S200" s="1249" t="s">
        <v>3533</v>
      </c>
      <c r="T200" s="1250" t="s">
        <v>3534</v>
      </c>
      <c r="U200" s="1251" t="s">
        <v>3535</v>
      </c>
      <c r="V200" s="1252" t="s">
        <v>3536</v>
      </c>
      <c r="W200" s="3565" t="s">
        <v>2484</v>
      </c>
      <c r="X200" s="3567" t="s">
        <v>2485</v>
      </c>
      <c r="Y200" s="1238">
        <f>SUM('5층_부하량(월간_AVG)'!D595:F595)</f>
        <v>0</v>
      </c>
      <c r="Z200" s="1238">
        <f>SUM('5층_부하량(월간_AVG)'!D611:F611)</f>
        <v>0</v>
      </c>
      <c r="AA200" s="3558">
        <f t="shared" ref="AA200" si="92">SUM(Y200:Z201)</f>
        <v>0</v>
      </c>
      <c r="AB200" s="2770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756.2</v>
      </c>
      <c r="AC200" s="2732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741.6</v>
      </c>
      <c r="AD200" s="3575">
        <f t="shared" ref="AD200" si="93">SUM(AB200:AC201)</f>
        <v>4052.5</v>
      </c>
      <c r="AE200" s="2778"/>
      <c r="AF200"/>
      <c r="AG200" s="2367">
        <f t="shared" si="90"/>
        <v>5.446908602150538</v>
      </c>
      <c r="AH200" s="2367">
        <f t="shared" si="91"/>
        <v>7.553091397849462</v>
      </c>
      <c r="AI200" s="123" t="str">
        <f t="shared" si="87"/>
        <v>적정함</v>
      </c>
      <c r="AJ200" t="str">
        <f t="shared" si="88"/>
        <v/>
      </c>
      <c r="AK200" t="str">
        <f t="shared" si="89"/>
        <v/>
      </c>
      <c r="AP200" s="123"/>
      <c r="AQ200" s="123"/>
      <c r="AR200" s="123"/>
      <c r="AS200" s="3084"/>
      <c r="AT200" s="123"/>
      <c r="AU200" s="123"/>
      <c r="AV200" s="3092"/>
      <c r="AW200" s="3086"/>
      <c r="AX200" s="3087"/>
      <c r="AY200" s="3088"/>
      <c r="AZ200" s="3089"/>
      <c r="BA200" s="3090"/>
      <c r="BB200" s="1"/>
    </row>
    <row r="201" spans="1:54" s="350" customFormat="1" ht="52.2">
      <c r="A201" s="3572"/>
      <c r="B201" s="3578"/>
      <c r="C201" s="3564"/>
      <c r="D201" s="3436"/>
      <c r="E201" s="2777" t="s">
        <v>3578</v>
      </c>
      <c r="F201" s="2777" t="s">
        <v>3579</v>
      </c>
      <c r="G201" s="1224" t="s">
        <v>3580</v>
      </c>
      <c r="H201" s="1225" t="s">
        <v>3581</v>
      </c>
      <c r="I201" s="1756" t="str">
        <f t="shared" si="66"/>
        <v>5-DaHall1-PDU-21-50-9</v>
      </c>
      <c r="J201" s="1772" t="str">
        <f t="shared" si="58"/>
        <v>5-DaHall1-PDU-22-50-9</v>
      </c>
      <c r="K201" s="1773">
        <v>220</v>
      </c>
      <c r="L201" s="1774">
        <v>50</v>
      </c>
      <c r="M201" s="2386" t="s">
        <v>6545</v>
      </c>
      <c r="N201" s="1760">
        <v>9</v>
      </c>
      <c r="O201" s="1775">
        <v>220</v>
      </c>
      <c r="P201" s="1776">
        <v>50</v>
      </c>
      <c r="Q201" s="2404" t="s">
        <v>6546</v>
      </c>
      <c r="R201" s="1777">
        <v>9</v>
      </c>
      <c r="S201" s="1226" t="s">
        <v>3541</v>
      </c>
      <c r="T201" s="1227" t="s">
        <v>3542</v>
      </c>
      <c r="U201" s="1258" t="s">
        <v>3543</v>
      </c>
      <c r="V201" s="1259" t="s">
        <v>3544</v>
      </c>
      <c r="W201" s="3573"/>
      <c r="X201" s="3574"/>
      <c r="Y201" s="1230">
        <f>SUM('5층_부하량(월간_AVG)'!D627:F627)</f>
        <v>0</v>
      </c>
      <c r="Z201" s="1230">
        <f>SUM('5층_부하량(월간_AVG)'!D643:F643)</f>
        <v>0</v>
      </c>
      <c r="AA201" s="3569"/>
      <c r="AB201" s="2770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1289.0999999999999</v>
      </c>
      <c r="AC201" s="2732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1265.5999999999999</v>
      </c>
      <c r="AD201" s="3570"/>
      <c r="AE201" s="2779"/>
      <c r="AF201"/>
      <c r="AG201" s="2367">
        <f t="shared" si="90"/>
        <v>0</v>
      </c>
      <c r="AH201" s="2367">
        <f t="shared" si="91"/>
        <v>0</v>
      </c>
      <c r="AI201" s="123" t="str">
        <f t="shared" si="87"/>
        <v>무부하 랙</v>
      </c>
      <c r="AJ201" t="str">
        <f t="shared" si="88"/>
        <v/>
      </c>
      <c r="AK201" t="str">
        <f t="shared" si="89"/>
        <v/>
      </c>
      <c r="AP201" s="123"/>
      <c r="AQ201" s="123"/>
      <c r="AR201" s="123"/>
      <c r="AS201" s="3084"/>
      <c r="AT201" s="123"/>
      <c r="AU201" s="123"/>
      <c r="AV201" s="3092"/>
      <c r="AW201" s="3086"/>
      <c r="AX201" s="3087"/>
      <c r="AY201" s="3088"/>
      <c r="AZ201" s="3089"/>
      <c r="BA201" s="3090"/>
      <c r="BB201" s="1"/>
    </row>
    <row r="202" spans="1:54" s="350" customFormat="1" ht="52.2">
      <c r="A202" s="3548" t="s">
        <v>3009</v>
      </c>
      <c r="B202" s="3583" t="s">
        <v>3564</v>
      </c>
      <c r="C202" s="3564" t="s">
        <v>3546</v>
      </c>
      <c r="D202" s="3436">
        <v>13</v>
      </c>
      <c r="E202" s="2769" t="s">
        <v>3565</v>
      </c>
      <c r="F202" s="1231" t="s">
        <v>3566</v>
      </c>
      <c r="G202" s="1247" t="s">
        <v>3567</v>
      </c>
      <c r="H202" s="1248" t="s">
        <v>3568</v>
      </c>
      <c r="I202" s="1778" t="str">
        <f t="shared" si="66"/>
        <v>5-DaHall1-PDU-19-50-7</v>
      </c>
      <c r="J202" s="1779" t="str">
        <f t="shared" si="58"/>
        <v>5-DaHall1-PDU-20-50-7</v>
      </c>
      <c r="K202" s="1780">
        <v>220</v>
      </c>
      <c r="L202" s="1781">
        <v>50</v>
      </c>
      <c r="M202" s="2388" t="s">
        <v>6544</v>
      </c>
      <c r="N202" s="1782">
        <v>7</v>
      </c>
      <c r="O202" s="1783">
        <v>220</v>
      </c>
      <c r="P202" s="1784">
        <v>50</v>
      </c>
      <c r="Q202" s="2407" t="s">
        <v>6547</v>
      </c>
      <c r="R202" s="1785">
        <v>7</v>
      </c>
      <c r="S202" s="1249" t="s">
        <v>3533</v>
      </c>
      <c r="T202" s="1250" t="s">
        <v>3534</v>
      </c>
      <c r="U202" s="1236" t="s">
        <v>3535</v>
      </c>
      <c r="V202" s="1237" t="s">
        <v>3536</v>
      </c>
      <c r="W202" s="3576" t="s">
        <v>2484</v>
      </c>
      <c r="X202" s="3577" t="s">
        <v>2485</v>
      </c>
      <c r="Y202" s="1238">
        <f>SUM('5층_부하량(월간_AVG)'!D594:F594)</f>
        <v>0</v>
      </c>
      <c r="Z202" s="1238">
        <f>SUM('5층_부하량(월간_AVG)'!D610:F610)</f>
        <v>0</v>
      </c>
      <c r="AA202" s="3558">
        <f t="shared" ref="AA202" si="94">SUM(Y202:Z203)</f>
        <v>0</v>
      </c>
      <c r="AB202" s="2770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829.6</v>
      </c>
      <c r="AC202" s="2732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917.4</v>
      </c>
      <c r="AD202" s="3575">
        <f t="shared" ref="AD202" si="95">SUM(AB202:AC203)</f>
        <v>2825.8</v>
      </c>
      <c r="AE202" s="2771"/>
      <c r="AF202"/>
      <c r="AG202" s="2367">
        <f t="shared" si="90"/>
        <v>3.7981182795698927</v>
      </c>
      <c r="AH202" s="2367">
        <f t="shared" si="91"/>
        <v>9.2018817204301069</v>
      </c>
      <c r="AI202" s="123" t="str">
        <f t="shared" si="87"/>
        <v>적정함</v>
      </c>
      <c r="AJ202" t="str">
        <f t="shared" si="88"/>
        <v/>
      </c>
      <c r="AK202" t="str">
        <f t="shared" si="89"/>
        <v/>
      </c>
      <c r="AP202" s="123"/>
      <c r="AQ202" s="123"/>
      <c r="AR202" s="123"/>
      <c r="AS202" s="3084"/>
      <c r="AT202" s="123"/>
      <c r="AU202" s="123"/>
      <c r="AV202" s="3092"/>
      <c r="AW202" s="3086"/>
      <c r="AX202" s="3087"/>
      <c r="AY202" s="3088"/>
      <c r="AZ202" s="3089"/>
      <c r="BA202" s="3090"/>
      <c r="BB202" s="1"/>
    </row>
    <row r="203" spans="1:54" s="350" customFormat="1" ht="52.2">
      <c r="A203" s="3548"/>
      <c r="B203" s="3578"/>
      <c r="C203" s="3564"/>
      <c r="D203" s="3436"/>
      <c r="E203" s="2777" t="s">
        <v>3569</v>
      </c>
      <c r="F203" s="2777" t="s">
        <v>3570</v>
      </c>
      <c r="G203" s="1254" t="s">
        <v>3571</v>
      </c>
      <c r="H203" s="1255" t="s">
        <v>3572</v>
      </c>
      <c r="I203" s="1786" t="str">
        <f t="shared" si="66"/>
        <v>5-DaHall1-PDU-21-50-7</v>
      </c>
      <c r="J203" s="1757" t="str">
        <f t="shared" si="58"/>
        <v>5-DaHall1-PDU-22-50-7</v>
      </c>
      <c r="K203" s="1758">
        <v>220</v>
      </c>
      <c r="L203" s="1759">
        <v>50</v>
      </c>
      <c r="M203" s="2389" t="s">
        <v>6545</v>
      </c>
      <c r="N203" s="1787">
        <v>7</v>
      </c>
      <c r="O203" s="1761">
        <v>220</v>
      </c>
      <c r="P203" s="1762">
        <v>50</v>
      </c>
      <c r="Q203" s="2403" t="s">
        <v>6546</v>
      </c>
      <c r="R203" s="1763">
        <v>7</v>
      </c>
      <c r="S203" s="1226" t="s">
        <v>3541</v>
      </c>
      <c r="T203" s="1227" t="s">
        <v>3542</v>
      </c>
      <c r="U203" s="1228" t="s">
        <v>3543</v>
      </c>
      <c r="V203" s="1229" t="s">
        <v>3544</v>
      </c>
      <c r="W203" s="3566"/>
      <c r="X203" s="3568"/>
      <c r="Y203" s="1230">
        <f>SUM('5층_부하량(월간_AVG)'!D626:F626)</f>
        <v>0</v>
      </c>
      <c r="Z203" s="1230">
        <f>SUM('5층_부하량(월간_AVG)'!D642:F642)</f>
        <v>0</v>
      </c>
      <c r="AA203" s="3569"/>
      <c r="AB203" s="2770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550.79999999999995</v>
      </c>
      <c r="AC203" s="2732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528</v>
      </c>
      <c r="AD203" s="3570"/>
      <c r="AE203" s="2776"/>
      <c r="AF203"/>
      <c r="AG203" s="2367">
        <f t="shared" si="90"/>
        <v>0</v>
      </c>
      <c r="AH203" s="2367">
        <f t="shared" si="91"/>
        <v>0</v>
      </c>
      <c r="AI203" s="123" t="str">
        <f t="shared" si="87"/>
        <v>무부하 랙</v>
      </c>
      <c r="AJ203" t="str">
        <f t="shared" si="88"/>
        <v/>
      </c>
      <c r="AK203" t="str">
        <f t="shared" si="89"/>
        <v/>
      </c>
      <c r="AP203" s="123"/>
      <c r="AQ203" s="123"/>
      <c r="AR203" s="123"/>
      <c r="AS203" s="3084"/>
      <c r="AT203" s="123"/>
      <c r="AU203" s="123"/>
      <c r="AV203" s="3092"/>
      <c r="AW203" s="3086"/>
      <c r="AX203" s="3087"/>
      <c r="AY203" s="3088"/>
      <c r="AZ203" s="3089"/>
      <c r="BA203" s="3090"/>
      <c r="BB203" s="1"/>
    </row>
    <row r="204" spans="1:54" s="350" customFormat="1" ht="51" customHeight="1">
      <c r="A204" s="3571" t="s">
        <v>3040</v>
      </c>
      <c r="B204" s="3587" t="s">
        <v>8728</v>
      </c>
      <c r="C204" s="3564" t="s">
        <v>3546</v>
      </c>
      <c r="D204" s="3436">
        <v>13</v>
      </c>
      <c r="E204" s="2790" t="s">
        <v>8729</v>
      </c>
      <c r="F204" s="2790" t="s">
        <v>8730</v>
      </c>
      <c r="G204" s="2322"/>
      <c r="H204" s="2323"/>
      <c r="I204" s="1764" t="str">
        <f t="shared" si="66"/>
        <v>5-DaHall1-PDU-19-50-23</v>
      </c>
      <c r="J204" s="1765" t="str">
        <f t="shared" si="58"/>
        <v>5-DaHall1-PDU-20-50-23</v>
      </c>
      <c r="K204" s="1766">
        <v>220</v>
      </c>
      <c r="L204" s="1767">
        <v>50</v>
      </c>
      <c r="M204" s="2387" t="s">
        <v>6544</v>
      </c>
      <c r="N204" s="1768">
        <v>23</v>
      </c>
      <c r="O204" s="1769">
        <v>220</v>
      </c>
      <c r="P204" s="1770">
        <v>50</v>
      </c>
      <c r="Q204" s="2406" t="s">
        <v>6547</v>
      </c>
      <c r="R204" s="1771">
        <v>23</v>
      </c>
      <c r="S204" s="1249" t="s">
        <v>3533</v>
      </c>
      <c r="T204" s="1250" t="s">
        <v>3534</v>
      </c>
      <c r="U204" s="1251" t="s">
        <v>3535</v>
      </c>
      <c r="V204" s="1252" t="s">
        <v>3536</v>
      </c>
      <c r="W204" s="3565" t="s">
        <v>2484</v>
      </c>
      <c r="X204" s="3567" t="s">
        <v>2485</v>
      </c>
      <c r="Y204" s="1253">
        <f>SUM('5층_부하량(월간_AVG)'!D602:F602)</f>
        <v>0</v>
      </c>
      <c r="Z204" s="1238">
        <f>SUM('5층_부하량(월간_AVG)'!D618:F618)</f>
        <v>0</v>
      </c>
      <c r="AA204" s="3558">
        <f t="shared" ref="AA204" si="96">SUM(Y204:Z205)</f>
        <v>0</v>
      </c>
      <c r="AB204" s="2791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510.3</v>
      </c>
      <c r="AC204" s="2752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531.5</v>
      </c>
      <c r="AD204" s="3575">
        <f t="shared" ref="AD204" si="97">SUM(AB204:AC205)</f>
        <v>2207.6000000000004</v>
      </c>
      <c r="AE204" s="3581" t="s">
        <v>8731</v>
      </c>
      <c r="AF204"/>
      <c r="AG204" s="2367">
        <f t="shared" si="90"/>
        <v>2.9672043010752693</v>
      </c>
      <c r="AH204" s="2367">
        <f t="shared" si="91"/>
        <v>10.03279569892473</v>
      </c>
      <c r="AI204" s="123" t="str">
        <f t="shared" si="87"/>
        <v>적정함</v>
      </c>
      <c r="AJ204" t="str">
        <f t="shared" si="88"/>
        <v/>
      </c>
      <c r="AK204" t="str">
        <f t="shared" si="89"/>
        <v/>
      </c>
      <c r="AP204" s="123"/>
      <c r="AQ204" s="123"/>
      <c r="AR204" s="123"/>
      <c r="AS204" s="3084"/>
      <c r="AT204" s="123"/>
      <c r="AU204" s="123"/>
      <c r="AV204" s="3092"/>
      <c r="AW204" s="3086"/>
      <c r="AX204" s="3087"/>
      <c r="AY204" s="3088"/>
      <c r="AZ204" s="3089"/>
      <c r="BA204" s="3090"/>
      <c r="BB204" s="1"/>
    </row>
    <row r="205" spans="1:54" s="350" customFormat="1" ht="51" customHeight="1">
      <c r="A205" s="3572"/>
      <c r="B205" s="3588"/>
      <c r="C205" s="3564"/>
      <c r="D205" s="3436"/>
      <c r="E205" s="2790" t="s">
        <v>8732</v>
      </c>
      <c r="F205" s="2790" t="s">
        <v>8733</v>
      </c>
      <c r="G205" s="2322"/>
      <c r="H205" s="2323"/>
      <c r="I205" s="1756" t="str">
        <f t="shared" si="66"/>
        <v>5-DaHall1-PDU-21-50-23</v>
      </c>
      <c r="J205" s="1772" t="str">
        <f t="shared" si="58"/>
        <v>5-DaHall1-PDU-22-50-23</v>
      </c>
      <c r="K205" s="1773">
        <v>220</v>
      </c>
      <c r="L205" s="1774">
        <v>50</v>
      </c>
      <c r="M205" s="2386" t="s">
        <v>6545</v>
      </c>
      <c r="N205" s="1760">
        <v>23</v>
      </c>
      <c r="O205" s="1775">
        <v>220</v>
      </c>
      <c r="P205" s="1776">
        <v>50</v>
      </c>
      <c r="Q205" s="2404" t="s">
        <v>6546</v>
      </c>
      <c r="R205" s="1777">
        <v>23</v>
      </c>
      <c r="S205" s="1226" t="s">
        <v>3541</v>
      </c>
      <c r="T205" s="1227" t="s">
        <v>3542</v>
      </c>
      <c r="U205" s="1258" t="s">
        <v>3543</v>
      </c>
      <c r="V205" s="1259" t="s">
        <v>3544</v>
      </c>
      <c r="W205" s="3573"/>
      <c r="X205" s="3574"/>
      <c r="Y205" s="1230">
        <f>SUM('5층_부하량(월간_AVG)'!D634:F634)</f>
        <v>0</v>
      </c>
      <c r="Z205" s="1260">
        <f>SUM('5층_부하량(월간_AVG)'!D650:F650)</f>
        <v>0</v>
      </c>
      <c r="AA205" s="3569"/>
      <c r="AB205" s="2783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509.1</v>
      </c>
      <c r="AC205" s="2756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656.7</v>
      </c>
      <c r="AD205" s="3570"/>
      <c r="AE205" s="3582"/>
      <c r="AF205"/>
      <c r="AG205" s="2367">
        <f t="shared" si="90"/>
        <v>0</v>
      </c>
      <c r="AH205" s="2367">
        <f t="shared" si="91"/>
        <v>0</v>
      </c>
      <c r="AI205" s="123" t="str">
        <f t="shared" si="87"/>
        <v>무부하 랙</v>
      </c>
      <c r="AJ205" t="str">
        <f t="shared" si="88"/>
        <v/>
      </c>
      <c r="AK205" t="str">
        <f t="shared" si="89"/>
        <v/>
      </c>
      <c r="AP205" s="123"/>
      <c r="AQ205" s="123"/>
      <c r="AR205" s="123"/>
      <c r="AS205" s="3084"/>
      <c r="AT205" s="123"/>
      <c r="AU205" s="123"/>
      <c r="AV205" s="3092"/>
      <c r="AW205" s="3086"/>
      <c r="AX205" s="3087"/>
      <c r="AY205" s="3088"/>
      <c r="AZ205" s="3089"/>
      <c r="BA205" s="3090"/>
      <c r="BB205" s="1"/>
    </row>
    <row r="206" spans="1:54" s="350" customFormat="1" ht="51" customHeight="1">
      <c r="A206" s="3571" t="s">
        <v>3046</v>
      </c>
      <c r="B206" s="3583" t="s">
        <v>3555</v>
      </c>
      <c r="C206" s="3564" t="s">
        <v>3546</v>
      </c>
      <c r="D206" s="3590">
        <v>13</v>
      </c>
      <c r="E206" s="2769" t="s">
        <v>3556</v>
      </c>
      <c r="F206" s="1231" t="s">
        <v>3557</v>
      </c>
      <c r="G206" s="1232" t="s">
        <v>3558</v>
      </c>
      <c r="H206" s="1233" t="s">
        <v>3559</v>
      </c>
      <c r="I206" s="1764" t="str">
        <f t="shared" si="66"/>
        <v>5-DaHall1-PDU-19-50-5</v>
      </c>
      <c r="J206" s="1765" t="str">
        <f t="shared" si="58"/>
        <v>5-DaHall1-PDU-20-50-5</v>
      </c>
      <c r="K206" s="1766">
        <v>220</v>
      </c>
      <c r="L206" s="1767">
        <v>50</v>
      </c>
      <c r="M206" s="2387" t="s">
        <v>6544</v>
      </c>
      <c r="N206" s="1768">
        <v>5</v>
      </c>
      <c r="O206" s="1769">
        <v>220</v>
      </c>
      <c r="P206" s="1770">
        <v>50</v>
      </c>
      <c r="Q206" s="2406" t="s">
        <v>6547</v>
      </c>
      <c r="R206" s="1771">
        <v>5</v>
      </c>
      <c r="S206" s="1249" t="s">
        <v>3533</v>
      </c>
      <c r="T206" s="1250" t="s">
        <v>3534</v>
      </c>
      <c r="U206" s="1251" t="s">
        <v>3535</v>
      </c>
      <c r="V206" s="1252" t="s">
        <v>3536</v>
      </c>
      <c r="W206" s="3565" t="s">
        <v>2484</v>
      </c>
      <c r="X206" s="3567" t="s">
        <v>2485</v>
      </c>
      <c r="Y206" s="1253">
        <f>SUM('5층_부하량(월간_AVG)'!D593:F593)</f>
        <v>0</v>
      </c>
      <c r="Z206" s="1238">
        <f>SUM('5층_부하량(월간_AVG)'!D609:F609)</f>
        <v>0</v>
      </c>
      <c r="AA206" s="3558">
        <f t="shared" ref="AA206" si="98">SUM(Y206:Z207)</f>
        <v>0</v>
      </c>
      <c r="AB206" s="2791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6" s="2752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6" s="3575">
        <f t="shared" ref="AD206" si="99">SUM(AB206:AC207)</f>
        <v>423.1</v>
      </c>
      <c r="AE206" s="2778"/>
      <c r="AF206"/>
      <c r="AG206" s="2367">
        <f t="shared" si="90"/>
        <v>0.56868279569892477</v>
      </c>
      <c r="AH206" s="2367">
        <f t="shared" si="91"/>
        <v>12.431317204301076</v>
      </c>
      <c r="AI206" s="123" t="str">
        <f t="shared" si="87"/>
        <v>적정함</v>
      </c>
      <c r="AJ206" t="str">
        <f t="shared" si="88"/>
        <v/>
      </c>
      <c r="AK206" t="str">
        <f t="shared" si="89"/>
        <v/>
      </c>
      <c r="AP206" s="123"/>
      <c r="AQ206" s="123"/>
      <c r="AR206" s="123"/>
      <c r="AS206" s="3084"/>
      <c r="AT206" s="123"/>
      <c r="AU206" s="123"/>
      <c r="AV206" s="3092"/>
      <c r="AW206" s="3086"/>
      <c r="AX206" s="3087"/>
      <c r="AY206" s="3088"/>
      <c r="AZ206" s="3089"/>
      <c r="BA206" s="3090"/>
      <c r="BB206" s="1"/>
    </row>
    <row r="207" spans="1:54" s="350" customFormat="1" ht="51" customHeight="1">
      <c r="A207" s="3572"/>
      <c r="B207" s="3578"/>
      <c r="C207" s="3564"/>
      <c r="D207" s="3590"/>
      <c r="E207" s="2777" t="s">
        <v>3560</v>
      </c>
      <c r="F207" s="2777" t="s">
        <v>3561</v>
      </c>
      <c r="G207" s="1224" t="s">
        <v>3562</v>
      </c>
      <c r="H207" s="1225" t="s">
        <v>3563</v>
      </c>
      <c r="I207" s="1756" t="str">
        <f t="shared" si="66"/>
        <v>5-DaHall1-PDU-21-50-5</v>
      </c>
      <c r="J207" s="1772" t="str">
        <f t="shared" si="58"/>
        <v>5-DaHall1-PDU-22-50-5</v>
      </c>
      <c r="K207" s="1773">
        <v>220</v>
      </c>
      <c r="L207" s="1774">
        <v>50</v>
      </c>
      <c r="M207" s="2386" t="s">
        <v>6545</v>
      </c>
      <c r="N207" s="1760">
        <v>5</v>
      </c>
      <c r="O207" s="1775">
        <v>220</v>
      </c>
      <c r="P207" s="1776">
        <v>50</v>
      </c>
      <c r="Q207" s="2404" t="s">
        <v>6546</v>
      </c>
      <c r="R207" s="1777">
        <v>5</v>
      </c>
      <c r="S207" s="1226" t="s">
        <v>3541</v>
      </c>
      <c r="T207" s="1227" t="s">
        <v>3542</v>
      </c>
      <c r="U207" s="1258" t="s">
        <v>3543</v>
      </c>
      <c r="V207" s="1259" t="s">
        <v>3544</v>
      </c>
      <c r="W207" s="3573"/>
      <c r="X207" s="3574"/>
      <c r="Y207" s="1230">
        <f>SUM('5층_부하량(월간_AVG)'!D625:F625)</f>
        <v>0</v>
      </c>
      <c r="Z207" s="1260">
        <f>SUM('5층_부하량(월간_AVG)'!D641:F641)</f>
        <v>0</v>
      </c>
      <c r="AA207" s="3569"/>
      <c r="AB207" s="2783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216.8</v>
      </c>
      <c r="AC207" s="2756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206.3</v>
      </c>
      <c r="AD207" s="3570"/>
      <c r="AE207" s="2779"/>
      <c r="AF207"/>
      <c r="AG207" s="2367">
        <f t="shared" si="90"/>
        <v>0</v>
      </c>
      <c r="AH207" s="2367">
        <f t="shared" si="91"/>
        <v>0</v>
      </c>
      <c r="AI207" s="123" t="str">
        <f t="shared" si="87"/>
        <v>무부하 랙</v>
      </c>
      <c r="AJ207" t="str">
        <f t="shared" si="88"/>
        <v/>
      </c>
      <c r="AK207" t="str">
        <f t="shared" si="89"/>
        <v/>
      </c>
      <c r="AP207" s="123"/>
      <c r="AQ207" s="123"/>
      <c r="AR207" s="123"/>
      <c r="AS207" s="3084"/>
      <c r="AT207" s="123"/>
      <c r="AU207" s="123"/>
      <c r="AV207" s="3092"/>
      <c r="AW207" s="3086"/>
      <c r="AX207" s="3087"/>
      <c r="AY207" s="3088"/>
      <c r="AZ207" s="3089"/>
      <c r="BA207" s="3090"/>
      <c r="BB207" s="1"/>
    </row>
    <row r="208" spans="1:54" s="350" customFormat="1" ht="51" customHeight="1">
      <c r="A208" s="3548" t="s">
        <v>3052</v>
      </c>
      <c r="B208" s="3583" t="s">
        <v>3545</v>
      </c>
      <c r="C208" s="3564" t="s">
        <v>3546</v>
      </c>
      <c r="D208" s="3436">
        <v>13</v>
      </c>
      <c r="E208" s="2769" t="s">
        <v>3547</v>
      </c>
      <c r="F208" s="1231" t="s">
        <v>3548</v>
      </c>
      <c r="G208" s="1232" t="s">
        <v>3549</v>
      </c>
      <c r="H208" s="1233" t="s">
        <v>3550</v>
      </c>
      <c r="I208" s="1764" t="str">
        <f t="shared" si="66"/>
        <v>5-DaHall1-PDU-19-50-3</v>
      </c>
      <c r="J208" s="1765" t="str">
        <f t="shared" si="58"/>
        <v>5-DaHall1-PDU-20-50-3</v>
      </c>
      <c r="K208" s="1766">
        <v>220</v>
      </c>
      <c r="L208" s="1767">
        <v>50</v>
      </c>
      <c r="M208" s="2387" t="s">
        <v>6544</v>
      </c>
      <c r="N208" s="1768">
        <v>3</v>
      </c>
      <c r="O208" s="1769">
        <v>220</v>
      </c>
      <c r="P208" s="1770">
        <v>50</v>
      </c>
      <c r="Q208" s="2406" t="s">
        <v>6547</v>
      </c>
      <c r="R208" s="1771">
        <v>3</v>
      </c>
      <c r="S208" s="1234" t="s">
        <v>3533</v>
      </c>
      <c r="T208" s="1235" t="s">
        <v>3534</v>
      </c>
      <c r="U208" s="1236" t="s">
        <v>3535</v>
      </c>
      <c r="V208" s="1237" t="s">
        <v>3536</v>
      </c>
      <c r="W208" s="3576" t="s">
        <v>2484</v>
      </c>
      <c r="X208" s="3577" t="s">
        <v>2485</v>
      </c>
      <c r="Y208" s="1238">
        <f>SUM('5층_부하량(월간_AVG)'!D592:F592)</f>
        <v>0</v>
      </c>
      <c r="Z208" s="1238">
        <f>SUM('5층_부하량(월간_AVG)'!D608:F608)</f>
        <v>0</v>
      </c>
      <c r="AA208" s="3558">
        <f>SUM(Y208:Z209)</f>
        <v>0</v>
      </c>
      <c r="AB208" s="2770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678.2</v>
      </c>
      <c r="AC208" s="2732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678.5</v>
      </c>
      <c r="AD208" s="3575">
        <f>SUM(AB208:AC209)</f>
        <v>3131.8</v>
      </c>
      <c r="AE208" s="2771"/>
      <c r="AF208"/>
      <c r="AG208" s="2367">
        <f t="shared" si="90"/>
        <v>4.2094086021505381</v>
      </c>
      <c r="AH208" s="2367">
        <f t="shared" si="91"/>
        <v>8.790591397849461</v>
      </c>
      <c r="AI208" s="123" t="str">
        <f t="shared" si="87"/>
        <v>적정함</v>
      </c>
      <c r="AJ208" t="str">
        <f t="shared" si="88"/>
        <v/>
      </c>
      <c r="AK208" t="str">
        <f t="shared" si="89"/>
        <v/>
      </c>
      <c r="AP208" s="123"/>
      <c r="AQ208" s="123"/>
      <c r="AR208" s="123"/>
      <c r="AS208" s="3084"/>
      <c r="AT208" s="123"/>
      <c r="AU208" s="123"/>
      <c r="AV208" s="3092"/>
      <c r="AW208" s="3086"/>
      <c r="AX208" s="3087"/>
      <c r="AY208" s="3088"/>
      <c r="AZ208" s="3089"/>
      <c r="BA208" s="3090"/>
      <c r="BB208" s="1"/>
    </row>
    <row r="209" spans="1:54" s="350" customFormat="1" ht="51" customHeight="1" thickBot="1">
      <c r="A209" s="3548"/>
      <c r="B209" s="3578"/>
      <c r="C209" s="3589"/>
      <c r="D209" s="3591"/>
      <c r="E209" s="2777" t="s">
        <v>3551</v>
      </c>
      <c r="F209" s="2777" t="s">
        <v>3552</v>
      </c>
      <c r="G209" s="1224" t="s">
        <v>3553</v>
      </c>
      <c r="H209" s="1225" t="s">
        <v>3554</v>
      </c>
      <c r="I209" s="1756" t="str">
        <f t="shared" si="66"/>
        <v>5-DaHall1-PDU-21-50-3</v>
      </c>
      <c r="J209" s="1772" t="str">
        <f t="shared" si="58"/>
        <v>5-DaHall1-PDU-22-50-3</v>
      </c>
      <c r="K209" s="1773">
        <v>220</v>
      </c>
      <c r="L209" s="1774">
        <v>50</v>
      </c>
      <c r="M209" s="2386" t="s">
        <v>6545</v>
      </c>
      <c r="N209" s="1760">
        <v>3</v>
      </c>
      <c r="O209" s="1775">
        <v>220</v>
      </c>
      <c r="P209" s="1776">
        <v>50</v>
      </c>
      <c r="Q209" s="2404" t="s">
        <v>6546</v>
      </c>
      <c r="R209" s="1777">
        <v>3</v>
      </c>
      <c r="S209" s="1226" t="s">
        <v>3541</v>
      </c>
      <c r="T209" s="1227" t="s">
        <v>3542</v>
      </c>
      <c r="U209" s="1228" t="s">
        <v>3543</v>
      </c>
      <c r="V209" s="1229" t="s">
        <v>3544</v>
      </c>
      <c r="W209" s="3566"/>
      <c r="X209" s="3568"/>
      <c r="Y209" s="1230">
        <f>SUM('5층_부하량(월간_AVG)'!D624:F624)</f>
        <v>0</v>
      </c>
      <c r="Z209" s="1260">
        <f>SUM('5층_부하량(월간_AVG)'!D640:F640)</f>
        <v>0</v>
      </c>
      <c r="AA209" s="3569"/>
      <c r="AB209" s="2770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878.4</v>
      </c>
      <c r="AC209" s="2732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896.7</v>
      </c>
      <c r="AD209" s="3561"/>
      <c r="AE209" s="2776"/>
      <c r="AF209"/>
      <c r="AG209" s="2367">
        <f t="shared" si="90"/>
        <v>0</v>
      </c>
      <c r="AH209" s="2367">
        <f t="shared" si="91"/>
        <v>0</v>
      </c>
      <c r="AI209" s="123" t="str">
        <f t="shared" si="87"/>
        <v>무부하 랙</v>
      </c>
      <c r="AJ209" t="str">
        <f t="shared" si="88"/>
        <v/>
      </c>
      <c r="AK209" t="str">
        <f t="shared" si="89"/>
        <v/>
      </c>
      <c r="AP209" s="123"/>
      <c r="AQ209" s="123"/>
      <c r="AR209" s="123"/>
      <c r="AS209" s="3084"/>
      <c r="AT209" s="123"/>
      <c r="AU209" s="123"/>
      <c r="AV209" s="3092"/>
      <c r="AW209" s="3086"/>
      <c r="AX209" s="3087"/>
      <c r="AY209" s="3088"/>
      <c r="AZ209" s="3089"/>
      <c r="BA209" s="3090"/>
      <c r="BB209" s="1"/>
    </row>
    <row r="210" spans="1:54" s="350" customFormat="1" ht="51" customHeight="1" thickTop="1">
      <c r="A210" s="3592" t="s">
        <v>3058</v>
      </c>
      <c r="B210" s="3593" t="s">
        <v>3528</v>
      </c>
      <c r="C210" s="3552" t="s">
        <v>5761</v>
      </c>
      <c r="D210" s="3435">
        <v>13</v>
      </c>
      <c r="E210" s="2792" t="s">
        <v>3529</v>
      </c>
      <c r="F210" s="1216" t="s">
        <v>3530</v>
      </c>
      <c r="G210" s="1217" t="s">
        <v>3531</v>
      </c>
      <c r="H210" s="1218" t="s">
        <v>3532</v>
      </c>
      <c r="I210" s="1748" t="str">
        <f t="shared" si="66"/>
        <v>5-DaHall1-PDU-19-50-1</v>
      </c>
      <c r="J210" s="1749" t="str">
        <f t="shared" si="58"/>
        <v>5-DaHall1-PDU-20-50-1</v>
      </c>
      <c r="K210" s="1750">
        <v>220</v>
      </c>
      <c r="L210" s="1751">
        <v>50</v>
      </c>
      <c r="M210" s="2385" t="s">
        <v>6544</v>
      </c>
      <c r="N210" s="1752">
        <v>1</v>
      </c>
      <c r="O210" s="1753">
        <v>220</v>
      </c>
      <c r="P210" s="1754">
        <v>50</v>
      </c>
      <c r="Q210" s="2405" t="s">
        <v>6547</v>
      </c>
      <c r="R210" s="1755">
        <v>1</v>
      </c>
      <c r="S210" s="1219" t="s">
        <v>3533</v>
      </c>
      <c r="T210" s="1220" t="s">
        <v>3534</v>
      </c>
      <c r="U210" s="1221" t="s">
        <v>3535</v>
      </c>
      <c r="V210" s="1222" t="s">
        <v>3536</v>
      </c>
      <c r="W210" s="3554" t="s">
        <v>2484</v>
      </c>
      <c r="X210" s="3556" t="s">
        <v>2485</v>
      </c>
      <c r="Y210" s="1223">
        <f>SUM('5층_부하량(월간_AVG)'!D591:F591)</f>
        <v>0</v>
      </c>
      <c r="Z210" s="1223">
        <f>SUM('5층_부하량(월간_AVG)'!D607:F607)</f>
        <v>0</v>
      </c>
      <c r="AA210" s="3594">
        <f>SUM(Y210:Z211)</f>
        <v>0</v>
      </c>
      <c r="AB210" s="2793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501.6</v>
      </c>
      <c r="AC210" s="2794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675.7</v>
      </c>
      <c r="AD210" s="3560">
        <f>SUM(AB210:AC211)</f>
        <v>2955.3</v>
      </c>
      <c r="AE210" s="2772"/>
      <c r="AF210"/>
      <c r="AG210" s="2367">
        <f t="shared" si="90"/>
        <v>3.9721774193548391</v>
      </c>
      <c r="AH210" s="2367">
        <f t="shared" si="91"/>
        <v>9.0278225806451609</v>
      </c>
      <c r="AI210" s="123" t="str">
        <f t="shared" si="87"/>
        <v>적정함</v>
      </c>
      <c r="AJ210" t="str">
        <f t="shared" si="88"/>
        <v/>
      </c>
      <c r="AK210" t="str">
        <f t="shared" si="89"/>
        <v/>
      </c>
      <c r="AP210" s="123"/>
      <c r="AQ210" s="123"/>
      <c r="AR210" s="123"/>
      <c r="AS210" s="3084"/>
      <c r="AT210" s="123"/>
      <c r="AU210" s="123"/>
      <c r="AV210" s="3092"/>
      <c r="AW210" s="3086"/>
      <c r="AX210" s="3087"/>
      <c r="AY210" s="3088"/>
      <c r="AZ210" s="3089"/>
      <c r="BA210" s="3090"/>
      <c r="BB210" s="1"/>
    </row>
    <row r="211" spans="1:54" s="350" customFormat="1" ht="51.6" customHeight="1" thickBot="1">
      <c r="A211" s="3548"/>
      <c r="B211" s="3578"/>
      <c r="C211" s="3553"/>
      <c r="D211" s="3591"/>
      <c r="E211" s="2777" t="s">
        <v>3537</v>
      </c>
      <c r="F211" s="2777" t="s">
        <v>3538</v>
      </c>
      <c r="G211" s="1224" t="s">
        <v>3539</v>
      </c>
      <c r="H211" s="1255" t="s">
        <v>3540</v>
      </c>
      <c r="I211" s="1756" t="str">
        <f t="shared" si="66"/>
        <v>5-DaHall1-PDU-21-50-1</v>
      </c>
      <c r="J211" s="1757" t="str">
        <f t="shared" si="58"/>
        <v>5-DaHall1-PDU-22-50-1</v>
      </c>
      <c r="K211" s="1758">
        <v>220</v>
      </c>
      <c r="L211" s="1759">
        <v>50</v>
      </c>
      <c r="M211" s="2386" t="s">
        <v>6545</v>
      </c>
      <c r="N211" s="1760">
        <v>1</v>
      </c>
      <c r="O211" s="1761">
        <v>220</v>
      </c>
      <c r="P211" s="1762">
        <v>50</v>
      </c>
      <c r="Q211" s="2403" t="s">
        <v>6546</v>
      </c>
      <c r="R211" s="1763">
        <v>1</v>
      </c>
      <c r="S211" s="1256" t="s">
        <v>3541</v>
      </c>
      <c r="T211" s="1257" t="s">
        <v>3542</v>
      </c>
      <c r="U211" s="1258" t="s">
        <v>3543</v>
      </c>
      <c r="V211" s="1259" t="s">
        <v>3544</v>
      </c>
      <c r="W211" s="3573"/>
      <c r="X211" s="3574"/>
      <c r="Y211" s="1230">
        <f>SUM('5층_부하량(월간_AVG)'!D623:F623)</f>
        <v>0</v>
      </c>
      <c r="Z211" s="1260">
        <f>SUM('5층_부하량(월간_AVG)'!D639:F639)</f>
        <v>0</v>
      </c>
      <c r="AA211" s="3569"/>
      <c r="AB211" s="2770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874.7</v>
      </c>
      <c r="AC211" s="2732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903.3</v>
      </c>
      <c r="AD211" s="3561"/>
      <c r="AE211" s="2776"/>
      <c r="AF211"/>
      <c r="AG211" s="2367">
        <f t="shared" si="90"/>
        <v>0</v>
      </c>
      <c r="AH211" s="2367">
        <f t="shared" si="91"/>
        <v>0</v>
      </c>
      <c r="AI211" s="123" t="str">
        <f t="shared" si="87"/>
        <v>무부하 랙</v>
      </c>
      <c r="AJ211" t="str">
        <f t="shared" si="88"/>
        <v/>
      </c>
      <c r="AK211" t="str">
        <f t="shared" si="89"/>
        <v/>
      </c>
      <c r="AL211" s="883">
        <f>SUM(AA164:AA211)</f>
        <v>0</v>
      </c>
      <c r="AM211" s="350">
        <f>SUM(AI164:AI211)</f>
        <v>0</v>
      </c>
      <c r="AN211" s="2366">
        <f>AL211-AM211</f>
        <v>0</v>
      </c>
      <c r="AP211" s="123"/>
      <c r="AQ211" s="123"/>
      <c r="AR211" s="123"/>
      <c r="AS211" s="3084"/>
      <c r="AT211" s="123"/>
      <c r="AU211" s="123"/>
      <c r="AV211" s="3092"/>
      <c r="AW211" s="3086"/>
      <c r="AX211" s="3087"/>
      <c r="AY211" s="3088"/>
      <c r="AZ211" s="3089"/>
      <c r="BA211" s="3090"/>
      <c r="BB211" s="1"/>
    </row>
    <row r="212" spans="1:54" ht="29.4" thickTop="1">
      <c r="A212" s="1084" t="s">
        <v>986</v>
      </c>
      <c r="B212" s="327" t="s">
        <v>3072</v>
      </c>
      <c r="C212" s="973"/>
      <c r="D212" s="973"/>
      <c r="E212" s="327" t="s">
        <v>3073</v>
      </c>
      <c r="F212" s="327" t="s">
        <v>3074</v>
      </c>
      <c r="G212" s="2673" t="s">
        <v>3075</v>
      </c>
      <c r="H212" s="2674" t="s">
        <v>3076</v>
      </c>
      <c r="I212" s="1610" t="str">
        <f t="shared" si="66"/>
        <v>5-DaHall1-PDU-05-30-2</v>
      </c>
      <c r="J212" s="1611" t="str">
        <f t="shared" si="58"/>
        <v>5-DaHall1-PDU-06-30-2</v>
      </c>
      <c r="K212" s="1555">
        <v>220</v>
      </c>
      <c r="L212" s="1556">
        <v>30</v>
      </c>
      <c r="M212" s="2379" t="s">
        <v>6491</v>
      </c>
      <c r="N212" s="1557">
        <v>2</v>
      </c>
      <c r="O212" s="1558">
        <v>220</v>
      </c>
      <c r="P212" s="1559">
        <v>30</v>
      </c>
      <c r="Q212" s="2409" t="s">
        <v>6501</v>
      </c>
      <c r="R212" s="1560">
        <v>2</v>
      </c>
      <c r="S212" s="3472" t="s">
        <v>2926</v>
      </c>
      <c r="T212" s="3475" t="s">
        <v>2927</v>
      </c>
      <c r="U212" s="3355" t="s">
        <v>2928</v>
      </c>
      <c r="V212" s="3361" t="s">
        <v>2929</v>
      </c>
      <c r="W212" s="3355" t="s">
        <v>2484</v>
      </c>
      <c r="X212" s="3361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54">
        <f t="shared" ref="AA212:AA219" si="100">SUM(Y212:Z212)</f>
        <v>0</v>
      </c>
      <c r="AB212" s="2725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0</v>
      </c>
      <c r="AC212" s="2726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0</v>
      </c>
      <c r="AD212" s="2479">
        <f>SUM(AB212:AC212)</f>
        <v>0</v>
      </c>
      <c r="AE212" s="2469" t="s">
        <v>3028</v>
      </c>
      <c r="AG212" s="2367">
        <f t="shared" si="90"/>
        <v>0</v>
      </c>
      <c r="AH212" s="2367">
        <f t="shared" si="91"/>
        <v>0</v>
      </c>
      <c r="AI212" s="123" t="str">
        <f t="shared" si="87"/>
        <v>무부하 랙</v>
      </c>
      <c r="AJ212" t="str">
        <f t="shared" si="88"/>
        <v/>
      </c>
      <c r="AK212" t="str">
        <f t="shared" si="89"/>
        <v/>
      </c>
      <c r="AP212" s="123"/>
      <c r="AQ212" s="123"/>
      <c r="AR212" s="123"/>
      <c r="AS212" s="3084"/>
      <c r="AT212" s="123"/>
      <c r="AU212" s="123"/>
      <c r="AV212" s="3092"/>
      <c r="AW212" s="3086"/>
      <c r="AX212" s="3087"/>
      <c r="AY212" s="3088"/>
      <c r="AZ212" s="3089"/>
      <c r="BA212" s="3090"/>
      <c r="BB212" s="1"/>
    </row>
    <row r="213" spans="1:54" ht="28.8">
      <c r="A213" s="2652" t="s">
        <v>3077</v>
      </c>
      <c r="B213" s="250" t="s">
        <v>3078</v>
      </c>
      <c r="C213" s="2664"/>
      <c r="D213" s="2664"/>
      <c r="E213" s="250" t="s">
        <v>3079</v>
      </c>
      <c r="F213" s="250" t="s">
        <v>3080</v>
      </c>
      <c r="G213" s="2665" t="s">
        <v>3081</v>
      </c>
      <c r="H213" s="2666" t="s">
        <v>3082</v>
      </c>
      <c r="I213" s="1598" t="str">
        <f t="shared" si="66"/>
        <v>5-DaHall1-PDU-05-30-4</v>
      </c>
      <c r="J213" s="1599" t="str">
        <f t="shared" si="58"/>
        <v>5-DaHall1-PDU-06-30-4</v>
      </c>
      <c r="K213" s="1561">
        <v>220</v>
      </c>
      <c r="L213" s="1562">
        <v>30</v>
      </c>
      <c r="M213" s="2380" t="s">
        <v>6491</v>
      </c>
      <c r="N213" s="1563">
        <v>4</v>
      </c>
      <c r="O213" s="1564">
        <v>220</v>
      </c>
      <c r="P213" s="1565">
        <v>30</v>
      </c>
      <c r="Q213" s="2410" t="s">
        <v>6501</v>
      </c>
      <c r="R213" s="1566">
        <v>4</v>
      </c>
      <c r="S213" s="3473"/>
      <c r="T213" s="3476"/>
      <c r="U213" s="3364"/>
      <c r="V213" s="3365"/>
      <c r="W213" s="3364"/>
      <c r="X213" s="3365"/>
      <c r="Y213" s="253">
        <f>SUM('5층_부하량(월간_AVG)'!N165:P165)</f>
        <v>0</v>
      </c>
      <c r="Z213" s="253">
        <f>SUM('5층_부하량(월간_AVG)'!N196:P196)</f>
        <v>0</v>
      </c>
      <c r="AA213" s="2452">
        <f t="shared" si="100"/>
        <v>0</v>
      </c>
      <c r="AB213" s="2727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0</v>
      </c>
      <c r="AC213" s="2728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0</v>
      </c>
      <c r="AD213" s="2477">
        <f>SUM(AB213:AC213)</f>
        <v>0</v>
      </c>
      <c r="AE213" s="2467" t="s">
        <v>3028</v>
      </c>
      <c r="AG213" s="2367">
        <f t="shared" si="90"/>
        <v>0</v>
      </c>
      <c r="AH213" s="2367">
        <f t="shared" si="91"/>
        <v>0</v>
      </c>
      <c r="AI213" s="123" t="str">
        <f t="shared" si="87"/>
        <v>무부하 랙</v>
      </c>
      <c r="AJ213" t="str">
        <f t="shared" si="88"/>
        <v/>
      </c>
      <c r="AK213" t="str">
        <f t="shared" si="89"/>
        <v/>
      </c>
      <c r="AP213" s="123"/>
      <c r="AQ213" s="123"/>
      <c r="AR213" s="123"/>
      <c r="AS213" s="3084"/>
      <c r="AT213" s="123"/>
      <c r="AU213" s="123"/>
      <c r="AV213" s="3092"/>
      <c r="AW213" s="3086"/>
      <c r="AX213" s="3087"/>
      <c r="AY213" s="3088"/>
      <c r="AZ213" s="3089"/>
      <c r="BA213" s="3090"/>
      <c r="BB213" s="1"/>
    </row>
    <row r="214" spans="1:54" ht="28.8">
      <c r="A214" s="2652" t="s">
        <v>3083</v>
      </c>
      <c r="B214" s="250" t="s">
        <v>3084</v>
      </c>
      <c r="C214" s="2664"/>
      <c r="D214" s="2664"/>
      <c r="E214" s="250" t="s">
        <v>3085</v>
      </c>
      <c r="F214" s="250" t="s">
        <v>3086</v>
      </c>
      <c r="G214" s="2665" t="s">
        <v>3087</v>
      </c>
      <c r="H214" s="2666" t="s">
        <v>3088</v>
      </c>
      <c r="I214" s="1598" t="str">
        <f t="shared" si="66"/>
        <v>5-DaHall1-PDU-05-30-6</v>
      </c>
      <c r="J214" s="1599" t="str">
        <f t="shared" si="58"/>
        <v>5-DaHall1-PDU-06-30-6</v>
      </c>
      <c r="K214" s="1561">
        <v>220</v>
      </c>
      <c r="L214" s="1562">
        <v>30</v>
      </c>
      <c r="M214" s="2380" t="s">
        <v>6491</v>
      </c>
      <c r="N214" s="1563">
        <v>6</v>
      </c>
      <c r="O214" s="1564">
        <v>220</v>
      </c>
      <c r="P214" s="1565">
        <v>30</v>
      </c>
      <c r="Q214" s="2410" t="s">
        <v>6501</v>
      </c>
      <c r="R214" s="1566">
        <v>6</v>
      </c>
      <c r="S214" s="3473"/>
      <c r="T214" s="3476"/>
      <c r="U214" s="3364"/>
      <c r="V214" s="3365"/>
      <c r="W214" s="3364"/>
      <c r="X214" s="3365"/>
      <c r="Y214" s="253">
        <f>SUM('5층_부하량(월간_AVG)'!N166:P166)</f>
        <v>0</v>
      </c>
      <c r="Z214" s="253">
        <f>SUM('5층_부하량(월간_AVG)'!N197:P197)</f>
        <v>0</v>
      </c>
      <c r="AA214" s="2452">
        <f t="shared" si="100"/>
        <v>0</v>
      </c>
      <c r="AB214" s="2727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0</v>
      </c>
      <c r="AC214" s="2728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0</v>
      </c>
      <c r="AD214" s="2477">
        <f t="shared" ref="AD214:AD219" si="101">SUM(AB214:AC214)</f>
        <v>0</v>
      </c>
      <c r="AE214" s="2467" t="s">
        <v>3028</v>
      </c>
      <c r="AG214" s="2367">
        <f t="shared" si="90"/>
        <v>0</v>
      </c>
      <c r="AH214" s="2367">
        <f t="shared" si="91"/>
        <v>0</v>
      </c>
      <c r="AI214" s="123" t="str">
        <f t="shared" si="87"/>
        <v>무부하 랙</v>
      </c>
      <c r="AJ214" t="str">
        <f t="shared" si="88"/>
        <v/>
      </c>
      <c r="AK214" t="str">
        <f t="shared" si="89"/>
        <v/>
      </c>
      <c r="AP214" s="123"/>
      <c r="AQ214" s="123"/>
      <c r="AR214" s="123"/>
      <c r="AS214" s="3084"/>
      <c r="AT214" s="123"/>
      <c r="AU214" s="123"/>
      <c r="AV214" s="3092"/>
      <c r="AW214" s="3086"/>
      <c r="AX214" s="3087"/>
      <c r="AY214" s="3088"/>
      <c r="AZ214" s="3089"/>
      <c r="BA214" s="3090"/>
      <c r="BB214" s="1"/>
    </row>
    <row r="215" spans="1:54" ht="28.8">
      <c r="A215" s="2652" t="s">
        <v>3089</v>
      </c>
      <c r="B215" s="250" t="s">
        <v>3090</v>
      </c>
      <c r="C215" s="2664"/>
      <c r="D215" s="2664"/>
      <c r="E215" s="250" t="s">
        <v>3091</v>
      </c>
      <c r="F215" s="250" t="s">
        <v>3092</v>
      </c>
      <c r="G215" s="2665" t="s">
        <v>3093</v>
      </c>
      <c r="H215" s="2666" t="s">
        <v>3094</v>
      </c>
      <c r="I215" s="1598" t="str">
        <f t="shared" si="66"/>
        <v>5-DaHall1-PDU-05-30-8</v>
      </c>
      <c r="J215" s="1599" t="str">
        <f t="shared" si="58"/>
        <v>5-DaHall1-PDU-06-30-8</v>
      </c>
      <c r="K215" s="1561">
        <v>220</v>
      </c>
      <c r="L215" s="1562">
        <v>30</v>
      </c>
      <c r="M215" s="2380" t="s">
        <v>6491</v>
      </c>
      <c r="N215" s="1563">
        <v>8</v>
      </c>
      <c r="O215" s="1564">
        <v>220</v>
      </c>
      <c r="P215" s="1565">
        <v>30</v>
      </c>
      <c r="Q215" s="2410" t="s">
        <v>6501</v>
      </c>
      <c r="R215" s="1566">
        <v>8</v>
      </c>
      <c r="S215" s="3473"/>
      <c r="T215" s="3476"/>
      <c r="U215" s="3364"/>
      <c r="V215" s="3365"/>
      <c r="W215" s="3364"/>
      <c r="X215" s="3365"/>
      <c r="Y215" s="253">
        <f>SUM('5층_부하량(월간_AVG)'!N167:P167)</f>
        <v>0</v>
      </c>
      <c r="Z215" s="253">
        <f>SUM('5층_부하량(월간_AVG)'!N198:P198)</f>
        <v>0</v>
      </c>
      <c r="AA215" s="2452">
        <f t="shared" si="100"/>
        <v>0</v>
      </c>
      <c r="AB215" s="2727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0</v>
      </c>
      <c r="AC215" s="2728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0</v>
      </c>
      <c r="AD215" s="2477">
        <f t="shared" si="101"/>
        <v>0</v>
      </c>
      <c r="AE215" s="2467" t="s">
        <v>3028</v>
      </c>
      <c r="AG215" s="2367">
        <f t="shared" si="90"/>
        <v>0</v>
      </c>
      <c r="AH215" s="2367">
        <f t="shared" si="91"/>
        <v>0</v>
      </c>
      <c r="AI215" s="123" t="str">
        <f t="shared" si="87"/>
        <v>무부하 랙</v>
      </c>
      <c r="AJ215" t="str">
        <f t="shared" si="88"/>
        <v/>
      </c>
      <c r="AK215" t="str">
        <f t="shared" si="89"/>
        <v/>
      </c>
      <c r="AP215" s="123"/>
      <c r="AQ215" s="123"/>
      <c r="AR215" s="123"/>
      <c r="AS215" s="3084"/>
      <c r="AT215" s="123"/>
      <c r="AU215" s="123"/>
      <c r="AV215" s="3092"/>
      <c r="AW215" s="3086"/>
      <c r="AX215" s="3087"/>
      <c r="AY215" s="3088"/>
      <c r="AZ215" s="3089"/>
      <c r="BA215" s="3090"/>
      <c r="BB215" s="1"/>
    </row>
    <row r="216" spans="1:54" ht="28.8">
      <c r="A216" s="2652" t="s">
        <v>1007</v>
      </c>
      <c r="B216" s="250" t="s">
        <v>3095</v>
      </c>
      <c r="C216" s="2664"/>
      <c r="D216" s="2664"/>
      <c r="E216" s="250" t="s">
        <v>3096</v>
      </c>
      <c r="F216" s="250" t="s">
        <v>3097</v>
      </c>
      <c r="G216" s="2665" t="s">
        <v>3098</v>
      </c>
      <c r="H216" s="2666" t="s">
        <v>3099</v>
      </c>
      <c r="I216" s="1598" t="str">
        <f t="shared" si="66"/>
        <v>5-DaHall1-PDU-05-30-10</v>
      </c>
      <c r="J216" s="1599" t="str">
        <f t="shared" si="58"/>
        <v>5-DaHall1-PDU-06-30-10</v>
      </c>
      <c r="K216" s="1561">
        <v>220</v>
      </c>
      <c r="L216" s="1562">
        <v>30</v>
      </c>
      <c r="M216" s="2380" t="s">
        <v>6491</v>
      </c>
      <c r="N216" s="1563">
        <v>10</v>
      </c>
      <c r="O216" s="1564">
        <v>220</v>
      </c>
      <c r="P216" s="1565">
        <v>30</v>
      </c>
      <c r="Q216" s="2410" t="s">
        <v>6501</v>
      </c>
      <c r="R216" s="1566">
        <v>10</v>
      </c>
      <c r="S216" s="3473"/>
      <c r="T216" s="3476"/>
      <c r="U216" s="3364"/>
      <c r="V216" s="3365"/>
      <c r="W216" s="3364"/>
      <c r="X216" s="3365"/>
      <c r="Y216" s="253">
        <f>SUM('5층_부하량(월간_AVG)'!N168:P168)</f>
        <v>0</v>
      </c>
      <c r="Z216" s="253">
        <f>SUM('5층_부하량(월간_AVG)'!N199:P199)</f>
        <v>0</v>
      </c>
      <c r="AA216" s="2452">
        <f t="shared" si="100"/>
        <v>0</v>
      </c>
      <c r="AB216" s="2727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0</v>
      </c>
      <c r="AC216" s="2728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0</v>
      </c>
      <c r="AD216" s="2477">
        <f t="shared" si="101"/>
        <v>0</v>
      </c>
      <c r="AE216" s="2467" t="s">
        <v>3028</v>
      </c>
      <c r="AG216" s="2367">
        <f t="shared" si="90"/>
        <v>0</v>
      </c>
      <c r="AH216" s="2367">
        <f t="shared" si="91"/>
        <v>0</v>
      </c>
      <c r="AI216" s="123" t="str">
        <f t="shared" si="87"/>
        <v>무부하 랙</v>
      </c>
      <c r="AJ216" t="str">
        <f t="shared" si="88"/>
        <v/>
      </c>
      <c r="AK216" t="str">
        <f t="shared" si="89"/>
        <v/>
      </c>
      <c r="AP216" s="123"/>
      <c r="AQ216" s="123"/>
      <c r="AR216" s="123"/>
      <c r="AS216" s="3084"/>
      <c r="AT216" s="123"/>
      <c r="AU216" s="123"/>
      <c r="AV216" s="3092"/>
      <c r="AW216" s="3086"/>
      <c r="AX216" s="3087"/>
      <c r="AY216" s="3088"/>
      <c r="AZ216" s="3089"/>
      <c r="BA216" s="3090"/>
      <c r="BB216" s="1"/>
    </row>
    <row r="217" spans="1:54" ht="28.8">
      <c r="A217" s="2652" t="s">
        <v>3100</v>
      </c>
      <c r="B217" s="250" t="s">
        <v>3101</v>
      </c>
      <c r="C217" s="2664"/>
      <c r="D217" s="2664"/>
      <c r="E217" s="250" t="s">
        <v>3102</v>
      </c>
      <c r="F217" s="250" t="s">
        <v>3103</v>
      </c>
      <c r="G217" s="2665" t="s">
        <v>3104</v>
      </c>
      <c r="H217" s="2666" t="s">
        <v>3105</v>
      </c>
      <c r="I217" s="1598" t="str">
        <f t="shared" si="66"/>
        <v>5-DaHall1-PDU-05-30-12</v>
      </c>
      <c r="J217" s="1599" t="str">
        <f t="shared" si="58"/>
        <v>5-DaHall1-PDU-06-30-12</v>
      </c>
      <c r="K217" s="1561">
        <v>220</v>
      </c>
      <c r="L217" s="1562">
        <v>30</v>
      </c>
      <c r="M217" s="2380" t="s">
        <v>6491</v>
      </c>
      <c r="N217" s="1563">
        <v>12</v>
      </c>
      <c r="O217" s="1564">
        <v>220</v>
      </c>
      <c r="P217" s="1565">
        <v>30</v>
      </c>
      <c r="Q217" s="2410" t="s">
        <v>6501</v>
      </c>
      <c r="R217" s="1566">
        <v>12</v>
      </c>
      <c r="S217" s="3473"/>
      <c r="T217" s="3476"/>
      <c r="U217" s="3364"/>
      <c r="V217" s="3365"/>
      <c r="W217" s="3364"/>
      <c r="X217" s="3365"/>
      <c r="Y217" s="268">
        <f>SUM('5층_부하량(월간_AVG)'!N169:P169)</f>
        <v>0</v>
      </c>
      <c r="Z217" s="268">
        <f>SUM('5층_부하량(월간_AVG)'!N200:P200)</f>
        <v>0</v>
      </c>
      <c r="AA217" s="2452">
        <f t="shared" si="100"/>
        <v>0</v>
      </c>
      <c r="AB217" s="2727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0</v>
      </c>
      <c r="AC217" s="2728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0</v>
      </c>
      <c r="AD217" s="2477">
        <f t="shared" si="101"/>
        <v>0</v>
      </c>
      <c r="AE217" s="2467" t="s">
        <v>3028</v>
      </c>
      <c r="AG217" s="2367">
        <f t="shared" si="90"/>
        <v>0</v>
      </c>
      <c r="AH217" s="2367">
        <f t="shared" si="91"/>
        <v>0</v>
      </c>
      <c r="AI217" s="123" t="str">
        <f t="shared" si="87"/>
        <v>무부하 랙</v>
      </c>
      <c r="AJ217" t="str">
        <f t="shared" si="88"/>
        <v/>
      </c>
      <c r="AK217" t="str">
        <f t="shared" si="89"/>
        <v/>
      </c>
      <c r="AP217" s="123"/>
      <c r="AQ217" s="123"/>
      <c r="AR217" s="123"/>
      <c r="AS217" s="3084"/>
      <c r="AT217" s="123"/>
      <c r="AU217" s="123"/>
      <c r="AV217" s="3092"/>
      <c r="AW217" s="3086"/>
      <c r="AX217" s="3087"/>
      <c r="AY217" s="3088"/>
      <c r="AZ217" s="3089"/>
      <c r="BA217" s="3090"/>
      <c r="BB217" s="1"/>
    </row>
    <row r="218" spans="1:54" ht="28.8">
      <c r="A218" s="2652" t="s">
        <v>3106</v>
      </c>
      <c r="B218" s="250" t="s">
        <v>3107</v>
      </c>
      <c r="C218" s="2664"/>
      <c r="D218" s="2664"/>
      <c r="E218" s="250" t="s">
        <v>3108</v>
      </c>
      <c r="F218" s="250" t="s">
        <v>3109</v>
      </c>
      <c r="G218" s="2665" t="s">
        <v>3110</v>
      </c>
      <c r="H218" s="2666" t="s">
        <v>3111</v>
      </c>
      <c r="I218" s="1598" t="str">
        <f t="shared" si="66"/>
        <v>5-DaHall1-PDU-05-30-14</v>
      </c>
      <c r="J218" s="1599" t="str">
        <f t="shared" si="58"/>
        <v>5-DaHall1-PDU-06-30-16</v>
      </c>
      <c r="K218" s="1561">
        <v>220</v>
      </c>
      <c r="L218" s="1562">
        <v>30</v>
      </c>
      <c r="M218" s="2380" t="s">
        <v>6491</v>
      </c>
      <c r="N218" s="1563">
        <v>14</v>
      </c>
      <c r="O218" s="1564">
        <v>220</v>
      </c>
      <c r="P218" s="1565">
        <v>30</v>
      </c>
      <c r="Q218" s="2410" t="s">
        <v>6501</v>
      </c>
      <c r="R218" s="1566">
        <v>16</v>
      </c>
      <c r="S218" s="3473"/>
      <c r="T218" s="3476"/>
      <c r="U218" s="3364"/>
      <c r="V218" s="3365"/>
      <c r="W218" s="3364"/>
      <c r="X218" s="3365"/>
      <c r="Y218" s="268">
        <f>SUM('5층_부하량(월간_AVG)'!N170:P170)</f>
        <v>0</v>
      </c>
      <c r="Z218" s="268">
        <f>SUM('5층_부하량(월간_AVG)'!N202:P202)</f>
        <v>0</v>
      </c>
      <c r="AA218" s="2452">
        <f t="shared" si="100"/>
        <v>0</v>
      </c>
      <c r="AB218" s="2727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0</v>
      </c>
      <c r="AC218" s="2728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0</v>
      </c>
      <c r="AD218" s="2477">
        <f t="shared" si="101"/>
        <v>0</v>
      </c>
      <c r="AE218" s="2467" t="s">
        <v>3028</v>
      </c>
      <c r="AG218" s="2367">
        <f t="shared" si="90"/>
        <v>0</v>
      </c>
      <c r="AH218" s="2367">
        <f t="shared" si="91"/>
        <v>0</v>
      </c>
      <c r="AI218" s="123" t="str">
        <f t="shared" si="87"/>
        <v>무부하 랙</v>
      </c>
      <c r="AJ218" t="str">
        <f t="shared" si="88"/>
        <v/>
      </c>
      <c r="AK218" t="str">
        <f t="shared" si="89"/>
        <v/>
      </c>
      <c r="AP218" s="123"/>
      <c r="AQ218" s="123"/>
      <c r="AR218" s="123"/>
      <c r="AS218" s="3084"/>
      <c r="AT218" s="123"/>
      <c r="AU218" s="123"/>
      <c r="AV218" s="3092"/>
      <c r="AW218" s="3086"/>
      <c r="AX218" s="3087"/>
      <c r="AY218" s="3088"/>
      <c r="AZ218" s="3089"/>
      <c r="BA218" s="3090"/>
      <c r="BB218" s="1"/>
    </row>
    <row r="219" spans="1:54" ht="28.8">
      <c r="A219" s="2652" t="s">
        <v>3112</v>
      </c>
      <c r="B219" s="250" t="s">
        <v>3113</v>
      </c>
      <c r="C219" s="2664"/>
      <c r="D219" s="2664"/>
      <c r="E219" s="250" t="s">
        <v>3114</v>
      </c>
      <c r="F219" s="250" t="s">
        <v>3115</v>
      </c>
      <c r="G219" s="2665" t="s">
        <v>3116</v>
      </c>
      <c r="H219" s="2666" t="s">
        <v>3117</v>
      </c>
      <c r="I219" s="1598" t="str">
        <f t="shared" si="66"/>
        <v>5-DaHall1-PDU-05-30-16</v>
      </c>
      <c r="J219" s="1599" t="str">
        <f t="shared" si="58"/>
        <v>5-DaHall1-PDU-06-30-18</v>
      </c>
      <c r="K219" s="1561">
        <v>220</v>
      </c>
      <c r="L219" s="1562">
        <v>30</v>
      </c>
      <c r="M219" s="2380" t="s">
        <v>6491</v>
      </c>
      <c r="N219" s="1563">
        <v>16</v>
      </c>
      <c r="O219" s="1564">
        <v>220</v>
      </c>
      <c r="P219" s="1565">
        <v>30</v>
      </c>
      <c r="Q219" s="2410" t="s">
        <v>6501</v>
      </c>
      <c r="R219" s="1566">
        <v>18</v>
      </c>
      <c r="S219" s="3473"/>
      <c r="T219" s="3476"/>
      <c r="U219" s="3364"/>
      <c r="V219" s="3365"/>
      <c r="W219" s="3364"/>
      <c r="X219" s="3365"/>
      <c r="Y219" s="268">
        <f>SUM('5층_부하량(월간_AVG)'!N171:P171)</f>
        <v>0</v>
      </c>
      <c r="Z219" s="268">
        <f>SUM('5층_부하량(월간_AVG)'!N203:P203)</f>
        <v>0</v>
      </c>
      <c r="AA219" s="2452">
        <f t="shared" si="100"/>
        <v>0</v>
      </c>
      <c r="AB219" s="2727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0</v>
      </c>
      <c r="AC219" s="2728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0</v>
      </c>
      <c r="AD219" s="2477">
        <f t="shared" si="101"/>
        <v>0</v>
      </c>
      <c r="AE219" s="2467" t="s">
        <v>3028</v>
      </c>
      <c r="AG219" s="2367">
        <f t="shared" si="90"/>
        <v>0</v>
      </c>
      <c r="AH219" s="2367">
        <f t="shared" si="91"/>
        <v>0</v>
      </c>
      <c r="AI219" s="123" t="str">
        <f t="shared" si="87"/>
        <v>무부하 랙</v>
      </c>
      <c r="AJ219" t="str">
        <f t="shared" si="88"/>
        <v/>
      </c>
      <c r="AK219" t="str">
        <f t="shared" si="89"/>
        <v/>
      </c>
      <c r="AP219" s="123"/>
      <c r="AQ219" s="123"/>
      <c r="AR219" s="123"/>
      <c r="AS219" s="3084"/>
      <c r="AT219" s="123"/>
      <c r="AU219" s="123"/>
      <c r="AV219" s="3092"/>
      <c r="AW219" s="3086"/>
      <c r="AX219" s="3087"/>
      <c r="AY219" s="3088"/>
      <c r="AZ219" s="3089"/>
      <c r="BA219" s="3090"/>
      <c r="BB219" s="1"/>
    </row>
    <row r="220" spans="1:54">
      <c r="A220" s="2652" t="s">
        <v>3118</v>
      </c>
      <c r="B220" s="2712"/>
      <c r="C220" s="886"/>
      <c r="D220" s="886"/>
      <c r="E220" s="2712"/>
      <c r="F220" s="2712"/>
      <c r="G220" s="2710"/>
      <c r="H220" s="2706"/>
      <c r="I220" s="1593"/>
      <c r="J220" s="1585"/>
      <c r="K220" s="1594"/>
      <c r="L220" s="1595"/>
      <c r="M220" s="2710"/>
      <c r="N220" s="1596"/>
      <c r="O220" s="1597"/>
      <c r="P220" s="1587"/>
      <c r="Q220" s="2706"/>
      <c r="R220" s="1588"/>
      <c r="S220" s="2710"/>
      <c r="T220" s="2706"/>
      <c r="U220" s="832"/>
      <c r="V220" s="833"/>
      <c r="W220" s="832"/>
      <c r="X220" s="833"/>
      <c r="Y220" s="994"/>
      <c r="Z220" s="994"/>
      <c r="AA220" s="2457"/>
      <c r="AB220" s="2745"/>
      <c r="AC220" s="2746"/>
      <c r="AD220" s="2484"/>
      <c r="AE220" s="2526"/>
      <c r="AG220" s="2367">
        <f t="shared" si="90"/>
        <v>0</v>
      </c>
      <c r="AH220" s="2367">
        <f t="shared" si="91"/>
        <v>0</v>
      </c>
      <c r="AI220" s="123" t="str">
        <f t="shared" si="87"/>
        <v>무부하 랙</v>
      </c>
      <c r="AJ220" t="str">
        <f t="shared" si="88"/>
        <v/>
      </c>
      <c r="AK220" t="str">
        <f t="shared" si="89"/>
        <v/>
      </c>
      <c r="AP220" s="123"/>
      <c r="AQ220" s="123"/>
      <c r="AR220" s="123"/>
      <c r="AS220" s="3084"/>
      <c r="AT220" s="123"/>
      <c r="AU220" s="123"/>
      <c r="AV220" s="3092"/>
      <c r="AW220" s="3086"/>
      <c r="AX220" s="3087"/>
      <c r="AY220" s="3088"/>
      <c r="AZ220" s="3089"/>
      <c r="BA220" s="3090"/>
      <c r="BB220" s="1"/>
    </row>
    <row r="221" spans="1:54" ht="15" thickBot="1">
      <c r="A221" s="2660" t="s">
        <v>3119</v>
      </c>
      <c r="B221" s="839"/>
      <c r="C221" s="975"/>
      <c r="D221" s="975"/>
      <c r="E221" s="839"/>
      <c r="F221" s="839"/>
      <c r="G221" s="2711"/>
      <c r="H221" s="2707"/>
      <c r="I221" s="1612"/>
      <c r="J221" s="1613"/>
      <c r="K221" s="1626"/>
      <c r="L221" s="1627"/>
      <c r="M221" s="2711"/>
      <c r="N221" s="1628"/>
      <c r="O221" s="1629"/>
      <c r="P221" s="1630"/>
      <c r="Q221" s="2707"/>
      <c r="R221" s="1631"/>
      <c r="S221" s="2711"/>
      <c r="T221" s="2707"/>
      <c r="U221" s="840"/>
      <c r="V221" s="849"/>
      <c r="W221" s="840"/>
      <c r="X221" s="849"/>
      <c r="Y221" s="1101"/>
      <c r="Z221" s="1101"/>
      <c r="AA221" s="2456"/>
      <c r="AB221" s="2767"/>
      <c r="AC221" s="2768"/>
      <c r="AD221" s="2483"/>
      <c r="AE221" s="2529"/>
      <c r="AG221" s="2367">
        <f t="shared" si="90"/>
        <v>0</v>
      </c>
      <c r="AH221" s="2367">
        <f t="shared" si="91"/>
        <v>0</v>
      </c>
      <c r="AI221" s="123" t="str">
        <f t="shared" si="87"/>
        <v>무부하 랙</v>
      </c>
      <c r="AJ221" t="str">
        <f t="shared" si="88"/>
        <v/>
      </c>
      <c r="AK221" t="str">
        <f t="shared" si="89"/>
        <v/>
      </c>
      <c r="AP221" s="123"/>
      <c r="AQ221" s="123"/>
      <c r="AR221" s="123"/>
      <c r="AS221" s="3084"/>
      <c r="AT221" s="123"/>
      <c r="AU221" s="123"/>
      <c r="AV221" s="3092"/>
      <c r="AW221" s="3086"/>
      <c r="AX221" s="3087"/>
      <c r="AY221" s="3088"/>
      <c r="AZ221" s="3089"/>
      <c r="BA221" s="3090"/>
      <c r="BB221" s="1"/>
    </row>
    <row r="222" spans="1:54" ht="27.75" customHeight="1" thickTop="1">
      <c r="A222" s="1084" t="s">
        <v>1030</v>
      </c>
      <c r="B222" s="327" t="s">
        <v>3120</v>
      </c>
      <c r="C222" s="973"/>
      <c r="D222" s="973"/>
      <c r="E222" s="327" t="s">
        <v>3121</v>
      </c>
      <c r="F222" s="327" t="s">
        <v>3122</v>
      </c>
      <c r="G222" s="2673" t="s">
        <v>3123</v>
      </c>
      <c r="H222" s="2674" t="s">
        <v>3124</v>
      </c>
      <c r="I222" s="1610" t="str">
        <f t="shared" ref="I222:I229" si="102">"5-DaHall1-PDU-"&amp;M222&amp;"-"&amp;L222&amp;"-"&amp;N222</f>
        <v>5-DaHall1-PDU-05-30-18</v>
      </c>
      <c r="J222" s="1611" t="str">
        <f t="shared" ref="J222:J229" si="103">"5-DaHall1-PDU-"&amp;Q222&amp;"-"&amp;P222&amp;"-"&amp;R222</f>
        <v>5-DaHall1-PDU-06-30-20</v>
      </c>
      <c r="K222" s="1555">
        <v>220</v>
      </c>
      <c r="L222" s="1556">
        <v>30</v>
      </c>
      <c r="M222" s="2379" t="s">
        <v>6491</v>
      </c>
      <c r="N222" s="1557">
        <v>18</v>
      </c>
      <c r="O222" s="1558">
        <v>220</v>
      </c>
      <c r="P222" s="1559">
        <v>30</v>
      </c>
      <c r="Q222" s="2409" t="s">
        <v>6501</v>
      </c>
      <c r="R222" s="1560">
        <v>20</v>
      </c>
      <c r="S222" s="3472" t="s">
        <v>2926</v>
      </c>
      <c r="T222" s="3475" t="s">
        <v>2927</v>
      </c>
      <c r="U222" s="3355" t="s">
        <v>2928</v>
      </c>
      <c r="V222" s="3361" t="s">
        <v>2929</v>
      </c>
      <c r="W222" s="3355" t="s">
        <v>2484</v>
      </c>
      <c r="X222" s="3361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54">
        <f>SUM(Y222:Z222)</f>
        <v>0</v>
      </c>
      <c r="AB222" s="2725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0</v>
      </c>
      <c r="AC222" s="2726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0</v>
      </c>
      <c r="AD222" s="2479">
        <f>SUM(AB222:AC222)</f>
        <v>0</v>
      </c>
      <c r="AE222" s="2469" t="s">
        <v>3028</v>
      </c>
      <c r="AG222" s="2367">
        <f t="shared" si="90"/>
        <v>0</v>
      </c>
      <c r="AH222" s="2367">
        <f t="shared" si="91"/>
        <v>0</v>
      </c>
      <c r="AI222" s="123" t="str">
        <f t="shared" si="87"/>
        <v>무부하 랙</v>
      </c>
      <c r="AJ222" t="str">
        <f t="shared" si="88"/>
        <v/>
      </c>
      <c r="AK222" t="str">
        <f t="shared" si="89"/>
        <v/>
      </c>
      <c r="AP222" s="123"/>
      <c r="AQ222" s="123"/>
      <c r="AR222" s="123"/>
      <c r="AS222" s="3084"/>
      <c r="AT222" s="123"/>
      <c r="AU222" s="123"/>
      <c r="AV222" s="3092"/>
      <c r="AW222" s="3086"/>
      <c r="AX222" s="3087"/>
      <c r="AY222" s="3088"/>
      <c r="AZ222" s="3089"/>
      <c r="BA222" s="3090"/>
      <c r="BB222" s="1"/>
    </row>
    <row r="223" spans="1:54" ht="28.8">
      <c r="A223" s="2652" t="s">
        <v>1031</v>
      </c>
      <c r="B223" s="250" t="s">
        <v>3125</v>
      </c>
      <c r="C223" s="2664"/>
      <c r="D223" s="2664"/>
      <c r="E223" s="250" t="s">
        <v>3126</v>
      </c>
      <c r="F223" s="250" t="s">
        <v>3127</v>
      </c>
      <c r="G223" s="2665" t="s">
        <v>3128</v>
      </c>
      <c r="H223" s="2666" t="s">
        <v>3129</v>
      </c>
      <c r="I223" s="1598" t="str">
        <f t="shared" si="102"/>
        <v>5-DaHall1-PDU-05-30-20</v>
      </c>
      <c r="J223" s="1599" t="str">
        <f t="shared" si="103"/>
        <v>5-DaHall1-PDU-06-30-22</v>
      </c>
      <c r="K223" s="1561">
        <v>220</v>
      </c>
      <c r="L223" s="1562">
        <v>30</v>
      </c>
      <c r="M223" s="2380" t="s">
        <v>6491</v>
      </c>
      <c r="N223" s="1563">
        <v>20</v>
      </c>
      <c r="O223" s="1564">
        <v>220</v>
      </c>
      <c r="P223" s="1565">
        <v>30</v>
      </c>
      <c r="Q223" s="2410" t="s">
        <v>6501</v>
      </c>
      <c r="R223" s="1566">
        <v>22</v>
      </c>
      <c r="S223" s="3473"/>
      <c r="T223" s="3476"/>
      <c r="U223" s="3364"/>
      <c r="V223" s="3365"/>
      <c r="W223" s="3364"/>
      <c r="X223" s="3365"/>
      <c r="Y223" s="253">
        <f>SUM('5층_부하량(월간_AVG)'!N175:P175)</f>
        <v>0</v>
      </c>
      <c r="Z223" s="253">
        <f>SUM('5층_부하량(월간_AVG)'!N205:P205)</f>
        <v>0</v>
      </c>
      <c r="AA223" s="2452">
        <f t="shared" ref="AA223:AA229" si="104">SUM(Y223:Z223)</f>
        <v>0</v>
      </c>
      <c r="AB223" s="2727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0</v>
      </c>
      <c r="AC223" s="2728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0</v>
      </c>
      <c r="AD223" s="2477">
        <f>SUM(AB223:AC223)</f>
        <v>0</v>
      </c>
      <c r="AE223" s="2467" t="s">
        <v>3028</v>
      </c>
      <c r="AG223" s="2367">
        <f t="shared" si="90"/>
        <v>0</v>
      </c>
      <c r="AH223" s="2367">
        <f t="shared" si="91"/>
        <v>0</v>
      </c>
      <c r="AI223" s="123" t="str">
        <f t="shared" si="87"/>
        <v>무부하 랙</v>
      </c>
      <c r="AJ223" t="str">
        <f t="shared" si="88"/>
        <v/>
      </c>
      <c r="AK223" t="str">
        <f t="shared" si="89"/>
        <v/>
      </c>
      <c r="AP223" s="123"/>
      <c r="AQ223" s="123"/>
      <c r="AR223" s="123"/>
      <c r="AS223" s="3084"/>
      <c r="AT223" s="123"/>
      <c r="AU223" s="123"/>
      <c r="AV223" s="3092"/>
      <c r="AW223" s="3086"/>
      <c r="AX223" s="3087"/>
      <c r="AY223" s="3088"/>
      <c r="AZ223" s="3089"/>
      <c r="BA223" s="3090"/>
      <c r="BB223" s="1"/>
    </row>
    <row r="224" spans="1:54" ht="28.8">
      <c r="A224" s="2652" t="s">
        <v>3130</v>
      </c>
      <c r="B224" s="250" t="s">
        <v>3131</v>
      </c>
      <c r="C224" s="2664"/>
      <c r="D224" s="2664"/>
      <c r="E224" s="250" t="s">
        <v>3132</v>
      </c>
      <c r="F224" s="250" t="s">
        <v>3133</v>
      </c>
      <c r="G224" s="2665" t="s">
        <v>3134</v>
      </c>
      <c r="H224" s="2666" t="s">
        <v>3135</v>
      </c>
      <c r="I224" s="1598" t="str">
        <f t="shared" si="102"/>
        <v>5-DaHall1-PDU-05-30-22</v>
      </c>
      <c r="J224" s="1599" t="str">
        <f t="shared" si="103"/>
        <v>5-DaHall1-PDU-06-30-24</v>
      </c>
      <c r="K224" s="1561">
        <v>220</v>
      </c>
      <c r="L224" s="1562">
        <v>30</v>
      </c>
      <c r="M224" s="2380" t="s">
        <v>6491</v>
      </c>
      <c r="N224" s="1563">
        <v>22</v>
      </c>
      <c r="O224" s="1564">
        <v>220</v>
      </c>
      <c r="P224" s="1565">
        <v>30</v>
      </c>
      <c r="Q224" s="2410" t="s">
        <v>6501</v>
      </c>
      <c r="R224" s="1566">
        <v>24</v>
      </c>
      <c r="S224" s="3473"/>
      <c r="T224" s="3476"/>
      <c r="U224" s="3364"/>
      <c r="V224" s="3365"/>
      <c r="W224" s="3364"/>
      <c r="X224" s="3365"/>
      <c r="Y224" s="253">
        <f>SUM('5층_부하량(월간_AVG)'!N176:P176)</f>
        <v>0</v>
      </c>
      <c r="Z224" s="253">
        <f>SUM('5층_부하량(월간_AVG)'!N206:P206)</f>
        <v>0</v>
      </c>
      <c r="AA224" s="2452">
        <f t="shared" si="104"/>
        <v>0</v>
      </c>
      <c r="AB224" s="2727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0</v>
      </c>
      <c r="AC224" s="2728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0</v>
      </c>
      <c r="AD224" s="2477">
        <f t="shared" ref="AD224:AD229" si="105">SUM(AB224:AC224)</f>
        <v>0</v>
      </c>
      <c r="AE224" s="2467" t="s">
        <v>3028</v>
      </c>
      <c r="AG224" s="2367">
        <f t="shared" si="90"/>
        <v>0</v>
      </c>
      <c r="AH224" s="2367">
        <f t="shared" si="91"/>
        <v>0</v>
      </c>
      <c r="AI224" s="123" t="str">
        <f t="shared" si="87"/>
        <v>무부하 랙</v>
      </c>
      <c r="AJ224" t="str">
        <f t="shared" si="88"/>
        <v/>
      </c>
      <c r="AK224" t="str">
        <f t="shared" si="89"/>
        <v/>
      </c>
      <c r="AP224" s="123"/>
      <c r="AQ224" s="123"/>
      <c r="AR224" s="123"/>
      <c r="AS224" s="3084"/>
      <c r="AT224" s="123"/>
      <c r="AU224" s="123"/>
      <c r="AV224" s="3092"/>
      <c r="AW224" s="3086"/>
      <c r="AX224" s="3087"/>
      <c r="AY224" s="3088"/>
      <c r="AZ224" s="3089"/>
      <c r="BA224" s="3090"/>
      <c r="BB224" s="1"/>
    </row>
    <row r="225" spans="1:54" ht="28.8">
      <c r="A225" s="2652" t="s">
        <v>3136</v>
      </c>
      <c r="B225" s="250" t="s">
        <v>3137</v>
      </c>
      <c r="C225" s="2664"/>
      <c r="D225" s="2664"/>
      <c r="E225" s="250" t="s">
        <v>3138</v>
      </c>
      <c r="F225" s="250" t="s">
        <v>3139</v>
      </c>
      <c r="G225" s="2665" t="s">
        <v>3140</v>
      </c>
      <c r="H225" s="2666" t="s">
        <v>3141</v>
      </c>
      <c r="I225" s="1598" t="str">
        <f t="shared" si="102"/>
        <v>5-DaHall1-PDU-05-30-24</v>
      </c>
      <c r="J225" s="1599" t="str">
        <f t="shared" si="103"/>
        <v>5-DaHall1-PDU-06-30-26</v>
      </c>
      <c r="K225" s="1561">
        <v>220</v>
      </c>
      <c r="L225" s="1562">
        <v>30</v>
      </c>
      <c r="M225" s="2380" t="s">
        <v>6491</v>
      </c>
      <c r="N225" s="1563">
        <v>24</v>
      </c>
      <c r="O225" s="1564">
        <v>220</v>
      </c>
      <c r="P225" s="1565">
        <v>30</v>
      </c>
      <c r="Q225" s="2410" t="s">
        <v>6501</v>
      </c>
      <c r="R225" s="1566">
        <v>26</v>
      </c>
      <c r="S225" s="3473"/>
      <c r="T225" s="3476"/>
      <c r="U225" s="3364"/>
      <c r="V225" s="3365"/>
      <c r="W225" s="3364"/>
      <c r="X225" s="3365"/>
      <c r="Y225" s="253">
        <f>SUM('5층_부하량(월간_AVG)'!N177:P177)</f>
        <v>0</v>
      </c>
      <c r="Z225" s="253">
        <f>SUM('5층_부하량(월간_AVG)'!N207:P207)</f>
        <v>0</v>
      </c>
      <c r="AA225" s="2452">
        <f t="shared" si="104"/>
        <v>0</v>
      </c>
      <c r="AB225" s="2727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0</v>
      </c>
      <c r="AC225" s="2728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0</v>
      </c>
      <c r="AD225" s="2477">
        <f t="shared" si="105"/>
        <v>0</v>
      </c>
      <c r="AE225" s="2467" t="s">
        <v>3028</v>
      </c>
      <c r="AG225" s="2367">
        <f t="shared" si="90"/>
        <v>0</v>
      </c>
      <c r="AH225" s="2367">
        <f t="shared" si="91"/>
        <v>0</v>
      </c>
      <c r="AI225" s="123" t="str">
        <f t="shared" si="87"/>
        <v>무부하 랙</v>
      </c>
      <c r="AJ225" t="str">
        <f t="shared" si="88"/>
        <v/>
      </c>
      <c r="AK225" t="str">
        <f t="shared" si="89"/>
        <v/>
      </c>
      <c r="AP225" s="123"/>
      <c r="AQ225" s="123"/>
      <c r="AR225" s="123"/>
      <c r="AS225" s="3084"/>
      <c r="AT225" s="123"/>
      <c r="AU225" s="123"/>
      <c r="AV225" s="3092"/>
      <c r="AW225" s="3086"/>
      <c r="AX225" s="3087"/>
      <c r="AY225" s="3088"/>
      <c r="AZ225" s="3089"/>
      <c r="BA225" s="3090"/>
      <c r="BB225" s="1"/>
    </row>
    <row r="226" spans="1:54" ht="28.8">
      <c r="A226" s="2652" t="s">
        <v>3142</v>
      </c>
      <c r="B226" s="250" t="s">
        <v>3143</v>
      </c>
      <c r="C226" s="2664"/>
      <c r="D226" s="2664"/>
      <c r="E226" s="250" t="s">
        <v>3144</v>
      </c>
      <c r="F226" s="250" t="s">
        <v>3145</v>
      </c>
      <c r="G226" s="2665" t="s">
        <v>3146</v>
      </c>
      <c r="H226" s="2666" t="s">
        <v>3147</v>
      </c>
      <c r="I226" s="1598" t="str">
        <f t="shared" si="102"/>
        <v>5-DaHall1-PDU-05-30-26</v>
      </c>
      <c r="J226" s="1599" t="str">
        <f t="shared" si="103"/>
        <v>5-DaHall1-PDU-06-30-28</v>
      </c>
      <c r="K226" s="1561">
        <v>220</v>
      </c>
      <c r="L226" s="1562">
        <v>30</v>
      </c>
      <c r="M226" s="2380" t="s">
        <v>6491</v>
      </c>
      <c r="N226" s="1563">
        <v>26</v>
      </c>
      <c r="O226" s="1564">
        <v>220</v>
      </c>
      <c r="P226" s="1565">
        <v>30</v>
      </c>
      <c r="Q226" s="2410" t="s">
        <v>6501</v>
      </c>
      <c r="R226" s="1566">
        <v>28</v>
      </c>
      <c r="S226" s="3473"/>
      <c r="T226" s="3476"/>
      <c r="U226" s="3364"/>
      <c r="V226" s="3365"/>
      <c r="W226" s="3364"/>
      <c r="X226" s="3365"/>
      <c r="Y226" s="253">
        <f>SUM('5층_부하량(월간_AVG)'!N178:P178)</f>
        <v>0</v>
      </c>
      <c r="Z226" s="253">
        <f>SUM('5층_부하량(월간_AVG)'!N208:P208)</f>
        <v>0</v>
      </c>
      <c r="AA226" s="2452">
        <f t="shared" si="104"/>
        <v>0</v>
      </c>
      <c r="AB226" s="2727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0</v>
      </c>
      <c r="AC226" s="2728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0</v>
      </c>
      <c r="AD226" s="2477">
        <f t="shared" si="105"/>
        <v>0</v>
      </c>
      <c r="AE226" s="2467" t="s">
        <v>3028</v>
      </c>
      <c r="AG226" s="2367">
        <f t="shared" si="90"/>
        <v>0</v>
      </c>
      <c r="AH226" s="2367">
        <f t="shared" si="91"/>
        <v>0</v>
      </c>
      <c r="AI226" s="123" t="str">
        <f t="shared" si="87"/>
        <v>무부하 랙</v>
      </c>
      <c r="AJ226" t="str">
        <f t="shared" si="88"/>
        <v/>
      </c>
      <c r="AK226" t="str">
        <f t="shared" si="89"/>
        <v/>
      </c>
      <c r="AP226" s="123"/>
      <c r="AQ226" s="123"/>
      <c r="AR226" s="123"/>
      <c r="AS226" s="3084"/>
      <c r="AT226" s="123"/>
      <c r="AU226" s="123"/>
      <c r="AV226" s="3092"/>
      <c r="AW226" s="3086"/>
      <c r="AX226" s="3087"/>
      <c r="AY226" s="3088"/>
      <c r="AZ226" s="3089"/>
      <c r="BA226" s="3090"/>
      <c r="BB226" s="1"/>
    </row>
    <row r="227" spans="1:54" ht="28.8">
      <c r="A227" s="2652" t="s">
        <v>3148</v>
      </c>
      <c r="B227" s="250" t="s">
        <v>3149</v>
      </c>
      <c r="C227" s="2664"/>
      <c r="D227" s="2664"/>
      <c r="E227" s="250" t="s">
        <v>3150</v>
      </c>
      <c r="F227" s="250" t="s">
        <v>3151</v>
      </c>
      <c r="G227" s="2665" t="s">
        <v>3152</v>
      </c>
      <c r="H227" s="2666" t="s">
        <v>3153</v>
      </c>
      <c r="I227" s="1598" t="str">
        <f t="shared" si="102"/>
        <v>5-DaHall1-PDU-05-30-28</v>
      </c>
      <c r="J227" s="1599" t="str">
        <f t="shared" si="103"/>
        <v>5-DaHall1-PDU-06-30-30</v>
      </c>
      <c r="K227" s="1561">
        <v>220</v>
      </c>
      <c r="L227" s="1562">
        <v>30</v>
      </c>
      <c r="M227" s="2380" t="s">
        <v>6491</v>
      </c>
      <c r="N227" s="1563">
        <v>28</v>
      </c>
      <c r="O227" s="1564">
        <v>220</v>
      </c>
      <c r="P227" s="1565">
        <v>30</v>
      </c>
      <c r="Q227" s="2410" t="s">
        <v>6501</v>
      </c>
      <c r="R227" s="1566">
        <v>30</v>
      </c>
      <c r="S227" s="3473"/>
      <c r="T227" s="3476"/>
      <c r="U227" s="3364"/>
      <c r="V227" s="3365"/>
      <c r="W227" s="3364"/>
      <c r="X227" s="3365"/>
      <c r="Y227" s="268">
        <f>SUM('5층_부하량(월간_AVG)'!N179:P179)</f>
        <v>0</v>
      </c>
      <c r="Z227" s="268">
        <f>SUM('5층_부하량(월간_AVG)'!N209:P209)</f>
        <v>0</v>
      </c>
      <c r="AA227" s="2452">
        <f t="shared" si="104"/>
        <v>0</v>
      </c>
      <c r="AB227" s="2727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0</v>
      </c>
      <c r="AC227" s="2728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0</v>
      </c>
      <c r="AD227" s="2477">
        <f t="shared" si="105"/>
        <v>0</v>
      </c>
      <c r="AE227" s="2467" t="s">
        <v>3028</v>
      </c>
      <c r="AG227" s="2367">
        <f t="shared" si="90"/>
        <v>0</v>
      </c>
      <c r="AH227" s="2367">
        <f t="shared" si="91"/>
        <v>0</v>
      </c>
      <c r="AI227" s="123" t="str">
        <f t="shared" si="87"/>
        <v>무부하 랙</v>
      </c>
      <c r="AJ227" t="str">
        <f t="shared" si="88"/>
        <v/>
      </c>
      <c r="AK227" t="str">
        <f t="shared" si="89"/>
        <v/>
      </c>
      <c r="AP227" s="123"/>
      <c r="AQ227" s="123"/>
      <c r="AR227" s="123"/>
      <c r="AS227" s="3084"/>
      <c r="AT227" s="123"/>
      <c r="AU227" s="123"/>
      <c r="AV227" s="3092"/>
      <c r="AW227" s="3086"/>
      <c r="AX227" s="3087"/>
      <c r="AY227" s="3088"/>
      <c r="AZ227" s="3089"/>
      <c r="BA227" s="3090"/>
      <c r="BB227" s="1"/>
    </row>
    <row r="228" spans="1:54" ht="28.8">
      <c r="A228" s="2652" t="s">
        <v>3154</v>
      </c>
      <c r="B228" s="250" t="s">
        <v>3155</v>
      </c>
      <c r="C228" s="2664"/>
      <c r="D228" s="2664"/>
      <c r="E228" s="250" t="s">
        <v>3156</v>
      </c>
      <c r="F228" s="250" t="s">
        <v>3157</v>
      </c>
      <c r="G228" s="2665" t="s">
        <v>3158</v>
      </c>
      <c r="H228" s="2666" t="s">
        <v>3159</v>
      </c>
      <c r="I228" s="1598" t="str">
        <f t="shared" si="102"/>
        <v>5-DaHall1-PDU-05-30-30</v>
      </c>
      <c r="J228" s="1599" t="str">
        <f t="shared" si="103"/>
        <v>5-DaHall1-PDU-06-30-34</v>
      </c>
      <c r="K228" s="1561">
        <v>220</v>
      </c>
      <c r="L228" s="1562">
        <v>30</v>
      </c>
      <c r="M228" s="2380" t="s">
        <v>6491</v>
      </c>
      <c r="N228" s="1563">
        <v>30</v>
      </c>
      <c r="O228" s="1564">
        <v>220</v>
      </c>
      <c r="P228" s="1565">
        <v>30</v>
      </c>
      <c r="Q228" s="2410" t="s">
        <v>6501</v>
      </c>
      <c r="R228" s="1566">
        <v>34</v>
      </c>
      <c r="S228" s="3473"/>
      <c r="T228" s="3476"/>
      <c r="U228" s="3364"/>
      <c r="V228" s="3365"/>
      <c r="W228" s="3364"/>
      <c r="X228" s="3365"/>
      <c r="Y228" s="268">
        <f>SUM('5층_부하량(월간_AVG)'!N180:P180)</f>
        <v>0</v>
      </c>
      <c r="Z228" s="268">
        <f>SUM('5층_부하량(월간_AVG)'!N211:P211)</f>
        <v>0</v>
      </c>
      <c r="AA228" s="2452">
        <f t="shared" si="104"/>
        <v>0</v>
      </c>
      <c r="AB228" s="2727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0</v>
      </c>
      <c r="AC228" s="2728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0</v>
      </c>
      <c r="AD228" s="2477">
        <f t="shared" si="105"/>
        <v>0</v>
      </c>
      <c r="AE228" s="2467" t="s">
        <v>3028</v>
      </c>
      <c r="AG228" s="2367">
        <f t="shared" si="90"/>
        <v>0</v>
      </c>
      <c r="AH228" s="2367">
        <f t="shared" si="91"/>
        <v>0</v>
      </c>
      <c r="AI228" s="123" t="str">
        <f t="shared" si="87"/>
        <v>무부하 랙</v>
      </c>
      <c r="AJ228" t="str">
        <f t="shared" si="88"/>
        <v/>
      </c>
      <c r="AK228" t="str">
        <f t="shared" si="89"/>
        <v/>
      </c>
      <c r="AP228" s="123"/>
      <c r="AQ228" s="123"/>
      <c r="AR228" s="123"/>
      <c r="AS228" s="3084"/>
      <c r="AT228" s="123"/>
      <c r="AU228" s="123"/>
      <c r="AV228" s="3092"/>
      <c r="AW228" s="3086"/>
      <c r="AX228" s="3087"/>
      <c r="AY228" s="3088"/>
      <c r="AZ228" s="3089"/>
      <c r="BA228" s="3090"/>
      <c r="BB228" s="1"/>
    </row>
    <row r="229" spans="1:54" ht="28.8">
      <c r="A229" s="2652" t="s">
        <v>3160</v>
      </c>
      <c r="B229" s="250" t="s">
        <v>3161</v>
      </c>
      <c r="C229" s="2664"/>
      <c r="D229" s="2664"/>
      <c r="E229" s="250" t="s">
        <v>3162</v>
      </c>
      <c r="F229" s="250" t="s">
        <v>3163</v>
      </c>
      <c r="G229" s="2665" t="s">
        <v>3164</v>
      </c>
      <c r="H229" s="2666" t="s">
        <v>3165</v>
      </c>
      <c r="I229" s="1598" t="str">
        <f t="shared" si="102"/>
        <v>5-DaHall1-PDU-05-30-32</v>
      </c>
      <c r="J229" s="1599" t="str">
        <f t="shared" si="103"/>
        <v>5-DaHall1-PDU-06-30-36</v>
      </c>
      <c r="K229" s="1561">
        <v>220</v>
      </c>
      <c r="L229" s="1562">
        <v>30</v>
      </c>
      <c r="M229" s="2380" t="s">
        <v>6491</v>
      </c>
      <c r="N229" s="1563">
        <v>32</v>
      </c>
      <c r="O229" s="1564">
        <v>220</v>
      </c>
      <c r="P229" s="1565">
        <v>30</v>
      </c>
      <c r="Q229" s="2410" t="s">
        <v>6501</v>
      </c>
      <c r="R229" s="1566">
        <v>36</v>
      </c>
      <c r="S229" s="3473"/>
      <c r="T229" s="3476"/>
      <c r="U229" s="3364"/>
      <c r="V229" s="3365"/>
      <c r="W229" s="3364"/>
      <c r="X229" s="3365"/>
      <c r="Y229" s="268">
        <f>SUM('5층_부하량(월간_AVG)'!N181:P181)</f>
        <v>0</v>
      </c>
      <c r="Z229" s="268">
        <f>SUM('5층_부하량(월간_AVG)'!N212:P212)</f>
        <v>0</v>
      </c>
      <c r="AA229" s="2452">
        <f t="shared" si="104"/>
        <v>0</v>
      </c>
      <c r="AB229" s="2727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0</v>
      </c>
      <c r="AC229" s="2728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0</v>
      </c>
      <c r="AD229" s="2477">
        <f t="shared" si="105"/>
        <v>0</v>
      </c>
      <c r="AE229" s="2467" t="s">
        <v>3028</v>
      </c>
      <c r="AG229" s="2367">
        <f t="shared" si="90"/>
        <v>0</v>
      </c>
      <c r="AH229" s="2367">
        <f t="shared" si="91"/>
        <v>0</v>
      </c>
      <c r="AI229" s="123" t="str">
        <f t="shared" si="87"/>
        <v>무부하 랙</v>
      </c>
      <c r="AJ229" t="str">
        <f t="shared" si="88"/>
        <v/>
      </c>
      <c r="AK229" t="str">
        <f t="shared" si="89"/>
        <v/>
      </c>
      <c r="AP229" s="123"/>
      <c r="AQ229" s="123"/>
      <c r="AR229" s="123"/>
      <c r="AS229" s="3084"/>
      <c r="AT229" s="123"/>
      <c r="AU229" s="123"/>
      <c r="AV229" s="3092"/>
      <c r="AW229" s="3086"/>
      <c r="AX229" s="3087"/>
      <c r="AY229" s="3088"/>
      <c r="AZ229" s="3089"/>
      <c r="BA229" s="3090"/>
      <c r="BB229" s="1"/>
    </row>
    <row r="230" spans="1:54">
      <c r="A230" s="2652" t="s">
        <v>3166</v>
      </c>
      <c r="B230" s="2712"/>
      <c r="C230" s="886"/>
      <c r="D230" s="886"/>
      <c r="E230" s="2712"/>
      <c r="F230" s="2712"/>
      <c r="G230" s="2710"/>
      <c r="H230" s="2706"/>
      <c r="I230" s="1593"/>
      <c r="J230" s="1585"/>
      <c r="K230" s="1594"/>
      <c r="L230" s="1595"/>
      <c r="M230" s="2710"/>
      <c r="N230" s="1596"/>
      <c r="O230" s="1597"/>
      <c r="P230" s="1587"/>
      <c r="Q230" s="2706"/>
      <c r="R230" s="1588"/>
      <c r="S230" s="2710"/>
      <c r="T230" s="2706"/>
      <c r="U230" s="832"/>
      <c r="V230" s="833"/>
      <c r="W230" s="832"/>
      <c r="X230" s="833"/>
      <c r="Y230" s="994"/>
      <c r="Z230" s="994"/>
      <c r="AA230" s="2457"/>
      <c r="AB230" s="2745"/>
      <c r="AC230" s="2746"/>
      <c r="AD230" s="2484"/>
      <c r="AE230" s="2526"/>
      <c r="AG230" s="2367">
        <f t="shared" si="90"/>
        <v>0</v>
      </c>
      <c r="AH230" s="2367">
        <f t="shared" si="91"/>
        <v>0</v>
      </c>
      <c r="AI230" s="123" t="str">
        <f t="shared" si="87"/>
        <v>무부하 랙</v>
      </c>
      <c r="AJ230" t="str">
        <f t="shared" si="88"/>
        <v/>
      </c>
      <c r="AK230" t="str">
        <f t="shared" si="89"/>
        <v/>
      </c>
      <c r="AP230" s="123"/>
      <c r="AQ230" s="123"/>
      <c r="AR230" s="123"/>
      <c r="AS230" s="3084"/>
      <c r="AT230" s="123"/>
      <c r="AU230" s="123"/>
      <c r="AV230" s="3092"/>
      <c r="AW230" s="3086"/>
      <c r="AX230" s="3087"/>
      <c r="AY230" s="3088"/>
      <c r="AZ230" s="3089"/>
      <c r="BA230" s="3090"/>
      <c r="BB230" s="1"/>
    </row>
    <row r="231" spans="1:54" ht="15" thickBot="1">
      <c r="A231" s="2660" t="s">
        <v>3167</v>
      </c>
      <c r="B231" s="839"/>
      <c r="C231" s="975"/>
      <c r="D231" s="975"/>
      <c r="E231" s="839"/>
      <c r="F231" s="839"/>
      <c r="G231" s="2711"/>
      <c r="H231" s="2707"/>
      <c r="I231" s="1612"/>
      <c r="J231" s="1613"/>
      <c r="K231" s="1626"/>
      <c r="L231" s="1627"/>
      <c r="M231" s="2711"/>
      <c r="N231" s="1628"/>
      <c r="O231" s="1629"/>
      <c r="P231" s="1630"/>
      <c r="Q231" s="2707"/>
      <c r="R231" s="1631"/>
      <c r="S231" s="2711"/>
      <c r="T231" s="2707"/>
      <c r="U231" s="840"/>
      <c r="V231" s="849"/>
      <c r="W231" s="840"/>
      <c r="X231" s="849"/>
      <c r="Y231" s="1101"/>
      <c r="Z231" s="1101"/>
      <c r="AA231" s="2456"/>
      <c r="AB231" s="2767"/>
      <c r="AC231" s="2768"/>
      <c r="AD231" s="2483"/>
      <c r="AE231" s="2529"/>
      <c r="AG231" s="2367">
        <f t="shared" si="90"/>
        <v>0</v>
      </c>
      <c r="AH231" s="2367">
        <f t="shared" si="91"/>
        <v>0</v>
      </c>
      <c r="AI231" s="123" t="str">
        <f t="shared" si="87"/>
        <v>무부하 랙</v>
      </c>
      <c r="AJ231" t="str">
        <f t="shared" si="88"/>
        <v/>
      </c>
      <c r="AK231" t="str">
        <f t="shared" si="89"/>
        <v/>
      </c>
      <c r="AP231" s="123"/>
      <c r="AQ231" s="123"/>
      <c r="AR231" s="123"/>
      <c r="AS231" s="3084"/>
      <c r="AT231" s="123"/>
      <c r="AU231" s="123"/>
      <c r="AV231" s="3092"/>
      <c r="AW231" s="3086"/>
      <c r="AX231" s="3087"/>
      <c r="AY231" s="3088"/>
      <c r="AZ231" s="3089"/>
      <c r="BA231" s="3090"/>
      <c r="BB231" s="1"/>
    </row>
    <row r="232" spans="1:54" ht="29.4" thickTop="1">
      <c r="A232" s="1084"/>
      <c r="B232" s="327"/>
      <c r="C232" s="973"/>
      <c r="D232" s="3043"/>
      <c r="E232" s="327" t="s">
        <v>2476</v>
      </c>
      <c r="F232" s="327" t="s">
        <v>3168</v>
      </c>
      <c r="G232" s="2673" t="s">
        <v>3169</v>
      </c>
      <c r="H232" s="2674" t="s">
        <v>3170</v>
      </c>
      <c r="I232" s="1610" t="str">
        <f t="shared" ref="I232:I258" si="106">"5-DaHall1-PDU-"&amp;M232&amp;"-"&amp;L232&amp;"-"&amp;N232</f>
        <v>5-DaHall1-PDU-01-30-1</v>
      </c>
      <c r="J232" s="1611" t="str">
        <f t="shared" ref="J232:J253" si="107">"5-DaHall1-PDU-"&amp;Q232&amp;"-"&amp;P232&amp;"-"&amp;R232</f>
        <v>5-DaHall1-PDU-02-30-1</v>
      </c>
      <c r="K232" s="1555">
        <v>220</v>
      </c>
      <c r="L232" s="1556">
        <v>30</v>
      </c>
      <c r="M232" s="2379" t="s">
        <v>6497</v>
      </c>
      <c r="N232" s="1557">
        <v>1</v>
      </c>
      <c r="O232" s="1558">
        <v>220</v>
      </c>
      <c r="P232" s="1559">
        <v>30</v>
      </c>
      <c r="Q232" s="2409" t="s">
        <v>6493</v>
      </c>
      <c r="R232" s="1560">
        <v>1</v>
      </c>
      <c r="S232" s="3472" t="s">
        <v>2828</v>
      </c>
      <c r="T232" s="3475" t="s">
        <v>2829</v>
      </c>
      <c r="U232" s="3355" t="s">
        <v>2830</v>
      </c>
      <c r="V232" s="3361" t="s">
        <v>2831</v>
      </c>
      <c r="W232" s="3355" t="s">
        <v>2484</v>
      </c>
      <c r="X232" s="3361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52">
        <f t="shared" ref="AA232" si="108">SUM(Y232:Z232)</f>
        <v>0</v>
      </c>
      <c r="AB232" s="2727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0</v>
      </c>
      <c r="AC232" s="2728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0</v>
      </c>
      <c r="AD232" s="2485">
        <f>SUM(AB232:AC232)</f>
        <v>0</v>
      </c>
      <c r="AE232" s="2469"/>
      <c r="AG232" s="2367">
        <f t="shared" si="90"/>
        <v>0</v>
      </c>
      <c r="AH232" s="2367">
        <f t="shared" si="91"/>
        <v>0</v>
      </c>
      <c r="AI232" s="123" t="str">
        <f t="shared" si="87"/>
        <v>무부하 랙</v>
      </c>
      <c r="AJ232" t="str">
        <f t="shared" si="88"/>
        <v/>
      </c>
      <c r="AK232" t="str">
        <f t="shared" si="89"/>
        <v/>
      </c>
      <c r="AP232" s="123"/>
      <c r="AQ232" s="123"/>
      <c r="AR232" s="123"/>
      <c r="AS232" s="3084"/>
      <c r="AT232" s="123"/>
      <c r="AU232" s="123"/>
      <c r="AV232" s="3092"/>
      <c r="AW232" s="3086"/>
      <c r="AX232" s="3087"/>
      <c r="AY232" s="3088"/>
      <c r="AZ232" s="3089"/>
      <c r="BA232" s="3090"/>
      <c r="BB232" s="1"/>
    </row>
    <row r="233" spans="1:54" ht="28.8">
      <c r="A233" s="2652"/>
      <c r="B233" s="250" t="s">
        <v>3171</v>
      </c>
      <c r="C233" s="2664"/>
      <c r="D233" s="3044"/>
      <c r="E233" s="250" t="s">
        <v>2489</v>
      </c>
      <c r="F233" s="250" t="s">
        <v>2490</v>
      </c>
      <c r="G233" s="2665" t="s">
        <v>3172</v>
      </c>
      <c r="H233" s="2666" t="s">
        <v>3173</v>
      </c>
      <c r="I233" s="1598" t="str">
        <f t="shared" si="106"/>
        <v>5-DaHall1-PDU-01-30-3</v>
      </c>
      <c r="J233" s="1599" t="str">
        <f t="shared" si="107"/>
        <v>5-DaHall1-PDU-02-30-3</v>
      </c>
      <c r="K233" s="1561">
        <v>220</v>
      </c>
      <c r="L233" s="1562">
        <v>30</v>
      </c>
      <c r="M233" s="2380" t="s">
        <v>6497</v>
      </c>
      <c r="N233" s="1563">
        <v>3</v>
      </c>
      <c r="O233" s="1564">
        <v>220</v>
      </c>
      <c r="P233" s="1565">
        <v>30</v>
      </c>
      <c r="Q233" s="2410" t="s">
        <v>6493</v>
      </c>
      <c r="R233" s="1566">
        <v>3</v>
      </c>
      <c r="S233" s="3473"/>
      <c r="T233" s="3476"/>
      <c r="U233" s="3356"/>
      <c r="V233" s="3336"/>
      <c r="W233" s="3356"/>
      <c r="X233" s="3336"/>
      <c r="Y233" s="253">
        <f>SUM('5층_부하량(월간_AVG)'!D29:F29)</f>
        <v>0</v>
      </c>
      <c r="Z233" s="253">
        <f>SUM('5층_부하량(월간_AVG)'!D59:F59)</f>
        <v>0</v>
      </c>
      <c r="AA233" s="2452">
        <f t="shared" ref="AA233:AA259" si="109">SUM(Y233:Z233)</f>
        <v>0</v>
      </c>
      <c r="AB233" s="2727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0</v>
      </c>
      <c r="AC233" s="2728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0</v>
      </c>
      <c r="AD233" s="2477">
        <f>SUM(AB233:AC233)</f>
        <v>0</v>
      </c>
      <c r="AE233" s="2467"/>
      <c r="AG233" s="2367">
        <f t="shared" si="90"/>
        <v>0</v>
      </c>
      <c r="AH233" s="2367">
        <f t="shared" si="91"/>
        <v>0</v>
      </c>
      <c r="AI233" s="123" t="str">
        <f t="shared" si="87"/>
        <v>무부하 랙</v>
      </c>
      <c r="AJ233" t="str">
        <f t="shared" si="88"/>
        <v/>
      </c>
      <c r="AK233" t="str">
        <f t="shared" si="89"/>
        <v/>
      </c>
      <c r="AP233" s="123"/>
      <c r="AQ233" s="123"/>
      <c r="AR233" s="123"/>
      <c r="AS233" s="3084"/>
      <c r="AT233" s="123"/>
      <c r="AU233" s="123"/>
      <c r="AV233" s="3092"/>
      <c r="AW233" s="3086"/>
      <c r="AX233" s="3087"/>
      <c r="AY233" s="3088"/>
      <c r="AZ233" s="3089"/>
      <c r="BA233" s="3090"/>
      <c r="BB233" s="1"/>
    </row>
    <row r="234" spans="1:54" ht="28.8">
      <c r="A234" s="2652"/>
      <c r="B234" s="250" t="s">
        <v>3174</v>
      </c>
      <c r="C234" s="2664"/>
      <c r="D234" s="3044"/>
      <c r="E234" s="250" t="s">
        <v>2495</v>
      </c>
      <c r="F234" s="250" t="s">
        <v>2496</v>
      </c>
      <c r="G234" s="2665" t="s">
        <v>3175</v>
      </c>
      <c r="H234" s="2666" t="s">
        <v>3176</v>
      </c>
      <c r="I234" s="1598" t="str">
        <f t="shared" si="106"/>
        <v>5-DaHall1-PDU-01-30-5</v>
      </c>
      <c r="J234" s="1599" t="str">
        <f t="shared" si="107"/>
        <v>5-DaHall1-PDU-02-30-5</v>
      </c>
      <c r="K234" s="1561">
        <v>220</v>
      </c>
      <c r="L234" s="1562">
        <v>30</v>
      </c>
      <c r="M234" s="2380" t="s">
        <v>6497</v>
      </c>
      <c r="N234" s="1563">
        <v>5</v>
      </c>
      <c r="O234" s="1564">
        <v>220</v>
      </c>
      <c r="P234" s="1565">
        <v>30</v>
      </c>
      <c r="Q234" s="2410" t="s">
        <v>6493</v>
      </c>
      <c r="R234" s="1566">
        <v>5</v>
      </c>
      <c r="S234" s="3473"/>
      <c r="T234" s="3476"/>
      <c r="U234" s="3356"/>
      <c r="V234" s="3336"/>
      <c r="W234" s="3356"/>
      <c r="X234" s="3336"/>
      <c r="Y234" s="253">
        <f>SUM('5층_부하량(월간_AVG)'!D30:F30)</f>
        <v>0</v>
      </c>
      <c r="Z234" s="253">
        <f>SUM('5층_부하량(월간_AVG)'!D60:F60)</f>
        <v>0</v>
      </c>
      <c r="AA234" s="2452">
        <f t="shared" si="109"/>
        <v>0</v>
      </c>
      <c r="AB234" s="2727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0</v>
      </c>
      <c r="AC234" s="2728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0</v>
      </c>
      <c r="AD234" s="2477">
        <f t="shared" ref="AD234:AD239" si="110">SUM(AB234:AC234)</f>
        <v>0</v>
      </c>
      <c r="AE234" s="2467"/>
      <c r="AG234" s="2367">
        <f t="shared" si="90"/>
        <v>0</v>
      </c>
      <c r="AH234" s="2367">
        <f t="shared" si="91"/>
        <v>0</v>
      </c>
      <c r="AI234" s="123" t="str">
        <f t="shared" si="87"/>
        <v>무부하 랙</v>
      </c>
      <c r="AJ234" t="str">
        <f t="shared" si="88"/>
        <v/>
      </c>
      <c r="AK234" t="str">
        <f t="shared" si="89"/>
        <v/>
      </c>
      <c r="AP234" s="123"/>
      <c r="AQ234" s="123"/>
      <c r="AR234" s="123"/>
      <c r="AS234" s="3084"/>
      <c r="AT234" s="123"/>
      <c r="AU234" s="123"/>
      <c r="AV234" s="3092"/>
      <c r="AW234" s="3086"/>
      <c r="AX234" s="3087"/>
      <c r="AY234" s="3088"/>
      <c r="AZ234" s="3089"/>
      <c r="BA234" s="3090"/>
      <c r="BB234" s="1"/>
    </row>
    <row r="235" spans="1:54" ht="28.8">
      <c r="A235" s="2652"/>
      <c r="B235" s="250" t="s">
        <v>3177</v>
      </c>
      <c r="C235" s="2664"/>
      <c r="D235" s="3044"/>
      <c r="E235" s="250" t="s">
        <v>2504</v>
      </c>
      <c r="F235" s="250" t="s">
        <v>2505</v>
      </c>
      <c r="G235" s="2665" t="s">
        <v>3178</v>
      </c>
      <c r="H235" s="2666" t="s">
        <v>3179</v>
      </c>
      <c r="I235" s="1598" t="str">
        <f t="shared" si="106"/>
        <v>5-DaHall1-PDU-01-30-7</v>
      </c>
      <c r="J235" s="1599" t="str">
        <f t="shared" si="107"/>
        <v>5-DaHall1-PDU-02-30-7</v>
      </c>
      <c r="K235" s="1561">
        <v>220</v>
      </c>
      <c r="L235" s="1562">
        <v>30</v>
      </c>
      <c r="M235" s="2380" t="s">
        <v>6497</v>
      </c>
      <c r="N235" s="1563">
        <v>7</v>
      </c>
      <c r="O235" s="1564">
        <v>220</v>
      </c>
      <c r="P235" s="1565">
        <v>30</v>
      </c>
      <c r="Q235" s="2410" t="s">
        <v>6493</v>
      </c>
      <c r="R235" s="1566">
        <v>7</v>
      </c>
      <c r="S235" s="3473"/>
      <c r="T235" s="3476"/>
      <c r="U235" s="3356"/>
      <c r="V235" s="3336"/>
      <c r="W235" s="3356"/>
      <c r="X235" s="3336"/>
      <c r="Y235" s="253">
        <f>SUM('5층_부하량(월간_AVG)'!D31:F31)</f>
        <v>0</v>
      </c>
      <c r="Z235" s="253">
        <f>SUM('5층_부하량(월간_AVG)'!D61:F61)</f>
        <v>0</v>
      </c>
      <c r="AA235" s="2452">
        <f t="shared" si="109"/>
        <v>0</v>
      </c>
      <c r="AB235" s="2727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0</v>
      </c>
      <c r="AC235" s="2728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0</v>
      </c>
      <c r="AD235" s="2477">
        <f t="shared" si="110"/>
        <v>0</v>
      </c>
      <c r="AE235" s="2467"/>
      <c r="AG235" s="2367">
        <f t="shared" si="90"/>
        <v>0</v>
      </c>
      <c r="AH235" s="2367">
        <f t="shared" si="91"/>
        <v>0</v>
      </c>
      <c r="AI235" s="123" t="str">
        <f t="shared" si="87"/>
        <v>무부하 랙</v>
      </c>
      <c r="AJ235" t="str">
        <f t="shared" si="88"/>
        <v/>
      </c>
      <c r="AK235" t="str">
        <f t="shared" si="89"/>
        <v/>
      </c>
      <c r="AP235" s="123"/>
      <c r="AQ235" s="123"/>
      <c r="AR235" s="123"/>
      <c r="AS235" s="3084"/>
      <c r="AT235" s="123"/>
      <c r="AU235" s="123"/>
      <c r="AV235" s="3092"/>
      <c r="AW235" s="3086"/>
      <c r="AX235" s="3087"/>
      <c r="AY235" s="3088"/>
      <c r="AZ235" s="3089"/>
      <c r="BA235" s="3090"/>
      <c r="BB235" s="1"/>
    </row>
    <row r="236" spans="1:54" ht="28.8">
      <c r="A236" s="2652" t="s">
        <v>2371</v>
      </c>
      <c r="B236" s="2653" t="s">
        <v>3180</v>
      </c>
      <c r="C236" s="2664" t="s">
        <v>3181</v>
      </c>
      <c r="D236" s="3045">
        <v>5</v>
      </c>
      <c r="E236" s="2031" t="s">
        <v>3182</v>
      </c>
      <c r="F236" s="2031" t="s">
        <v>3183</v>
      </c>
      <c r="G236" s="2665" t="s">
        <v>3184</v>
      </c>
      <c r="H236" s="2666" t="s">
        <v>3185</v>
      </c>
      <c r="I236" s="1598" t="str">
        <f t="shared" si="106"/>
        <v>5-DaHall1-PDU-01-30-9</v>
      </c>
      <c r="J236" s="1599" t="str">
        <f t="shared" si="107"/>
        <v>5-DaHall1-PDU-02-30-9</v>
      </c>
      <c r="K236" s="1561">
        <v>220</v>
      </c>
      <c r="L236" s="1562">
        <v>30</v>
      </c>
      <c r="M236" s="2380" t="s">
        <v>6497</v>
      </c>
      <c r="N236" s="1563">
        <v>9</v>
      </c>
      <c r="O236" s="1564">
        <v>220</v>
      </c>
      <c r="P236" s="1565">
        <v>30</v>
      </c>
      <c r="Q236" s="2410" t="s">
        <v>6493</v>
      </c>
      <c r="R236" s="1566">
        <v>9</v>
      </c>
      <c r="S236" s="3473"/>
      <c r="T236" s="3476"/>
      <c r="U236" s="3356"/>
      <c r="V236" s="3336"/>
      <c r="W236" s="3356"/>
      <c r="X236" s="3336"/>
      <c r="Y236" s="253">
        <f>SUM('5층_부하량(월간_AVG)'!D32:F32)</f>
        <v>12.666275002960514</v>
      </c>
      <c r="Z236" s="253">
        <f>SUM('5층_부하량(월간_AVG)'!D62:F62)</f>
        <v>10.622465085920162</v>
      </c>
      <c r="AA236" s="2452">
        <f t="shared" si="109"/>
        <v>23.288740088880676</v>
      </c>
      <c r="AB236" s="2727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2016.1</v>
      </c>
      <c r="AC236" s="2728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1691.1</v>
      </c>
      <c r="AD236" s="2477">
        <f t="shared" si="110"/>
        <v>3707.2</v>
      </c>
      <c r="AE236" s="2467"/>
      <c r="AG236" s="2367">
        <f t="shared" si="90"/>
        <v>4.9827956989247308</v>
      </c>
      <c r="AH236" s="2367">
        <f t="shared" si="91"/>
        <v>1.7204301075269157E-2</v>
      </c>
      <c r="AI236" s="123" t="str">
        <f t="shared" si="87"/>
        <v>적정함</v>
      </c>
      <c r="AJ236" t="str">
        <f t="shared" si="88"/>
        <v/>
      </c>
      <c r="AK236" t="str">
        <f t="shared" si="89"/>
        <v/>
      </c>
      <c r="AP236" s="123"/>
      <c r="AQ236" s="123"/>
      <c r="AR236" s="123"/>
      <c r="AS236" s="3084"/>
      <c r="AT236" s="123"/>
      <c r="AU236" s="123"/>
      <c r="AV236" s="3092"/>
      <c r="AW236" s="3086"/>
      <c r="AX236" s="3087"/>
      <c r="AY236" s="3088"/>
      <c r="AZ236" s="3089"/>
      <c r="BA236" s="3090"/>
      <c r="BB236" s="1"/>
    </row>
    <row r="237" spans="1:54" ht="28.8">
      <c r="A237" s="2652" t="s">
        <v>2378</v>
      </c>
      <c r="B237" s="2653" t="s">
        <v>3186</v>
      </c>
      <c r="C237" s="2664" t="s">
        <v>3187</v>
      </c>
      <c r="D237" s="3045">
        <v>5</v>
      </c>
      <c r="E237" s="2031" t="s">
        <v>3188</v>
      </c>
      <c r="F237" s="2031" t="s">
        <v>3189</v>
      </c>
      <c r="G237" s="2665" t="s">
        <v>3190</v>
      </c>
      <c r="H237" s="2666" t="s">
        <v>3191</v>
      </c>
      <c r="I237" s="1598" t="str">
        <f t="shared" si="106"/>
        <v>5-DaHall1-PDU-01-30-11</v>
      </c>
      <c r="J237" s="1599" t="str">
        <f t="shared" si="107"/>
        <v>5-DaHall1-PDU-02-30-11</v>
      </c>
      <c r="K237" s="1561">
        <v>220</v>
      </c>
      <c r="L237" s="1562">
        <v>30</v>
      </c>
      <c r="M237" s="2380" t="s">
        <v>6497</v>
      </c>
      <c r="N237" s="1563">
        <v>11</v>
      </c>
      <c r="O237" s="1564">
        <v>220</v>
      </c>
      <c r="P237" s="1565">
        <v>30</v>
      </c>
      <c r="Q237" s="2410" t="s">
        <v>6493</v>
      </c>
      <c r="R237" s="1566">
        <v>11</v>
      </c>
      <c r="S237" s="3473"/>
      <c r="T237" s="3476"/>
      <c r="U237" s="3356"/>
      <c r="V237" s="3336"/>
      <c r="W237" s="3356"/>
      <c r="X237" s="3336"/>
      <c r="Y237" s="253">
        <f>SUM('5층_부하량(월간_AVG)'!D33:F33)</f>
        <v>11.468918966039302</v>
      </c>
      <c r="Z237" s="253">
        <f>SUM('5층_부하량(월간_AVG)'!D63:F63)</f>
        <v>13.055166285645971</v>
      </c>
      <c r="AA237" s="2452">
        <f t="shared" si="109"/>
        <v>24.524085251685271</v>
      </c>
      <c r="AB237" s="2727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1778.6</v>
      </c>
      <c r="AC237" s="2728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2037.5</v>
      </c>
      <c r="AD237" s="2477">
        <f t="shared" si="110"/>
        <v>3816.1</v>
      </c>
      <c r="AE237" s="2467"/>
      <c r="AG237" s="2367">
        <f t="shared" si="90"/>
        <v>5.1291666666666664</v>
      </c>
      <c r="AH237" s="2367">
        <f t="shared" si="91"/>
        <v>-0.12916666666666643</v>
      </c>
      <c r="AI237" s="123" t="str">
        <f t="shared" si="87"/>
        <v>사용초과</v>
      </c>
      <c r="AJ237" t="str">
        <f t="shared" si="88"/>
        <v>Cloudflare</v>
      </c>
      <c r="AK237" t="str">
        <f t="shared" si="89"/>
        <v>G1102</v>
      </c>
      <c r="AP237" s="123"/>
      <c r="AQ237" s="123"/>
      <c r="AR237" s="123"/>
      <c r="AS237" s="3084"/>
      <c r="AT237" s="123"/>
      <c r="AU237" s="123"/>
      <c r="AV237" s="3092"/>
      <c r="AW237" s="3086"/>
      <c r="AX237" s="3087"/>
      <c r="AY237" s="3088"/>
      <c r="AZ237" s="3089"/>
      <c r="BA237" s="3090"/>
      <c r="BB237" s="1"/>
    </row>
    <row r="238" spans="1:54" ht="28.8">
      <c r="A238" s="2652" t="s">
        <v>2391</v>
      </c>
      <c r="B238" s="2653" t="s">
        <v>3192</v>
      </c>
      <c r="C238" s="2664" t="s">
        <v>3187</v>
      </c>
      <c r="D238" s="3045">
        <v>5</v>
      </c>
      <c r="E238" s="2031" t="s">
        <v>3193</v>
      </c>
      <c r="F238" s="2031" t="s">
        <v>3194</v>
      </c>
      <c r="G238" s="2665" t="s">
        <v>3195</v>
      </c>
      <c r="H238" s="2666" t="s">
        <v>3196</v>
      </c>
      <c r="I238" s="1598" t="str">
        <f t="shared" si="106"/>
        <v>5-DaHall1-PDU-01-30-13</v>
      </c>
      <c r="J238" s="1599" t="str">
        <f t="shared" si="107"/>
        <v>5-DaHall1-PDU-02-30-13</v>
      </c>
      <c r="K238" s="1561">
        <v>220</v>
      </c>
      <c r="L238" s="1562">
        <v>30</v>
      </c>
      <c r="M238" s="2380" t="s">
        <v>6497</v>
      </c>
      <c r="N238" s="1563">
        <v>13</v>
      </c>
      <c r="O238" s="1564">
        <v>220</v>
      </c>
      <c r="P238" s="1565">
        <v>30</v>
      </c>
      <c r="Q238" s="2410" t="s">
        <v>6493</v>
      </c>
      <c r="R238" s="1566">
        <v>13</v>
      </c>
      <c r="S238" s="3473"/>
      <c r="T238" s="3476"/>
      <c r="U238" s="3356"/>
      <c r="V238" s="3336"/>
      <c r="W238" s="3356"/>
      <c r="X238" s="3336"/>
      <c r="Y238" s="253">
        <f>SUM('5층_부하량(월간_AVG)'!D34:F34)</f>
        <v>13.732746221524845</v>
      </c>
      <c r="Z238" s="253">
        <f>SUM('5층_부하량(월간_AVG)'!D64:F64)</f>
        <v>11.415899852950707</v>
      </c>
      <c r="AA238" s="2452">
        <f t="shared" si="109"/>
        <v>25.14864607447555</v>
      </c>
      <c r="AB238" s="2727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2145.4</v>
      </c>
      <c r="AC238" s="2728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1769.7</v>
      </c>
      <c r="AD238" s="2477">
        <f t="shared" si="110"/>
        <v>3915.1000000000004</v>
      </c>
      <c r="AE238" s="2467"/>
      <c r="AG238" s="2367">
        <f t="shared" si="90"/>
        <v>5.2622311827956993</v>
      </c>
      <c r="AH238" s="2367">
        <f t="shared" si="91"/>
        <v>-0.26223118279569935</v>
      </c>
      <c r="AI238" s="123" t="str">
        <f t="shared" si="87"/>
        <v>사용초과</v>
      </c>
      <c r="AJ238" t="str">
        <f t="shared" si="88"/>
        <v>Cloudflare</v>
      </c>
      <c r="AK238" t="str">
        <f t="shared" si="89"/>
        <v>G1103</v>
      </c>
      <c r="AP238" s="123"/>
      <c r="AQ238" s="123"/>
      <c r="AR238" s="123"/>
      <c r="AS238" s="3084"/>
      <c r="AT238" s="123"/>
      <c r="AU238" s="123"/>
      <c r="AV238" s="3092"/>
      <c r="AW238" s="3086"/>
      <c r="AX238" s="3087"/>
      <c r="AY238" s="3088"/>
      <c r="AZ238" s="3089"/>
      <c r="BA238" s="3090"/>
      <c r="BB238" s="1"/>
    </row>
    <row r="239" spans="1:54" ht="28.8">
      <c r="A239" s="2652" t="s">
        <v>3197</v>
      </c>
      <c r="B239" s="250" t="s">
        <v>3198</v>
      </c>
      <c r="C239" s="2664" t="s">
        <v>3187</v>
      </c>
      <c r="D239" s="3045">
        <v>5</v>
      </c>
      <c r="E239" s="2031" t="s">
        <v>3199</v>
      </c>
      <c r="F239" s="2031" t="s">
        <v>3200</v>
      </c>
      <c r="G239" s="2665" t="s">
        <v>3201</v>
      </c>
      <c r="H239" s="2666" t="s">
        <v>3202</v>
      </c>
      <c r="I239" s="1598" t="str">
        <f t="shared" si="106"/>
        <v>5-DaHall1-PDU-01-30-15</v>
      </c>
      <c r="J239" s="1599" t="str">
        <f t="shared" si="107"/>
        <v>5-DaHall1-PDU-02-30-15</v>
      </c>
      <c r="K239" s="1561">
        <v>220</v>
      </c>
      <c r="L239" s="1562">
        <v>30</v>
      </c>
      <c r="M239" s="2380" t="s">
        <v>6497</v>
      </c>
      <c r="N239" s="1563">
        <v>15</v>
      </c>
      <c r="O239" s="1564">
        <v>220</v>
      </c>
      <c r="P239" s="1565">
        <v>30</v>
      </c>
      <c r="Q239" s="2410" t="s">
        <v>6493</v>
      </c>
      <c r="R239" s="1566">
        <v>15</v>
      </c>
      <c r="S239" s="3473"/>
      <c r="T239" s="3476"/>
      <c r="U239" s="3356"/>
      <c r="V239" s="3336"/>
      <c r="W239" s="3356"/>
      <c r="X239" s="3336"/>
      <c r="Y239" s="253">
        <f>SUM('5층_부하량(월간_AVG)'!D35:F35)</f>
        <v>0</v>
      </c>
      <c r="Z239" s="253">
        <f>SUM('5층_부하량(월간_AVG)'!D65:F65)</f>
        <v>0</v>
      </c>
      <c r="AA239" s="2452">
        <f t="shared" si="109"/>
        <v>0</v>
      </c>
      <c r="AB239" s="2727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0</v>
      </c>
      <c r="AC239" s="2728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0</v>
      </c>
      <c r="AD239" s="2477">
        <f t="shared" si="110"/>
        <v>0</v>
      </c>
      <c r="AE239" s="2467"/>
      <c r="AG239" s="2367">
        <f t="shared" si="90"/>
        <v>0</v>
      </c>
      <c r="AH239" s="2367">
        <f t="shared" si="91"/>
        <v>5</v>
      </c>
      <c r="AI239" s="123" t="str">
        <f t="shared" si="87"/>
        <v>무부하 랙</v>
      </c>
      <c r="AJ239" t="str">
        <f t="shared" si="88"/>
        <v/>
      </c>
      <c r="AK239" t="str">
        <f t="shared" si="89"/>
        <v/>
      </c>
      <c r="AP239" s="123"/>
      <c r="AQ239" s="123"/>
      <c r="AR239" s="123"/>
      <c r="AS239" s="3084"/>
      <c r="AT239" s="123"/>
      <c r="AU239" s="123"/>
      <c r="AV239" s="3092"/>
      <c r="AW239" s="3086"/>
      <c r="AX239" s="3087"/>
      <c r="AY239" s="3088"/>
      <c r="AZ239" s="3089"/>
      <c r="BA239" s="3090"/>
      <c r="BB239" s="1"/>
    </row>
    <row r="240" spans="1:54" ht="29.4" thickBot="1">
      <c r="A240" s="2660" t="s">
        <v>3203</v>
      </c>
      <c r="B240" s="2661" t="s">
        <v>3204</v>
      </c>
      <c r="C240" s="2688" t="s">
        <v>3187</v>
      </c>
      <c r="D240" s="3046">
        <v>5</v>
      </c>
      <c r="E240" s="2032" t="s">
        <v>3205</v>
      </c>
      <c r="F240" s="2032" t="s">
        <v>3206</v>
      </c>
      <c r="G240" s="2675" t="s">
        <v>3207</v>
      </c>
      <c r="H240" s="2676" t="s">
        <v>3208</v>
      </c>
      <c r="I240" s="1600" t="str">
        <f t="shared" si="106"/>
        <v>5-DaHall1-PDU-01-30-17</v>
      </c>
      <c r="J240" s="1601" t="str">
        <f t="shared" si="107"/>
        <v>5-DaHall1-PDU-02-30-17</v>
      </c>
      <c r="K240" s="1571">
        <v>220</v>
      </c>
      <c r="L240" s="1572">
        <v>30</v>
      </c>
      <c r="M240" s="2381" t="s">
        <v>6497</v>
      </c>
      <c r="N240" s="1573">
        <v>17</v>
      </c>
      <c r="O240" s="1574">
        <v>220</v>
      </c>
      <c r="P240" s="1575">
        <v>30</v>
      </c>
      <c r="Q240" s="2411" t="s">
        <v>6493</v>
      </c>
      <c r="R240" s="1576">
        <v>17</v>
      </c>
      <c r="S240" s="3474"/>
      <c r="T240" s="3477"/>
      <c r="U240" s="3357"/>
      <c r="V240" s="3358"/>
      <c r="W240" s="3357"/>
      <c r="X240" s="3358"/>
      <c r="Y240" s="329">
        <f>SUM('5층_부하량(월간_AVG)'!D36:F36)</f>
        <v>0</v>
      </c>
      <c r="Z240" s="329">
        <f>SUM('5층_부하량(월간_AVG)'!D66:F66)</f>
        <v>0</v>
      </c>
      <c r="AA240" s="2453">
        <f t="shared" si="109"/>
        <v>0</v>
      </c>
      <c r="AB240" s="2733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0</v>
      </c>
      <c r="AC240" s="2734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0</v>
      </c>
      <c r="AD240" s="2478">
        <f>SUM(AB240:AC240)</f>
        <v>0</v>
      </c>
      <c r="AE240" s="2468"/>
      <c r="AG240" s="2367">
        <f t="shared" si="90"/>
        <v>0</v>
      </c>
      <c r="AH240" s="2367">
        <f t="shared" si="91"/>
        <v>5</v>
      </c>
      <c r="AI240" s="123" t="str">
        <f t="shared" si="87"/>
        <v>무부하 랙</v>
      </c>
      <c r="AJ240" t="str">
        <f t="shared" si="88"/>
        <v/>
      </c>
      <c r="AK240" t="str">
        <f t="shared" si="89"/>
        <v/>
      </c>
      <c r="AP240" s="123"/>
      <c r="AQ240" s="123"/>
      <c r="AR240" s="123"/>
      <c r="AS240" s="3084"/>
      <c r="AT240" s="123"/>
      <c r="AU240" s="123"/>
      <c r="AV240" s="3092"/>
      <c r="AW240" s="3086"/>
      <c r="AX240" s="3087"/>
      <c r="AY240" s="3088"/>
      <c r="AZ240" s="3089"/>
      <c r="BA240" s="3090"/>
      <c r="BB240" s="1"/>
    </row>
    <row r="241" spans="1:54" ht="29.4" thickTop="1">
      <c r="A241" s="1084" t="s">
        <v>3209</v>
      </c>
      <c r="B241" s="996" t="s">
        <v>3210</v>
      </c>
      <c r="C241" s="973" t="s">
        <v>3187</v>
      </c>
      <c r="D241" s="3047">
        <v>5</v>
      </c>
      <c r="E241" s="2033" t="s">
        <v>3211</v>
      </c>
      <c r="F241" s="2033" t="s">
        <v>3212</v>
      </c>
      <c r="G241" s="2689" t="s">
        <v>3213</v>
      </c>
      <c r="H241" s="2690" t="s">
        <v>3214</v>
      </c>
      <c r="I241" s="1610" t="str">
        <f t="shared" si="106"/>
        <v>5-DaHall1-PDU-01-30-31</v>
      </c>
      <c r="J241" s="1611" t="str">
        <f t="shared" si="107"/>
        <v>5-DaHall1-PDU-02-30-31</v>
      </c>
      <c r="K241" s="1632">
        <v>220</v>
      </c>
      <c r="L241" s="1633">
        <v>30</v>
      </c>
      <c r="M241" s="2382" t="s">
        <v>6497</v>
      </c>
      <c r="N241" s="1634">
        <v>31</v>
      </c>
      <c r="O241" s="1635">
        <v>220</v>
      </c>
      <c r="P241" s="1636">
        <v>30</v>
      </c>
      <c r="Q241" s="2412" t="s">
        <v>6493</v>
      </c>
      <c r="R241" s="1637">
        <v>31</v>
      </c>
      <c r="S241" s="3459" t="s">
        <v>2828</v>
      </c>
      <c r="T241" s="3462" t="s">
        <v>2829</v>
      </c>
      <c r="U241" s="3465" t="s">
        <v>2830</v>
      </c>
      <c r="V241" s="3468" t="s">
        <v>2831</v>
      </c>
      <c r="W241" s="3465" t="s">
        <v>2484</v>
      </c>
      <c r="X241" s="3471"/>
      <c r="Y241" s="328">
        <f>SUM('5층_부하량(월간_AVG)'!D43:F43)</f>
        <v>11.134044988152482</v>
      </c>
      <c r="Z241" s="328">
        <f>SUM('5층_부하량(월간_AVG)'!D73:F73)</f>
        <v>11.537900424145283</v>
      </c>
      <c r="AA241" s="2454">
        <f t="shared" si="109"/>
        <v>22.671945412297767</v>
      </c>
      <c r="AB241" s="2725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1814.7</v>
      </c>
      <c r="AC241" s="2726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1875.7</v>
      </c>
      <c r="AD241" s="2485">
        <f>SUM(AB241:AC241)</f>
        <v>3690.4</v>
      </c>
      <c r="AE241" s="2469"/>
      <c r="AG241" s="2367">
        <f t="shared" si="90"/>
        <v>4.9602150537634406</v>
      </c>
      <c r="AH241" s="2367">
        <f t="shared" si="91"/>
        <v>3.9784946236559371E-2</v>
      </c>
      <c r="AI241" s="123" t="str">
        <f t="shared" si="87"/>
        <v>적정함</v>
      </c>
      <c r="AJ241" t="str">
        <f t="shared" si="88"/>
        <v/>
      </c>
      <c r="AK241" t="str">
        <f t="shared" si="89"/>
        <v/>
      </c>
      <c r="AP241" s="123"/>
      <c r="AQ241" s="123"/>
      <c r="AR241" s="123"/>
      <c r="AS241" s="3084"/>
      <c r="AT241" s="123"/>
      <c r="AU241" s="123"/>
      <c r="AV241" s="3092"/>
      <c r="AW241" s="3086"/>
      <c r="AX241" s="3087"/>
      <c r="AY241" s="3088"/>
      <c r="AZ241" s="3089"/>
      <c r="BA241" s="3090"/>
      <c r="BB241" s="1"/>
    </row>
    <row r="242" spans="1:54" ht="28.8">
      <c r="A242" s="2652" t="s">
        <v>3215</v>
      </c>
      <c r="B242" s="2653" t="s">
        <v>3216</v>
      </c>
      <c r="C242" s="2664" t="s">
        <v>3187</v>
      </c>
      <c r="D242" s="3045">
        <v>5</v>
      </c>
      <c r="E242" s="2031" t="s">
        <v>3217</v>
      </c>
      <c r="F242" s="2031" t="s">
        <v>3218</v>
      </c>
      <c r="G242" s="878" t="s">
        <v>3219</v>
      </c>
      <c r="H242" s="879" t="s">
        <v>3220</v>
      </c>
      <c r="I242" s="1598" t="str">
        <f t="shared" si="106"/>
        <v>5-DaHall1-PDU-01-30-33</v>
      </c>
      <c r="J242" s="1599" t="str">
        <f t="shared" si="107"/>
        <v>5-DaHall1-PDU-02-30-33</v>
      </c>
      <c r="K242" s="1638">
        <v>220</v>
      </c>
      <c r="L242" s="1639">
        <v>30</v>
      </c>
      <c r="M242" s="2383" t="s">
        <v>6497</v>
      </c>
      <c r="N242" s="1640">
        <v>33</v>
      </c>
      <c r="O242" s="1641">
        <v>220</v>
      </c>
      <c r="P242" s="1642">
        <v>30</v>
      </c>
      <c r="Q242" s="2413" t="s">
        <v>6493</v>
      </c>
      <c r="R242" s="1643">
        <v>33</v>
      </c>
      <c r="S242" s="3460"/>
      <c r="T242" s="3463"/>
      <c r="U242" s="3466"/>
      <c r="V242" s="3469"/>
      <c r="W242" s="3466"/>
      <c r="X242" s="3469"/>
      <c r="Y242" s="253">
        <f>SUM('5층_부하량(월간_AVG)'!D44:F44)</f>
        <v>9.9932397988825556</v>
      </c>
      <c r="Z242" s="253">
        <f>SUM('5층_부하량(월간_AVG)'!D74:F74)</f>
        <v>11.679852358529383</v>
      </c>
      <c r="AA242" s="2452">
        <f t="shared" si="109"/>
        <v>21.673092157411936</v>
      </c>
      <c r="AB242" s="2727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1628.8</v>
      </c>
      <c r="AC242" s="2728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1911.4</v>
      </c>
      <c r="AD242" s="2477">
        <f>SUM(AB242:AC242)</f>
        <v>3540.2</v>
      </c>
      <c r="AE242" s="2467"/>
      <c r="AG242" s="2367">
        <f t="shared" si="90"/>
        <v>4.7583333333333329</v>
      </c>
      <c r="AH242" s="2367">
        <f t="shared" si="91"/>
        <v>0.24166666666666714</v>
      </c>
      <c r="AI242" s="123" t="str">
        <f t="shared" si="87"/>
        <v>적정함</v>
      </c>
      <c r="AJ242" t="str">
        <f t="shared" si="88"/>
        <v/>
      </c>
      <c r="AK242" t="str">
        <f t="shared" si="89"/>
        <v/>
      </c>
      <c r="AP242" s="123"/>
      <c r="AQ242" s="123"/>
      <c r="AR242" s="123"/>
      <c r="AS242" s="3084"/>
      <c r="AT242" s="123"/>
      <c r="AU242" s="123"/>
      <c r="AV242" s="3092"/>
      <c r="AW242" s="3086"/>
      <c r="AX242" s="3087"/>
      <c r="AY242" s="3088"/>
      <c r="AZ242" s="3089"/>
      <c r="BA242" s="3090"/>
      <c r="BB242" s="1"/>
    </row>
    <row r="243" spans="1:54" ht="28.8">
      <c r="A243" s="2652" t="s">
        <v>3221</v>
      </c>
      <c r="B243" s="2653" t="s">
        <v>3222</v>
      </c>
      <c r="C243" s="2664" t="s">
        <v>3187</v>
      </c>
      <c r="D243" s="3045">
        <v>5</v>
      </c>
      <c r="E243" s="2031" t="s">
        <v>3223</v>
      </c>
      <c r="F243" s="2031" t="s">
        <v>3224</v>
      </c>
      <c r="G243" s="878" t="s">
        <v>3225</v>
      </c>
      <c r="H243" s="879" t="s">
        <v>3226</v>
      </c>
      <c r="I243" s="1598" t="str">
        <f t="shared" si="106"/>
        <v>5-DaHall1-PDU-01-30-35</v>
      </c>
      <c r="J243" s="1599" t="str">
        <f t="shared" si="107"/>
        <v>5-DaHall1-PDU-02-30-35</v>
      </c>
      <c r="K243" s="1638">
        <v>220</v>
      </c>
      <c r="L243" s="1639">
        <v>30</v>
      </c>
      <c r="M243" s="2383" t="s">
        <v>6497</v>
      </c>
      <c r="N243" s="1640">
        <v>35</v>
      </c>
      <c r="O243" s="1641">
        <v>220</v>
      </c>
      <c r="P243" s="1642">
        <v>30</v>
      </c>
      <c r="Q243" s="2413" t="s">
        <v>6493</v>
      </c>
      <c r="R243" s="1643">
        <v>35</v>
      </c>
      <c r="S243" s="3460"/>
      <c r="T243" s="3463"/>
      <c r="U243" s="3466"/>
      <c r="V243" s="3469"/>
      <c r="W243" s="3466"/>
      <c r="X243" s="3469"/>
      <c r="Y243" s="253">
        <f>SUM('5층_부하량(월간_AVG)'!D45:F45)</f>
        <v>11.758315303143744</v>
      </c>
      <c r="Z243" s="253">
        <f>SUM('5층_부하량(월간_AVG)'!D75:F75)</f>
        <v>9.7876376071845606</v>
      </c>
      <c r="AA243" s="2452">
        <f t="shared" si="109"/>
        <v>21.545952910328303</v>
      </c>
      <c r="AB243" s="2727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1929.5</v>
      </c>
      <c r="AC243" s="2728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1604.1</v>
      </c>
      <c r="AD243" s="2477">
        <f t="shared" ref="AD243:AD258" si="111">SUM(AB243:AC243)</f>
        <v>3533.6</v>
      </c>
      <c r="AE243" s="2467"/>
      <c r="AG243" s="2367">
        <f t="shared" si="90"/>
        <v>4.7494623655913975</v>
      </c>
      <c r="AH243" s="2367">
        <f t="shared" si="91"/>
        <v>0.25053763440860255</v>
      </c>
      <c r="AI243" s="123" t="str">
        <f t="shared" si="87"/>
        <v>적정함</v>
      </c>
      <c r="AJ243" t="str">
        <f t="shared" si="88"/>
        <v/>
      </c>
      <c r="AK243" t="str">
        <f t="shared" si="89"/>
        <v/>
      </c>
      <c r="AP243" s="123"/>
      <c r="AQ243" s="123"/>
      <c r="AR243" s="123"/>
      <c r="AS243" s="3084"/>
      <c r="AT243" s="123"/>
      <c r="AU243" s="123"/>
      <c r="AV243" s="3092"/>
      <c r="AW243" s="3086"/>
      <c r="AX243" s="3087"/>
      <c r="AY243" s="3088"/>
      <c r="AZ243" s="3089"/>
      <c r="BA243" s="3090"/>
      <c r="BB243" s="1"/>
    </row>
    <row r="244" spans="1:54" ht="28.8">
      <c r="A244" s="2652" t="s">
        <v>3227</v>
      </c>
      <c r="B244" s="2653" t="s">
        <v>3228</v>
      </c>
      <c r="C244" s="2664" t="s">
        <v>3187</v>
      </c>
      <c r="D244" s="3045">
        <v>5</v>
      </c>
      <c r="E244" s="2031" t="s">
        <v>3229</v>
      </c>
      <c r="F244" s="2031" t="s">
        <v>3230</v>
      </c>
      <c r="G244" s="878" t="s">
        <v>3231</v>
      </c>
      <c r="H244" s="879" t="s">
        <v>3232</v>
      </c>
      <c r="I244" s="1598" t="str">
        <f t="shared" si="106"/>
        <v>5-DaHall1-PDU-01-30-37</v>
      </c>
      <c r="J244" s="1599" t="str">
        <f t="shared" si="107"/>
        <v>5-DaHall1-PDU-02-30-37</v>
      </c>
      <c r="K244" s="1638">
        <v>220</v>
      </c>
      <c r="L244" s="1639">
        <v>30</v>
      </c>
      <c r="M244" s="2383" t="s">
        <v>6497</v>
      </c>
      <c r="N244" s="1640">
        <v>37</v>
      </c>
      <c r="O244" s="1641">
        <v>220</v>
      </c>
      <c r="P244" s="1642">
        <v>30</v>
      </c>
      <c r="Q244" s="2413" t="s">
        <v>6493</v>
      </c>
      <c r="R244" s="1643">
        <v>37</v>
      </c>
      <c r="S244" s="3460"/>
      <c r="T244" s="3463"/>
      <c r="U244" s="3466"/>
      <c r="V244" s="3469"/>
      <c r="W244" s="3466"/>
      <c r="X244" s="3469"/>
      <c r="Y244" s="253">
        <f>SUM('5층_부하량(월간_AVG)'!D46:F46)</f>
        <v>9.598684548806192</v>
      </c>
      <c r="Z244" s="253">
        <f>SUM('5층_부하량(월간_AVG)'!D76:F76)</f>
        <v>11.485677673348082</v>
      </c>
      <c r="AA244" s="2452">
        <f t="shared" si="109"/>
        <v>21.084362222154276</v>
      </c>
      <c r="AB244" s="2727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1572.1</v>
      </c>
      <c r="AC244" s="2728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1883.9</v>
      </c>
      <c r="AD244" s="2477">
        <f t="shared" si="111"/>
        <v>3456</v>
      </c>
      <c r="AE244" s="2467"/>
      <c r="AG244" s="2367">
        <f t="shared" si="90"/>
        <v>4.645161290322581</v>
      </c>
      <c r="AH244" s="2367">
        <f t="shared" si="91"/>
        <v>0.35483870967741904</v>
      </c>
      <c r="AI244" s="123" t="str">
        <f t="shared" si="87"/>
        <v>적정함</v>
      </c>
      <c r="AJ244" t="str">
        <f t="shared" si="88"/>
        <v/>
      </c>
      <c r="AK244" t="str">
        <f t="shared" si="89"/>
        <v/>
      </c>
      <c r="AP244" s="123"/>
      <c r="AQ244" s="123"/>
      <c r="AR244" s="123"/>
      <c r="AS244" s="3084"/>
      <c r="AT244" s="123"/>
      <c r="AU244" s="123"/>
      <c r="AV244" s="3092"/>
      <c r="AW244" s="3086"/>
      <c r="AX244" s="3087"/>
      <c r="AY244" s="3088"/>
      <c r="AZ244" s="3089"/>
      <c r="BA244" s="3090"/>
      <c r="BB244" s="1"/>
    </row>
    <row r="245" spans="1:54" ht="28.8">
      <c r="A245" s="2652" t="s">
        <v>3233</v>
      </c>
      <c r="B245" s="2653" t="s">
        <v>3234</v>
      </c>
      <c r="C245" s="2664" t="s">
        <v>3187</v>
      </c>
      <c r="D245" s="3045">
        <v>5</v>
      </c>
      <c r="E245" s="2031" t="s">
        <v>3235</v>
      </c>
      <c r="F245" s="2031" t="s">
        <v>3236</v>
      </c>
      <c r="G245" s="878" t="s">
        <v>3237</v>
      </c>
      <c r="H245" s="879" t="s">
        <v>3238</v>
      </c>
      <c r="I245" s="1598" t="str">
        <f t="shared" si="106"/>
        <v>5-DaHall1-PDU-01-30-39</v>
      </c>
      <c r="J245" s="1599" t="str">
        <f t="shared" si="107"/>
        <v>5-DaHall1-PDU-02-30-39</v>
      </c>
      <c r="K245" s="1638">
        <v>220</v>
      </c>
      <c r="L245" s="1639">
        <v>30</v>
      </c>
      <c r="M245" s="2383" t="s">
        <v>6497</v>
      </c>
      <c r="N245" s="1640">
        <v>39</v>
      </c>
      <c r="O245" s="1641">
        <v>220</v>
      </c>
      <c r="P245" s="1642">
        <v>30</v>
      </c>
      <c r="Q245" s="2413" t="s">
        <v>6493</v>
      </c>
      <c r="R245" s="1643">
        <v>39</v>
      </c>
      <c r="S245" s="3460"/>
      <c r="T245" s="3463"/>
      <c r="U245" s="3466"/>
      <c r="V245" s="3469"/>
      <c r="W245" s="3466"/>
      <c r="X245" s="3469"/>
      <c r="Y245" s="253">
        <f>SUM('5층_부하량(월간_AVG)'!D47:F47)</f>
        <v>11.858039982831528</v>
      </c>
      <c r="Z245" s="253">
        <f>SUM('5층_부하량(월간_AVG)'!D77:F77)</f>
        <v>9.5480765988241227</v>
      </c>
      <c r="AA245" s="2452">
        <f t="shared" si="109"/>
        <v>21.406116581655652</v>
      </c>
      <c r="AB245" s="2727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1829.6</v>
      </c>
      <c r="AC245" s="2728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1463.7</v>
      </c>
      <c r="AD245" s="2477">
        <f t="shared" si="111"/>
        <v>3293.3</v>
      </c>
      <c r="AE245" s="2467"/>
      <c r="AG245" s="2367">
        <f t="shared" si="90"/>
        <v>4.4264784946236562</v>
      </c>
      <c r="AH245" s="2367">
        <f t="shared" si="91"/>
        <v>0.57352150537634383</v>
      </c>
      <c r="AI245" s="123" t="str">
        <f t="shared" si="87"/>
        <v>적정함</v>
      </c>
      <c r="AJ245" t="str">
        <f t="shared" si="88"/>
        <v/>
      </c>
      <c r="AK245" t="str">
        <f t="shared" si="89"/>
        <v/>
      </c>
      <c r="AP245" s="123"/>
      <c r="AQ245" s="123"/>
      <c r="AR245" s="123"/>
      <c r="AS245" s="3084"/>
      <c r="AT245" s="123"/>
      <c r="AU245" s="123"/>
      <c r="AV245" s="3092"/>
      <c r="AW245" s="3086"/>
      <c r="AX245" s="3087"/>
      <c r="AY245" s="3088"/>
      <c r="AZ245" s="3089"/>
      <c r="BA245" s="3090"/>
      <c r="BB245" s="1"/>
    </row>
    <row r="246" spans="1:54" ht="28.8">
      <c r="A246" s="2652"/>
      <c r="B246" s="250" t="s">
        <v>3239</v>
      </c>
      <c r="C246" s="2664"/>
      <c r="D246" s="3044"/>
      <c r="E246" s="250" t="s">
        <v>3240</v>
      </c>
      <c r="F246" s="250" t="s">
        <v>3241</v>
      </c>
      <c r="G246" s="878" t="s">
        <v>3242</v>
      </c>
      <c r="H246" s="879" t="s">
        <v>3243</v>
      </c>
      <c r="I246" s="1598" t="str">
        <f t="shared" si="106"/>
        <v>5-DaHall1-PDU-01-30-41</v>
      </c>
      <c r="J246" s="1599" t="str">
        <f t="shared" si="107"/>
        <v>5-DaHall1-PDU-02-30-41</v>
      </c>
      <c r="K246" s="1638">
        <v>220</v>
      </c>
      <c r="L246" s="1639">
        <v>30</v>
      </c>
      <c r="M246" s="2383" t="s">
        <v>6497</v>
      </c>
      <c r="N246" s="1640">
        <v>41</v>
      </c>
      <c r="O246" s="1641">
        <v>220</v>
      </c>
      <c r="P246" s="1642">
        <v>30</v>
      </c>
      <c r="Q246" s="2413" t="s">
        <v>6493</v>
      </c>
      <c r="R246" s="1643">
        <v>41</v>
      </c>
      <c r="S246" s="3460"/>
      <c r="T246" s="3463"/>
      <c r="U246" s="3466"/>
      <c r="V246" s="3469"/>
      <c r="W246" s="3466"/>
      <c r="X246" s="3469"/>
      <c r="Y246" s="253">
        <f>SUM('5층_부하량(월간_AVG)'!D48:F48)</f>
        <v>0</v>
      </c>
      <c r="Z246" s="253">
        <f>SUM('5층_부하량(월간_AVG)'!D78:F78)</f>
        <v>0</v>
      </c>
      <c r="AA246" s="2452">
        <f t="shared" si="109"/>
        <v>0</v>
      </c>
      <c r="AB246" s="2727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0</v>
      </c>
      <c r="AC246" s="2728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0</v>
      </c>
      <c r="AD246" s="2477">
        <f t="shared" si="111"/>
        <v>0</v>
      </c>
      <c r="AE246" s="2467"/>
      <c r="AG246" s="2367">
        <f t="shared" si="90"/>
        <v>0</v>
      </c>
      <c r="AH246" s="2367">
        <f t="shared" si="91"/>
        <v>0</v>
      </c>
      <c r="AI246" s="123" t="str">
        <f t="shared" si="87"/>
        <v>무부하 랙</v>
      </c>
      <c r="AJ246" t="str">
        <f t="shared" si="88"/>
        <v/>
      </c>
      <c r="AK246" t="str">
        <f t="shared" si="89"/>
        <v/>
      </c>
      <c r="AP246" s="123"/>
      <c r="AQ246" s="123"/>
      <c r="AR246" s="123"/>
      <c r="AS246" s="3084"/>
      <c r="AT246" s="123"/>
      <c r="AU246" s="123"/>
      <c r="AV246" s="3092"/>
      <c r="AW246" s="3086"/>
      <c r="AX246" s="3087"/>
      <c r="AY246" s="3088"/>
      <c r="AZ246" s="3089"/>
      <c r="BA246" s="3090"/>
      <c r="BB246" s="1"/>
    </row>
    <row r="247" spans="1:54" ht="28.8">
      <c r="A247" s="2652"/>
      <c r="B247" s="250" t="s">
        <v>3244</v>
      </c>
      <c r="C247" s="2664"/>
      <c r="D247" s="3044"/>
      <c r="E247" s="250" t="s">
        <v>3245</v>
      </c>
      <c r="F247" s="250" t="s">
        <v>3246</v>
      </c>
      <c r="G247" s="878" t="s">
        <v>3247</v>
      </c>
      <c r="H247" s="879" t="s">
        <v>3248</v>
      </c>
      <c r="I247" s="1598" t="str">
        <f t="shared" si="106"/>
        <v>5-DaHall1-PDU-01-30-43</v>
      </c>
      <c r="J247" s="1599" t="str">
        <f t="shared" si="107"/>
        <v>5-DaHall1-PDU-02-30-43</v>
      </c>
      <c r="K247" s="1638">
        <v>220</v>
      </c>
      <c r="L247" s="1639">
        <v>30</v>
      </c>
      <c r="M247" s="2383" t="s">
        <v>6497</v>
      </c>
      <c r="N247" s="1640">
        <v>43</v>
      </c>
      <c r="O247" s="1641">
        <v>220</v>
      </c>
      <c r="P247" s="1642">
        <v>30</v>
      </c>
      <c r="Q247" s="2413" t="s">
        <v>6493</v>
      </c>
      <c r="R247" s="1643">
        <v>43</v>
      </c>
      <c r="S247" s="3460"/>
      <c r="T247" s="3463"/>
      <c r="U247" s="3466"/>
      <c r="V247" s="3469"/>
      <c r="W247" s="3466"/>
      <c r="X247" s="3469"/>
      <c r="Y247" s="253">
        <f>SUM('5층_부하량(월간_AVG)'!D49:F49)</f>
        <v>0</v>
      </c>
      <c r="Z247" s="253">
        <f>SUM('5층_부하량(월간_AVG)'!D79:F79)</f>
        <v>0</v>
      </c>
      <c r="AA247" s="2452">
        <f t="shared" si="109"/>
        <v>0</v>
      </c>
      <c r="AB247" s="2727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0</v>
      </c>
      <c r="AC247" s="2728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0</v>
      </c>
      <c r="AD247" s="2477">
        <f t="shared" si="111"/>
        <v>0</v>
      </c>
      <c r="AE247" s="2467"/>
      <c r="AG247" s="2367">
        <f t="shared" si="90"/>
        <v>0</v>
      </c>
      <c r="AH247" s="2367">
        <f t="shared" si="91"/>
        <v>0</v>
      </c>
      <c r="AI247" s="123" t="str">
        <f t="shared" si="87"/>
        <v>무부하 랙</v>
      </c>
      <c r="AJ247" t="str">
        <f t="shared" si="88"/>
        <v/>
      </c>
      <c r="AK247" t="str">
        <f t="shared" si="89"/>
        <v/>
      </c>
      <c r="AP247" s="123"/>
      <c r="AQ247" s="123"/>
      <c r="AR247" s="123"/>
      <c r="AS247" s="3084"/>
      <c r="AT247" s="123"/>
      <c r="AU247" s="123"/>
      <c r="AV247" s="3092"/>
      <c r="AW247" s="3086"/>
      <c r="AX247" s="3087"/>
      <c r="AY247" s="3088"/>
      <c r="AZ247" s="3089"/>
      <c r="BA247" s="3090"/>
      <c r="BB247" s="1"/>
    </row>
    <row r="248" spans="1:54" ht="28.8">
      <c r="A248" s="2652"/>
      <c r="B248" s="250" t="s">
        <v>3249</v>
      </c>
      <c r="C248" s="2664"/>
      <c r="D248" s="3044"/>
      <c r="E248" s="250" t="s">
        <v>3250</v>
      </c>
      <c r="F248" s="250" t="s">
        <v>3251</v>
      </c>
      <c r="G248" s="878" t="s">
        <v>3252</v>
      </c>
      <c r="H248" s="879" t="s">
        <v>3253</v>
      </c>
      <c r="I248" s="1598" t="str">
        <f t="shared" si="106"/>
        <v>5-DaHall1-PDU-01-30-45</v>
      </c>
      <c r="J248" s="1599" t="str">
        <f t="shared" si="107"/>
        <v>5-DaHall1-PDU-02-30-45</v>
      </c>
      <c r="K248" s="1638">
        <v>220</v>
      </c>
      <c r="L248" s="1639">
        <v>30</v>
      </c>
      <c r="M248" s="2383" t="s">
        <v>6497</v>
      </c>
      <c r="N248" s="1640">
        <v>45</v>
      </c>
      <c r="O248" s="1641">
        <v>220</v>
      </c>
      <c r="P248" s="1642">
        <v>30</v>
      </c>
      <c r="Q248" s="2413" t="s">
        <v>6493</v>
      </c>
      <c r="R248" s="1643">
        <v>45</v>
      </c>
      <c r="S248" s="3460"/>
      <c r="T248" s="3463"/>
      <c r="U248" s="3466"/>
      <c r="V248" s="3469"/>
      <c r="W248" s="3466"/>
      <c r="X248" s="3469"/>
      <c r="Y248" s="253">
        <f>SUM('5층_부하량(월간_AVG)'!D50:F50)</f>
        <v>0</v>
      </c>
      <c r="Z248" s="253">
        <f>SUM('5층_부하량(월간_AVG)'!D80:F80)</f>
        <v>0</v>
      </c>
      <c r="AA248" s="2452">
        <f t="shared" si="109"/>
        <v>0</v>
      </c>
      <c r="AB248" s="2727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0</v>
      </c>
      <c r="AC248" s="2728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0</v>
      </c>
      <c r="AD248" s="2477">
        <f t="shared" si="111"/>
        <v>0</v>
      </c>
      <c r="AE248" s="2467"/>
      <c r="AG248" s="2367">
        <f t="shared" si="90"/>
        <v>0</v>
      </c>
      <c r="AH248" s="2367">
        <f t="shared" si="91"/>
        <v>0</v>
      </c>
      <c r="AI248" s="123" t="str">
        <f t="shared" si="87"/>
        <v>무부하 랙</v>
      </c>
      <c r="AJ248" t="str">
        <f t="shared" si="88"/>
        <v/>
      </c>
      <c r="AK248" t="str">
        <f t="shared" si="89"/>
        <v/>
      </c>
      <c r="AP248" s="123"/>
      <c r="AQ248" s="123"/>
      <c r="AR248" s="123"/>
      <c r="AS248" s="3084"/>
      <c r="AT248" s="123"/>
      <c r="AU248" s="123"/>
      <c r="AV248" s="3092"/>
      <c r="AW248" s="3086"/>
      <c r="AX248" s="3087"/>
      <c r="AY248" s="3088"/>
      <c r="AZ248" s="3089"/>
      <c r="BA248" s="3090"/>
      <c r="BB248" s="1"/>
    </row>
    <row r="249" spans="1:54" ht="29.4" thickBot="1">
      <c r="A249" s="2660"/>
      <c r="B249" s="2661" t="s">
        <v>3254</v>
      </c>
      <c r="C249" s="2688"/>
      <c r="D249" s="3048"/>
      <c r="E249" s="2661" t="s">
        <v>3255</v>
      </c>
      <c r="F249" s="2661" t="s">
        <v>3256</v>
      </c>
      <c r="G249" s="1110" t="s">
        <v>3257</v>
      </c>
      <c r="H249" s="1111" t="s">
        <v>3258</v>
      </c>
      <c r="I249" s="1600" t="str">
        <f t="shared" si="106"/>
        <v>5-DaHall1-PDU-01-30-47</v>
      </c>
      <c r="J249" s="1601" t="str">
        <f t="shared" si="107"/>
        <v>5-DaHall1-PDU-02-30-47</v>
      </c>
      <c r="K249" s="1644">
        <v>220</v>
      </c>
      <c r="L249" s="1645">
        <v>30</v>
      </c>
      <c r="M249" s="2384" t="s">
        <v>6497</v>
      </c>
      <c r="N249" s="1646">
        <v>47</v>
      </c>
      <c r="O249" s="1647">
        <v>220</v>
      </c>
      <c r="P249" s="1648">
        <v>30</v>
      </c>
      <c r="Q249" s="2414" t="s">
        <v>6493</v>
      </c>
      <c r="R249" s="1649">
        <v>47</v>
      </c>
      <c r="S249" s="3461"/>
      <c r="T249" s="3464"/>
      <c r="U249" s="3467"/>
      <c r="V249" s="3470"/>
      <c r="W249" s="3467"/>
      <c r="X249" s="3470"/>
      <c r="Y249" s="329">
        <f>SUM('5층_부하량(월간_AVG)'!D51:F51)</f>
        <v>0</v>
      </c>
      <c r="Z249" s="329">
        <f>SUM('5층_부하량(월간_AVG)'!D81:F81)</f>
        <v>0</v>
      </c>
      <c r="AA249" s="2453">
        <f t="shared" si="109"/>
        <v>0</v>
      </c>
      <c r="AB249" s="2733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0</v>
      </c>
      <c r="AC249" s="2734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0</v>
      </c>
      <c r="AD249" s="2478">
        <f t="shared" si="111"/>
        <v>0</v>
      </c>
      <c r="AE249" s="2468"/>
      <c r="AG249" s="2367">
        <f t="shared" si="90"/>
        <v>0</v>
      </c>
      <c r="AH249" s="2367">
        <f t="shared" si="91"/>
        <v>0</v>
      </c>
      <c r="AI249" s="123" t="str">
        <f t="shared" si="87"/>
        <v>무부하 랙</v>
      </c>
      <c r="AJ249" t="str">
        <f t="shared" si="88"/>
        <v/>
      </c>
      <c r="AK249" t="str">
        <f t="shared" si="89"/>
        <v/>
      </c>
      <c r="AP249" s="123"/>
      <c r="AQ249" s="123"/>
      <c r="AR249" s="123"/>
      <c r="AS249" s="3084"/>
      <c r="AT249" s="123"/>
      <c r="AU249" s="123"/>
      <c r="AV249" s="3092"/>
      <c r="AW249" s="3086"/>
      <c r="AX249" s="3087"/>
      <c r="AY249" s="3088"/>
      <c r="AZ249" s="3089"/>
      <c r="BA249" s="3090"/>
      <c r="BB249" s="1"/>
    </row>
    <row r="250" spans="1:54" ht="29.4" thickTop="1">
      <c r="A250" s="1084" t="s">
        <v>2398</v>
      </c>
      <c r="B250" s="841" t="s">
        <v>3259</v>
      </c>
      <c r="C250" s="973" t="s">
        <v>9232</v>
      </c>
      <c r="D250" s="3049">
        <v>2.2000000000000002</v>
      </c>
      <c r="E250" s="327" t="s">
        <v>3261</v>
      </c>
      <c r="F250" s="327" t="s">
        <v>3262</v>
      </c>
      <c r="G250" s="2673" t="s">
        <v>3263</v>
      </c>
      <c r="H250" s="2674" t="s">
        <v>3264</v>
      </c>
      <c r="I250" s="1610" t="str">
        <f t="shared" si="106"/>
        <v>5-DaHall1-PDU-01-30-19</v>
      </c>
      <c r="J250" s="1611" t="str">
        <f t="shared" si="107"/>
        <v>5-DaHall1-PDU-02-30-19</v>
      </c>
      <c r="K250" s="1650">
        <v>220</v>
      </c>
      <c r="L250" s="1651">
        <v>30</v>
      </c>
      <c r="M250" s="2379" t="s">
        <v>6497</v>
      </c>
      <c r="N250" s="1557">
        <v>19</v>
      </c>
      <c r="O250" s="1652">
        <v>220</v>
      </c>
      <c r="P250" s="1653">
        <v>30</v>
      </c>
      <c r="Q250" s="2409" t="s">
        <v>6493</v>
      </c>
      <c r="R250" s="1560">
        <v>19</v>
      </c>
      <c r="S250" s="3472" t="s">
        <v>2828</v>
      </c>
      <c r="T250" s="3475" t="s">
        <v>2829</v>
      </c>
      <c r="U250" s="3355" t="s">
        <v>2830</v>
      </c>
      <c r="V250" s="3361" t="s">
        <v>2831</v>
      </c>
      <c r="W250" s="3355" t="s">
        <v>2484</v>
      </c>
      <c r="X250" s="3361" t="s">
        <v>2485</v>
      </c>
      <c r="Y250" s="836">
        <f>SUM('5층_부하량(월간_AVG)'!D37:F37)</f>
        <v>1.0397182116716963</v>
      </c>
      <c r="Z250" s="836">
        <f>SUM('5층_부하량(월간_AVG)'!D67:F67)</f>
        <v>0</v>
      </c>
      <c r="AA250" s="2491">
        <f t="shared" si="109"/>
        <v>1.0397182116716963</v>
      </c>
      <c r="AB250" s="2795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50" s="2796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0</v>
      </c>
      <c r="AD250" s="2479">
        <f t="shared" si="111"/>
        <v>127.6</v>
      </c>
      <c r="AE250" s="2469" t="s">
        <v>3265</v>
      </c>
      <c r="AG250" s="2367">
        <f t="shared" si="90"/>
        <v>0.17150537634408602</v>
      </c>
      <c r="AH250" s="2367">
        <f t="shared" si="91"/>
        <v>2.0284946236559143</v>
      </c>
      <c r="AI250" s="123" t="str">
        <f t="shared" si="87"/>
        <v>적정함</v>
      </c>
      <c r="AJ250" t="str">
        <f t="shared" si="88"/>
        <v/>
      </c>
      <c r="AK250" t="str">
        <f t="shared" si="89"/>
        <v/>
      </c>
      <c r="AP250" s="123"/>
      <c r="AQ250" s="123"/>
      <c r="AR250" s="123"/>
      <c r="AS250" s="3084"/>
      <c r="AT250" s="123"/>
      <c r="AU250" s="123"/>
      <c r="AV250" s="3092"/>
      <c r="AW250" s="3086"/>
      <c r="AX250" s="3087"/>
      <c r="AY250" s="3088"/>
      <c r="AZ250" s="3089"/>
      <c r="BA250" s="3090"/>
      <c r="BB250" s="1"/>
    </row>
    <row r="251" spans="1:54" ht="28.8">
      <c r="A251" s="2652" t="s">
        <v>2404</v>
      </c>
      <c r="B251" s="2686" t="s">
        <v>3266</v>
      </c>
      <c r="C251" s="2664" t="s">
        <v>9232</v>
      </c>
      <c r="D251" s="3050">
        <v>2.2000000000000002</v>
      </c>
      <c r="E251" s="250" t="s">
        <v>3267</v>
      </c>
      <c r="F251" s="250" t="s">
        <v>3268</v>
      </c>
      <c r="G251" s="2665" t="s">
        <v>3269</v>
      </c>
      <c r="H251" s="2666" t="s">
        <v>3270</v>
      </c>
      <c r="I251" s="1598" t="str">
        <f t="shared" si="106"/>
        <v>5-DaHall1-PDU-01-30-21</v>
      </c>
      <c r="J251" s="1599" t="str">
        <f t="shared" si="107"/>
        <v>5-DaHall1-PDU-02-30-21</v>
      </c>
      <c r="K251" s="1567">
        <v>220</v>
      </c>
      <c r="L251" s="1568">
        <v>30</v>
      </c>
      <c r="M251" s="2380" t="s">
        <v>6497</v>
      </c>
      <c r="N251" s="1563">
        <v>21</v>
      </c>
      <c r="O251" s="1569">
        <v>220</v>
      </c>
      <c r="P251" s="1570">
        <v>30</v>
      </c>
      <c r="Q251" s="2410" t="s">
        <v>6493</v>
      </c>
      <c r="R251" s="1566">
        <v>21</v>
      </c>
      <c r="S251" s="3473"/>
      <c r="T251" s="3476"/>
      <c r="U251" s="3364"/>
      <c r="V251" s="3365"/>
      <c r="W251" s="3356"/>
      <c r="X251" s="3365"/>
      <c r="Y251" s="268">
        <f>SUM('5층_부하량(월간_AVG)'!D38:F38)</f>
        <v>1.4690545237342105</v>
      </c>
      <c r="Z251" s="268">
        <f>SUM('5층_부하량(월간_AVG)'!D68:F68)</f>
        <v>1.6399666308120915</v>
      </c>
      <c r="AA251" s="2459">
        <f t="shared" si="109"/>
        <v>3.1090211545463022</v>
      </c>
      <c r="AB251" s="2743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191.5</v>
      </c>
      <c r="AC251" s="2744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227.6</v>
      </c>
      <c r="AD251" s="2477">
        <f t="shared" si="111"/>
        <v>419.1</v>
      </c>
      <c r="AE251" s="2467" t="s">
        <v>3271</v>
      </c>
      <c r="AG251" s="2367">
        <f t="shared" si="90"/>
        <v>0.56330645161290327</v>
      </c>
      <c r="AH251" s="2367">
        <f t="shared" si="91"/>
        <v>1.6366935483870968</v>
      </c>
      <c r="AI251" s="123" t="str">
        <f t="shared" si="87"/>
        <v>적정함</v>
      </c>
      <c r="AJ251" t="str">
        <f t="shared" si="88"/>
        <v/>
      </c>
      <c r="AK251" t="str">
        <f t="shared" si="89"/>
        <v/>
      </c>
      <c r="AP251" s="123"/>
      <c r="AQ251" s="123"/>
      <c r="AR251" s="123"/>
      <c r="AS251" s="3084"/>
      <c r="AT251" s="123"/>
      <c r="AU251" s="123"/>
      <c r="AV251" s="3092"/>
      <c r="AW251" s="3086"/>
      <c r="AX251" s="3087"/>
      <c r="AY251" s="3088"/>
      <c r="AZ251" s="3089"/>
      <c r="BA251" s="3090"/>
      <c r="BB251" s="1"/>
    </row>
    <row r="252" spans="1:54" ht="28.8">
      <c r="A252" s="2652" t="s">
        <v>2410</v>
      </c>
      <c r="B252" s="2686" t="s">
        <v>3272</v>
      </c>
      <c r="C252" s="2664" t="s">
        <v>9232</v>
      </c>
      <c r="D252" s="3050">
        <v>2.2000000000000002</v>
      </c>
      <c r="E252" s="250" t="s">
        <v>3273</v>
      </c>
      <c r="F252" s="250" t="s">
        <v>3274</v>
      </c>
      <c r="G252" s="2665" t="s">
        <v>3275</v>
      </c>
      <c r="H252" s="2666" t="s">
        <v>3276</v>
      </c>
      <c r="I252" s="1598" t="str">
        <f t="shared" si="106"/>
        <v>5-DaHall1-PDU-01-30-23</v>
      </c>
      <c r="J252" s="1599" t="str">
        <f t="shared" si="107"/>
        <v>5-DaHall1-PDU-02-30-23</v>
      </c>
      <c r="K252" s="1567">
        <v>220</v>
      </c>
      <c r="L252" s="1568">
        <v>30</v>
      </c>
      <c r="M252" s="2380" t="s">
        <v>6497</v>
      </c>
      <c r="N252" s="1563">
        <v>23</v>
      </c>
      <c r="O252" s="1569">
        <v>220</v>
      </c>
      <c r="P252" s="1570">
        <v>30</v>
      </c>
      <c r="Q252" s="2410" t="s">
        <v>6493</v>
      </c>
      <c r="R252" s="1566">
        <v>23</v>
      </c>
      <c r="S252" s="3473"/>
      <c r="T252" s="3476"/>
      <c r="U252" s="3364"/>
      <c r="V252" s="3365"/>
      <c r="W252" s="3356"/>
      <c r="X252" s="3365"/>
      <c r="Y252" s="268">
        <f>SUM('5층_부하량(월간_AVG)'!D39:F39)</f>
        <v>1.5392538122517241</v>
      </c>
      <c r="Z252" s="268">
        <f>SUM('5층_부하량(월간_AVG)'!D69:F69)</f>
        <v>1.3200646720363869</v>
      </c>
      <c r="AA252" s="2459">
        <f t="shared" si="109"/>
        <v>2.859318484288111</v>
      </c>
      <c r="AB252" s="2743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2" s="2744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2" s="2477">
        <f t="shared" si="111"/>
        <v>433</v>
      </c>
      <c r="AE252" s="2467" t="s">
        <v>3277</v>
      </c>
      <c r="AG252" s="2367">
        <f t="shared" si="90"/>
        <v>0.581989247311828</v>
      </c>
      <c r="AH252" s="2367">
        <f t="shared" si="91"/>
        <v>1.6180107526881722</v>
      </c>
      <c r="AI252" s="123" t="str">
        <f t="shared" si="87"/>
        <v>적정함</v>
      </c>
      <c r="AJ252" t="str">
        <f t="shared" si="88"/>
        <v/>
      </c>
      <c r="AK252" t="str">
        <f t="shared" si="89"/>
        <v/>
      </c>
      <c r="AP252" s="123"/>
      <c r="AQ252" s="123"/>
      <c r="AR252" s="123"/>
      <c r="AS252" s="3084"/>
      <c r="AT252" s="123"/>
      <c r="AU252" s="123"/>
      <c r="AV252" s="3092"/>
      <c r="AW252" s="3086"/>
      <c r="AX252" s="3087"/>
      <c r="AY252" s="3088"/>
      <c r="AZ252" s="3089"/>
      <c r="BA252" s="3090"/>
      <c r="BB252" s="1"/>
    </row>
    <row r="253" spans="1:54" ht="29.4" thickBot="1">
      <c r="A253" s="2660" t="s">
        <v>2416</v>
      </c>
      <c r="B253" s="2687" t="s">
        <v>3278</v>
      </c>
      <c r="C253" s="2688" t="s">
        <v>9232</v>
      </c>
      <c r="D253" s="3051">
        <v>2.2000000000000002</v>
      </c>
      <c r="E253" s="2661" t="s">
        <v>3279</v>
      </c>
      <c r="F253" s="2661" t="s">
        <v>3280</v>
      </c>
      <c r="G253" s="2675" t="s">
        <v>3281</v>
      </c>
      <c r="H253" s="2676" t="s">
        <v>3282</v>
      </c>
      <c r="I253" s="1600" t="str">
        <f t="shared" si="106"/>
        <v>5-DaHall1-PDU-01-30-25</v>
      </c>
      <c r="J253" s="1601" t="str">
        <f t="shared" si="107"/>
        <v>5-DaHall1-PDU-02-30-25</v>
      </c>
      <c r="K253" s="1654">
        <v>220</v>
      </c>
      <c r="L253" s="1655">
        <v>30</v>
      </c>
      <c r="M253" s="2381" t="s">
        <v>6497</v>
      </c>
      <c r="N253" s="1573">
        <v>25</v>
      </c>
      <c r="O253" s="1656">
        <v>220</v>
      </c>
      <c r="P253" s="1657">
        <v>30</v>
      </c>
      <c r="Q253" s="2411" t="s">
        <v>6493</v>
      </c>
      <c r="R253" s="1576">
        <v>25</v>
      </c>
      <c r="S253" s="3474"/>
      <c r="T253" s="3477"/>
      <c r="U253" s="3372"/>
      <c r="V253" s="3371"/>
      <c r="W253" s="3357"/>
      <c r="X253" s="3371"/>
      <c r="Y253" s="330">
        <f>SUM('5층_부하량(월간_AVG)'!D40:F40)</f>
        <v>0</v>
      </c>
      <c r="Z253" s="330">
        <f>SUM('5층_부하량(월간_AVG)'!D70:F70)</f>
        <v>0</v>
      </c>
      <c r="AA253" s="2460">
        <f t="shared" si="109"/>
        <v>0</v>
      </c>
      <c r="AB253" s="2797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0</v>
      </c>
      <c r="AC253" s="2798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0</v>
      </c>
      <c r="AD253" s="2478">
        <f t="shared" si="111"/>
        <v>0</v>
      </c>
      <c r="AE253" s="2468" t="s">
        <v>3283</v>
      </c>
      <c r="AG253" s="2367">
        <f t="shared" si="90"/>
        <v>0</v>
      </c>
      <c r="AH253" s="2367">
        <f t="shared" si="91"/>
        <v>2.2000000000000002</v>
      </c>
      <c r="AI253" s="123" t="str">
        <f t="shared" si="87"/>
        <v>무부하 랙</v>
      </c>
      <c r="AJ253" t="str">
        <f t="shared" si="88"/>
        <v/>
      </c>
      <c r="AK253" t="str">
        <f t="shared" si="89"/>
        <v/>
      </c>
      <c r="AP253" s="123"/>
      <c r="AQ253" s="123"/>
      <c r="AR253" s="123"/>
      <c r="AS253" s="3084"/>
      <c r="AT253" s="123"/>
      <c r="AU253" s="123"/>
      <c r="AV253" s="3092"/>
      <c r="AW253" s="3086"/>
      <c r="AX253" s="3087"/>
      <c r="AY253" s="3088"/>
      <c r="AZ253" s="3089"/>
      <c r="BA253" s="3090"/>
      <c r="BB253" s="1"/>
    </row>
    <row r="254" spans="1:54" ht="29.4" thickTop="1">
      <c r="A254" s="1084"/>
      <c r="B254" s="331" t="s">
        <v>3210</v>
      </c>
      <c r="C254" s="976"/>
      <c r="D254" s="3043"/>
      <c r="E254" s="327" t="s">
        <v>3284</v>
      </c>
      <c r="F254" s="828"/>
      <c r="G254" s="2673" t="s">
        <v>3285</v>
      </c>
      <c r="H254" s="828"/>
      <c r="I254" s="1610" t="str">
        <f t="shared" si="106"/>
        <v>5-DaHall1-PDU-01-30-42</v>
      </c>
      <c r="J254" s="1658"/>
      <c r="K254" s="1659">
        <v>220</v>
      </c>
      <c r="L254" s="1660">
        <v>30</v>
      </c>
      <c r="M254" s="2379" t="s">
        <v>6497</v>
      </c>
      <c r="N254" s="1557">
        <v>42</v>
      </c>
      <c r="O254" s="1661"/>
      <c r="P254" s="1662"/>
      <c r="Q254" s="828"/>
      <c r="R254" s="1663"/>
      <c r="S254" s="2673" t="s">
        <v>2828</v>
      </c>
      <c r="T254" s="828"/>
      <c r="U254" s="2640" t="s">
        <v>2830</v>
      </c>
      <c r="V254" s="828"/>
      <c r="W254" s="2640" t="s">
        <v>2484</v>
      </c>
      <c r="X254" s="828"/>
      <c r="Y254" s="332">
        <f>SUM('5층_부하량(월간_AVG)'!N48:P48)</f>
        <v>0</v>
      </c>
      <c r="Z254" s="828"/>
      <c r="AA254" s="2492">
        <f t="shared" si="109"/>
        <v>0</v>
      </c>
      <c r="AB254" s="2795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0</v>
      </c>
      <c r="AC254" s="2796"/>
      <c r="AD254" s="2479">
        <f t="shared" si="111"/>
        <v>0</v>
      </c>
      <c r="AE254" s="2530"/>
      <c r="AG254" s="2367">
        <f t="shared" si="90"/>
        <v>0</v>
      </c>
      <c r="AH254" s="2367">
        <f t="shared" si="91"/>
        <v>0</v>
      </c>
      <c r="AI254" s="123" t="str">
        <f t="shared" si="87"/>
        <v>무부하 랙</v>
      </c>
      <c r="AJ254" t="str">
        <f t="shared" si="88"/>
        <v/>
      </c>
      <c r="AK254" t="str">
        <f t="shared" si="89"/>
        <v/>
      </c>
      <c r="AP254" s="123"/>
      <c r="AQ254" s="123"/>
      <c r="AR254" s="123"/>
      <c r="AS254" s="3084"/>
      <c r="AT254" s="123"/>
      <c r="AU254" s="123"/>
      <c r="AV254" s="3092"/>
      <c r="AW254" s="3086"/>
      <c r="AX254" s="3087"/>
      <c r="AY254" s="3088"/>
      <c r="AZ254" s="3089"/>
      <c r="BA254" s="3090"/>
      <c r="BB254" s="1"/>
    </row>
    <row r="255" spans="1:54" ht="28.8">
      <c r="A255" s="1086"/>
      <c r="B255" s="250" t="s">
        <v>3286</v>
      </c>
      <c r="C255" s="2664"/>
      <c r="D255" s="3044"/>
      <c r="E255" s="250" t="s">
        <v>3287</v>
      </c>
      <c r="F255" s="250" t="s">
        <v>3288</v>
      </c>
      <c r="G255" s="2665" t="s">
        <v>3289</v>
      </c>
      <c r="H255" s="2666" t="s">
        <v>3290</v>
      </c>
      <c r="I255" s="1598" t="str">
        <f t="shared" si="106"/>
        <v>5-DaHall1-PDU-01-30-44</v>
      </c>
      <c r="J255" s="1599" t="str">
        <f>"5-DaHall1-PDU-"&amp;Q255&amp;"-"&amp;P255&amp;"-"&amp;R255</f>
        <v>5-DaHall1-PDU-02-30-44</v>
      </c>
      <c r="K255" s="1561">
        <v>220</v>
      </c>
      <c r="L255" s="1562">
        <v>30</v>
      </c>
      <c r="M255" s="2380" t="s">
        <v>6497</v>
      </c>
      <c r="N255" s="1563">
        <v>44</v>
      </c>
      <c r="O255" s="1564">
        <v>220</v>
      </c>
      <c r="P255" s="1565">
        <v>30</v>
      </c>
      <c r="Q255" s="2410" t="s">
        <v>6493</v>
      </c>
      <c r="R255" s="1566">
        <v>44</v>
      </c>
      <c r="S255" s="3473" t="s">
        <v>2828</v>
      </c>
      <c r="T255" s="3476" t="s">
        <v>2829</v>
      </c>
      <c r="U255" s="3356" t="s">
        <v>2830</v>
      </c>
      <c r="V255" s="3336" t="s">
        <v>2831</v>
      </c>
      <c r="W255" s="3356" t="s">
        <v>2484</v>
      </c>
      <c r="X255" s="3336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59">
        <f t="shared" si="109"/>
        <v>0</v>
      </c>
      <c r="AB255" s="2743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0</v>
      </c>
      <c r="AC255" s="2744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0</v>
      </c>
      <c r="AD255" s="2477">
        <f t="shared" si="111"/>
        <v>0</v>
      </c>
      <c r="AE255" s="2531"/>
      <c r="AG255" s="2367">
        <f t="shared" si="90"/>
        <v>0</v>
      </c>
      <c r="AH255" s="2367">
        <f t="shared" si="91"/>
        <v>0</v>
      </c>
      <c r="AI255" s="123" t="str">
        <f t="shared" si="87"/>
        <v>무부하 랙</v>
      </c>
      <c r="AJ255" t="str">
        <f t="shared" si="88"/>
        <v/>
      </c>
      <c r="AK255" t="str">
        <f t="shared" si="89"/>
        <v/>
      </c>
      <c r="AP255" s="123"/>
      <c r="AQ255" s="123"/>
      <c r="AR255" s="123"/>
      <c r="AS255" s="3084"/>
      <c r="AT255" s="123"/>
      <c r="AU255" s="123"/>
      <c r="AV255" s="3092"/>
      <c r="AW255" s="3086"/>
      <c r="AX255" s="3087"/>
      <c r="AY255" s="3088"/>
      <c r="AZ255" s="3089"/>
      <c r="BA255" s="3090"/>
      <c r="BB255" s="1"/>
    </row>
    <row r="256" spans="1:54" ht="28.8">
      <c r="A256" s="2652" t="s">
        <v>3291</v>
      </c>
      <c r="B256" s="2664" t="s">
        <v>3292</v>
      </c>
      <c r="C256" s="2664" t="s">
        <v>9232</v>
      </c>
      <c r="D256" s="3050">
        <v>2.2000000000000002</v>
      </c>
      <c r="E256" s="250" t="s">
        <v>3293</v>
      </c>
      <c r="F256" s="250" t="s">
        <v>3294</v>
      </c>
      <c r="G256" s="2665" t="s">
        <v>3295</v>
      </c>
      <c r="H256" s="2666" t="s">
        <v>3296</v>
      </c>
      <c r="I256" s="1598" t="str">
        <f t="shared" si="106"/>
        <v>5-DaHall1-PDU-01-30-4</v>
      </c>
      <c r="J256" s="1599" t="str">
        <f>"5-DaHall1-PDU-"&amp;Q256&amp;"-"&amp;P256&amp;"-"&amp;R256</f>
        <v>5-DaHall1-PDU-02-30-4</v>
      </c>
      <c r="K256" s="1567">
        <v>220</v>
      </c>
      <c r="L256" s="1568">
        <v>30</v>
      </c>
      <c r="M256" s="2380" t="s">
        <v>6497</v>
      </c>
      <c r="N256" s="1563">
        <v>4</v>
      </c>
      <c r="O256" s="1569">
        <v>220</v>
      </c>
      <c r="P256" s="1570">
        <v>30</v>
      </c>
      <c r="Q256" s="2410" t="s">
        <v>6493</v>
      </c>
      <c r="R256" s="1566">
        <v>4</v>
      </c>
      <c r="S256" s="3473"/>
      <c r="T256" s="3476"/>
      <c r="U256" s="3356"/>
      <c r="V256" s="3365"/>
      <c r="W256" s="3356"/>
      <c r="X256" s="3365"/>
      <c r="Y256" s="268">
        <f>SUM('5층_부하량(월간_AVG)'!N29:P29)</f>
        <v>0</v>
      </c>
      <c r="Z256" s="268">
        <f>SUM('5층_부하량(월간_AVG)'!N59:P59)</f>
        <v>0</v>
      </c>
      <c r="AA256" s="2459">
        <f t="shared" si="109"/>
        <v>0</v>
      </c>
      <c r="AB256" s="2743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0</v>
      </c>
      <c r="AC256" s="2744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0</v>
      </c>
      <c r="AD256" s="2477">
        <f t="shared" si="111"/>
        <v>0</v>
      </c>
      <c r="AE256" s="2467" t="s">
        <v>3297</v>
      </c>
      <c r="AG256" s="2367">
        <f t="shared" si="90"/>
        <v>0</v>
      </c>
      <c r="AH256" s="2367">
        <f t="shared" si="91"/>
        <v>2.2000000000000002</v>
      </c>
      <c r="AI256" s="123" t="str">
        <f t="shared" si="87"/>
        <v>무부하 랙</v>
      </c>
      <c r="AJ256" t="str">
        <f t="shared" si="88"/>
        <v/>
      </c>
      <c r="AK256" t="str">
        <f t="shared" si="89"/>
        <v/>
      </c>
      <c r="AP256" s="123"/>
      <c r="AQ256" s="123"/>
      <c r="AR256" s="123"/>
      <c r="AS256" s="3084"/>
      <c r="AT256" s="123"/>
      <c r="AU256" s="123"/>
      <c r="AV256" s="3092"/>
      <c r="AW256" s="3086"/>
      <c r="AX256" s="3087"/>
      <c r="AY256" s="3088"/>
      <c r="AZ256" s="3089"/>
      <c r="BA256" s="3090"/>
      <c r="BB256" s="1"/>
    </row>
    <row r="257" spans="1:54" ht="28.8">
      <c r="A257" s="2652" t="s">
        <v>3298</v>
      </c>
      <c r="B257" s="2686" t="s">
        <v>3299</v>
      </c>
      <c r="C257" s="2664" t="s">
        <v>9232</v>
      </c>
      <c r="D257" s="3050">
        <v>2.2000000000000002</v>
      </c>
      <c r="E257" s="250" t="s">
        <v>3300</v>
      </c>
      <c r="F257" s="250" t="s">
        <v>3301</v>
      </c>
      <c r="G257" s="2665" t="s">
        <v>3302</v>
      </c>
      <c r="H257" s="2666" t="s">
        <v>3303</v>
      </c>
      <c r="I257" s="1598" t="str">
        <f t="shared" si="106"/>
        <v>5-DaHall1-PDU-01-30-6</v>
      </c>
      <c r="J257" s="1599" t="str">
        <f>"5-DaHall1-PDU-"&amp;Q257&amp;"-"&amp;P257&amp;"-"&amp;R257</f>
        <v>5-DaHall1-PDU-02-30-6</v>
      </c>
      <c r="K257" s="1567">
        <v>220</v>
      </c>
      <c r="L257" s="1568">
        <v>30</v>
      </c>
      <c r="M257" s="2380" t="s">
        <v>6497</v>
      </c>
      <c r="N257" s="1563">
        <v>6</v>
      </c>
      <c r="O257" s="1569">
        <v>220</v>
      </c>
      <c r="P257" s="1570">
        <v>30</v>
      </c>
      <c r="Q257" s="2410" t="s">
        <v>6493</v>
      </c>
      <c r="R257" s="1566">
        <v>6</v>
      </c>
      <c r="S257" s="3473"/>
      <c r="T257" s="3476"/>
      <c r="U257" s="3356"/>
      <c r="V257" s="3365"/>
      <c r="W257" s="3356"/>
      <c r="X257" s="3365"/>
      <c r="Y257" s="268">
        <f>SUM('5층_부하량(월간_AVG)'!N30:P30)</f>
        <v>1.5285285637310571</v>
      </c>
      <c r="Z257" s="268">
        <f>SUM('5층_부하량(월간_AVG)'!N60:P60)</f>
        <v>1.2510701107002125</v>
      </c>
      <c r="AA257" s="2459">
        <f t="shared" si="109"/>
        <v>2.7795986744312695</v>
      </c>
      <c r="AB257" s="2743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223.6</v>
      </c>
      <c r="AC257" s="2744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185.9</v>
      </c>
      <c r="AD257" s="2477">
        <f t="shared" si="111"/>
        <v>409.5</v>
      </c>
      <c r="AE257" s="2467" t="s">
        <v>3304</v>
      </c>
      <c r="AG257" s="2367">
        <f t="shared" si="90"/>
        <v>0.55040322580645162</v>
      </c>
      <c r="AH257" s="2367">
        <f t="shared" si="91"/>
        <v>1.6495967741935487</v>
      </c>
      <c r="AI257" s="123" t="str">
        <f t="shared" si="87"/>
        <v>적정함</v>
      </c>
      <c r="AJ257" t="str">
        <f t="shared" si="88"/>
        <v/>
      </c>
      <c r="AK257" t="str">
        <f t="shared" si="89"/>
        <v/>
      </c>
      <c r="AP257" s="123"/>
      <c r="AQ257" s="123"/>
      <c r="AR257" s="123"/>
      <c r="AS257" s="3084"/>
      <c r="AT257" s="123"/>
      <c r="AU257" s="123"/>
      <c r="AV257" s="3092"/>
      <c r="AW257" s="3086"/>
      <c r="AX257" s="3087"/>
      <c r="AY257" s="3088"/>
      <c r="AZ257" s="3089"/>
      <c r="BA257" s="3090"/>
      <c r="BB257" s="1"/>
    </row>
    <row r="258" spans="1:54" ht="28.8">
      <c r="A258" s="1086"/>
      <c r="B258" s="2653" t="s">
        <v>3305</v>
      </c>
      <c r="C258" s="2664" t="s">
        <v>9232</v>
      </c>
      <c r="D258" s="3044"/>
      <c r="E258" s="250" t="s">
        <v>3306</v>
      </c>
      <c r="F258" s="2712"/>
      <c r="G258" s="2665" t="s">
        <v>3307</v>
      </c>
      <c r="H258" s="2712"/>
      <c r="I258" s="1598" t="str">
        <f t="shared" si="106"/>
        <v>5-DaHall1-PDU-01-30-10</v>
      </c>
      <c r="J258" s="1664"/>
      <c r="K258" s="1665">
        <v>220</v>
      </c>
      <c r="L258" s="1666">
        <v>30</v>
      </c>
      <c r="M258" s="2380" t="s">
        <v>6497</v>
      </c>
      <c r="N258" s="1563">
        <v>10</v>
      </c>
      <c r="O258" s="1667"/>
      <c r="P258" s="1668"/>
      <c r="Q258" s="2712"/>
      <c r="R258" s="1669"/>
      <c r="S258" s="3473"/>
      <c r="T258" s="2712"/>
      <c r="U258" s="3356"/>
      <c r="V258" s="2712"/>
      <c r="W258" s="3356"/>
      <c r="X258" s="2712"/>
      <c r="Y258" s="268">
        <f>SUM('5층_부하량(월간_AVG)'!N32:P32)</f>
        <v>0</v>
      </c>
      <c r="Z258" s="832"/>
      <c r="AA258" s="2459">
        <f t="shared" si="109"/>
        <v>0</v>
      </c>
      <c r="AB258" s="2743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0</v>
      </c>
      <c r="AC258" s="2744"/>
      <c r="AD258" s="2477">
        <f t="shared" si="111"/>
        <v>0</v>
      </c>
      <c r="AE258" s="2467" t="s">
        <v>3260</v>
      </c>
      <c r="AG258" s="2367">
        <f t="shared" si="90"/>
        <v>0</v>
      </c>
      <c r="AH258" s="2367">
        <f t="shared" si="91"/>
        <v>0</v>
      </c>
      <c r="AI258" s="123" t="str">
        <f t="shared" si="87"/>
        <v>무부하 랙</v>
      </c>
      <c r="AJ258" t="str">
        <f t="shared" si="88"/>
        <v/>
      </c>
      <c r="AK258" t="str">
        <f t="shared" si="89"/>
        <v/>
      </c>
      <c r="AP258" s="123"/>
      <c r="AQ258" s="123"/>
      <c r="AR258" s="123"/>
      <c r="AS258" s="3084"/>
      <c r="AT258" s="123"/>
      <c r="AU258" s="123"/>
      <c r="AV258" s="3092"/>
      <c r="AW258" s="3086"/>
      <c r="AX258" s="3087"/>
      <c r="AY258" s="3088"/>
      <c r="AZ258" s="3089"/>
      <c r="BA258" s="3090"/>
      <c r="BB258" s="1"/>
    </row>
    <row r="259" spans="1:54" ht="29.4" thickBot="1">
      <c r="A259" s="1087"/>
      <c r="B259" s="2672" t="s">
        <v>3308</v>
      </c>
      <c r="C259" s="2688" t="s">
        <v>9232</v>
      </c>
      <c r="D259" s="3052"/>
      <c r="E259" s="839"/>
      <c r="F259" s="2661" t="s">
        <v>3309</v>
      </c>
      <c r="G259" s="880"/>
      <c r="H259" s="2676" t="s">
        <v>3310</v>
      </c>
      <c r="I259" s="1670"/>
      <c r="J259" s="1601" t="str">
        <f>"5-DaHall1-PDU-"&amp;Q259&amp;"-"&amp;P259&amp;"-"&amp;R259</f>
        <v>5-DaHall1-PDU-02-30-10</v>
      </c>
      <c r="K259" s="1671"/>
      <c r="L259" s="1672"/>
      <c r="M259" s="880"/>
      <c r="N259" s="1673"/>
      <c r="O259" s="1674">
        <v>220</v>
      </c>
      <c r="P259" s="1675">
        <v>30</v>
      </c>
      <c r="Q259" s="2411" t="s">
        <v>6493</v>
      </c>
      <c r="R259" s="1576">
        <v>10</v>
      </c>
      <c r="S259" s="880"/>
      <c r="T259" s="2676" t="s">
        <v>2829</v>
      </c>
      <c r="U259" s="880"/>
      <c r="V259" s="2637" t="s">
        <v>2831</v>
      </c>
      <c r="W259" s="880"/>
      <c r="X259" s="2650"/>
      <c r="Y259" s="840"/>
      <c r="Z259" s="330">
        <f>SUM('5층_부하량(월간_AVG)'!N62:P62)</f>
        <v>0</v>
      </c>
      <c r="AA259" s="2460">
        <f t="shared" si="109"/>
        <v>0</v>
      </c>
      <c r="AB259" s="2797"/>
      <c r="AC259" s="2798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0</v>
      </c>
      <c r="AD259" s="2478">
        <f>SUM(AB259:AC259)</f>
        <v>0</v>
      </c>
      <c r="AE259" s="2468" t="s">
        <v>3260</v>
      </c>
      <c r="AG259" s="2367">
        <f t="shared" si="90"/>
        <v>0</v>
      </c>
      <c r="AH259" s="2367">
        <f t="shared" si="91"/>
        <v>0</v>
      </c>
      <c r="AI259" s="123" t="str">
        <f t="shared" si="87"/>
        <v>무부하 랙</v>
      </c>
      <c r="AJ259" t="str">
        <f t="shared" si="88"/>
        <v/>
      </c>
      <c r="AK259" t="str">
        <f t="shared" si="89"/>
        <v/>
      </c>
      <c r="AP259" s="123"/>
      <c r="AQ259" s="123"/>
      <c r="AR259" s="123"/>
      <c r="AS259" s="3084"/>
      <c r="AT259" s="123"/>
      <c r="AU259" s="123"/>
      <c r="AV259" s="3092"/>
      <c r="AW259" s="3086"/>
      <c r="AX259" s="3087"/>
      <c r="AY259" s="3088"/>
      <c r="AZ259" s="3089"/>
      <c r="BA259" s="3090"/>
      <c r="BB259" s="1"/>
    </row>
    <row r="260" spans="1:54" ht="52.8" thickTop="1">
      <c r="A260" s="1084" t="s">
        <v>3311</v>
      </c>
      <c r="B260" s="327" t="s">
        <v>3312</v>
      </c>
      <c r="C260" s="2992" t="s">
        <v>9233</v>
      </c>
      <c r="D260" s="3028">
        <v>2.2000000000000002</v>
      </c>
      <c r="E260" s="829"/>
      <c r="F260" s="829"/>
      <c r="G260" s="874"/>
      <c r="H260" s="875"/>
      <c r="I260" s="1577"/>
      <c r="J260" s="1578"/>
      <c r="K260" s="1579"/>
      <c r="L260" s="1580"/>
      <c r="M260" s="874"/>
      <c r="N260" s="1581"/>
      <c r="O260" s="1582"/>
      <c r="P260" s="1583"/>
      <c r="Q260" s="875"/>
      <c r="R260" s="1584"/>
      <c r="S260" s="868"/>
      <c r="T260" s="869"/>
      <c r="U260" s="829"/>
      <c r="V260" s="830"/>
      <c r="W260" s="829"/>
      <c r="X260" s="830"/>
      <c r="Y260" s="835"/>
      <c r="Z260" s="835"/>
      <c r="AA260" s="2491">
        <f>SUM(Y260:Z260)</f>
        <v>0</v>
      </c>
      <c r="AB260" s="2795"/>
      <c r="AC260" s="2796"/>
      <c r="AD260" s="2479">
        <f t="shared" ref="AD260:AD291" si="112">SUM(AB260:AC260)</f>
        <v>0</v>
      </c>
      <c r="AE260" s="2469" t="s">
        <v>3313</v>
      </c>
      <c r="AG260" s="2367">
        <f t="shared" si="90"/>
        <v>0</v>
      </c>
      <c r="AH260" s="2367">
        <f t="shared" si="91"/>
        <v>2.2000000000000002</v>
      </c>
      <c r="AI260" s="123" t="str">
        <f t="shared" si="87"/>
        <v>무부하 랙</v>
      </c>
      <c r="AJ260" t="str">
        <f t="shared" si="88"/>
        <v/>
      </c>
      <c r="AK260" t="str">
        <f t="shared" si="89"/>
        <v/>
      </c>
      <c r="AP260" s="123"/>
      <c r="AQ260" s="123"/>
      <c r="AR260" s="123"/>
      <c r="AS260" s="3084"/>
      <c r="AT260" s="123"/>
      <c r="AU260" s="123"/>
      <c r="AV260" s="3092"/>
      <c r="AW260" s="3086"/>
      <c r="AX260" s="3087"/>
      <c r="AY260" s="3088"/>
      <c r="AZ260" s="3089"/>
      <c r="BA260" s="3090"/>
      <c r="BB260" s="1"/>
    </row>
    <row r="261" spans="1:54" ht="52.2">
      <c r="A261" s="2652" t="s">
        <v>3314</v>
      </c>
      <c r="B261" s="2653" t="s">
        <v>3315</v>
      </c>
      <c r="C261" s="3012" t="s">
        <v>9233</v>
      </c>
      <c r="D261" s="3027">
        <v>2.2000000000000002</v>
      </c>
      <c r="E261" s="2647" t="s">
        <v>2733</v>
      </c>
      <c r="F261" s="2647" t="s">
        <v>2733</v>
      </c>
      <c r="G261" s="2665" t="s">
        <v>3316</v>
      </c>
      <c r="H261" s="2666" t="s">
        <v>3317</v>
      </c>
      <c r="I261" s="1598" t="str">
        <f t="shared" ref="I261:I286" si="113">"5-DaHall1-PDU-"&amp;M261&amp;"-"&amp;L261&amp;"-"&amp;N261</f>
        <v>5-DaHall1-PDU-01-30-50</v>
      </c>
      <c r="J261" s="1599" t="str">
        <f t="shared" ref="J261:J293" si="114">"5-DaHall1-PDU-"&amp;Q261&amp;"-"&amp;P261&amp;"-"&amp;R261</f>
        <v>5-DaHall1-PDU-02-30-50</v>
      </c>
      <c r="K261" s="1567">
        <v>220</v>
      </c>
      <c r="L261" s="1568">
        <v>30</v>
      </c>
      <c r="M261" s="2380" t="s">
        <v>6497</v>
      </c>
      <c r="N261" s="1563">
        <v>50</v>
      </c>
      <c r="O261" s="1569">
        <v>220</v>
      </c>
      <c r="P261" s="1570">
        <v>30</v>
      </c>
      <c r="Q261" s="2410" t="s">
        <v>6493</v>
      </c>
      <c r="R261" s="1566">
        <v>50</v>
      </c>
      <c r="S261" s="3473" t="s">
        <v>2828</v>
      </c>
      <c r="T261" s="3476" t="s">
        <v>2829</v>
      </c>
      <c r="U261" s="3356" t="s">
        <v>2830</v>
      </c>
      <c r="V261" s="3336" t="s">
        <v>2831</v>
      </c>
      <c r="W261" s="3356" t="s">
        <v>2484</v>
      </c>
      <c r="X261" s="3336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59">
        <f>SUM(Y261:Z261)</f>
        <v>0</v>
      </c>
      <c r="AB261" s="2743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0</v>
      </c>
      <c r="AC261" s="2744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0</v>
      </c>
      <c r="AD261" s="2477">
        <f t="shared" si="112"/>
        <v>0</v>
      </c>
      <c r="AE261" s="2501" t="s">
        <v>3318</v>
      </c>
      <c r="AF261" t="s">
        <v>3319</v>
      </c>
      <c r="AG261" s="2367">
        <f t="shared" si="90"/>
        <v>0</v>
      </c>
      <c r="AH261" s="2367">
        <f t="shared" si="91"/>
        <v>2.2000000000000002</v>
      </c>
      <c r="AI261" s="123" t="str">
        <f t="shared" si="87"/>
        <v>무부하 랙</v>
      </c>
      <c r="AJ261" t="str">
        <f t="shared" si="88"/>
        <v/>
      </c>
      <c r="AK261" t="str">
        <f t="shared" si="89"/>
        <v/>
      </c>
      <c r="AP261" s="123"/>
      <c r="AQ261" s="123"/>
      <c r="AR261" s="123"/>
      <c r="AS261" s="3084"/>
      <c r="AT261" s="123"/>
      <c r="AU261" s="123"/>
      <c r="AV261" s="3092"/>
      <c r="AW261" s="3086"/>
      <c r="AX261" s="3087"/>
      <c r="AY261" s="3088"/>
      <c r="AZ261" s="3089"/>
      <c r="BA261" s="3090"/>
      <c r="BB261" s="1"/>
    </row>
    <row r="262" spans="1:54" ht="27" customHeight="1">
      <c r="A262" s="3325" t="s">
        <v>3320</v>
      </c>
      <c r="B262" s="3360" t="s">
        <v>3321</v>
      </c>
      <c r="C262" s="3448" t="s">
        <v>9233</v>
      </c>
      <c r="D262" s="3457">
        <v>2.2000000000000002</v>
      </c>
      <c r="E262" s="2647" t="s">
        <v>2733</v>
      </c>
      <c r="F262" s="2647" t="s">
        <v>2733</v>
      </c>
      <c r="G262" s="2665" t="s">
        <v>3322</v>
      </c>
      <c r="H262" s="2666" t="s">
        <v>3323</v>
      </c>
      <c r="I262" s="1598" t="str">
        <f t="shared" si="113"/>
        <v>5-DaHall1-PDU-01-60-2</v>
      </c>
      <c r="J262" s="1599" t="str">
        <f t="shared" si="114"/>
        <v>5-DaHall1-PDU-02-60-2</v>
      </c>
      <c r="K262" s="1676">
        <v>380</v>
      </c>
      <c r="L262" s="1568">
        <v>60</v>
      </c>
      <c r="M262" s="2380" t="s">
        <v>6497</v>
      </c>
      <c r="N262" s="1563">
        <v>2</v>
      </c>
      <c r="O262" s="1677">
        <v>380</v>
      </c>
      <c r="P262" s="1570">
        <v>60</v>
      </c>
      <c r="Q262" s="2410" t="s">
        <v>6493</v>
      </c>
      <c r="R262" s="1566">
        <v>2</v>
      </c>
      <c r="S262" s="3473"/>
      <c r="T262" s="3476"/>
      <c r="U262" s="3356"/>
      <c r="V262" s="3336"/>
      <c r="W262" s="3356"/>
      <c r="X262" s="3336"/>
      <c r="Y262" s="268">
        <f>SUM('5층_부하량(월간_AVG)'!N27:P27)</f>
        <v>1.3250945740612428</v>
      </c>
      <c r="Z262" s="268">
        <f>SUM('5층_부하량(월간_AVG)'!N57:P57)</f>
        <v>1.3978875029642102</v>
      </c>
      <c r="AA262" s="3506">
        <f>SUM(Y262:Z263)</f>
        <v>5.5640071803353202</v>
      </c>
      <c r="AB262" s="2737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2" s="2799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2" s="2482">
        <f t="shared" si="112"/>
        <v>67.699999999999989</v>
      </c>
      <c r="AE262" s="2501" t="s">
        <v>3324</v>
      </c>
      <c r="AG262" s="2367">
        <f t="shared" si="90"/>
        <v>9.0994623655913959E-2</v>
      </c>
      <c r="AH262" s="2367">
        <f t="shared" si="91"/>
        <v>2.1090053763440864</v>
      </c>
      <c r="AI262" s="123" t="str">
        <f t="shared" ref="AI262:AI316" si="115">IF(SIGN(AH262)&gt;=0,IF(AD262=0,"무부하 랙","적정함"),"사용초과")</f>
        <v>적정함</v>
      </c>
      <c r="AJ262" t="str">
        <f t="shared" ref="AJ262:AJ316" si="116">IF(AI262="사용초과",C262,"")</f>
        <v/>
      </c>
      <c r="AK262" t="str">
        <f t="shared" ref="AK262:AK316" si="117">IF(AJ262="","",A262)</f>
        <v/>
      </c>
      <c r="AP262" s="123"/>
      <c r="AQ262" s="123"/>
      <c r="AR262" s="123"/>
      <c r="AS262" s="3084"/>
      <c r="AT262" s="123"/>
      <c r="AU262" s="123"/>
      <c r="AV262" s="3092"/>
      <c r="AW262" s="3086"/>
      <c r="AX262" s="3087"/>
      <c r="AY262" s="3088"/>
      <c r="AZ262" s="3089"/>
      <c r="BA262" s="3090"/>
      <c r="BB262" s="1"/>
    </row>
    <row r="263" spans="1:54" ht="27.75" customHeight="1" thickBot="1">
      <c r="A263" s="3326"/>
      <c r="B263" s="3447"/>
      <c r="C263" s="3449"/>
      <c r="D263" s="3458"/>
      <c r="E263" s="2649" t="s">
        <v>2733</v>
      </c>
      <c r="F263" s="2649" t="s">
        <v>2733</v>
      </c>
      <c r="G263" s="2675" t="s">
        <v>3325</v>
      </c>
      <c r="H263" s="2676" t="s">
        <v>3326</v>
      </c>
      <c r="I263" s="1600" t="str">
        <f t="shared" si="113"/>
        <v>5-DaHall1-PDU-01-30-48</v>
      </c>
      <c r="J263" s="1601" t="str">
        <f t="shared" si="114"/>
        <v>5-DaHall1-PDU-02-30-48</v>
      </c>
      <c r="K263" s="1654">
        <v>220</v>
      </c>
      <c r="L263" s="1655">
        <v>30</v>
      </c>
      <c r="M263" s="2381" t="s">
        <v>6497</v>
      </c>
      <c r="N263" s="1573">
        <v>48</v>
      </c>
      <c r="O263" s="1656">
        <v>220</v>
      </c>
      <c r="P263" s="1657">
        <v>30</v>
      </c>
      <c r="Q263" s="2411" t="s">
        <v>6493</v>
      </c>
      <c r="R263" s="1576">
        <v>48</v>
      </c>
      <c r="S263" s="3474"/>
      <c r="T263" s="3477"/>
      <c r="U263" s="3357"/>
      <c r="V263" s="3358"/>
      <c r="W263" s="3357"/>
      <c r="X263" s="3358"/>
      <c r="Y263" s="330">
        <f>SUM('5층_부하량(월간_AVG)'!N51:P51)</f>
        <v>1.7359622786536317</v>
      </c>
      <c r="Z263" s="330">
        <f>SUM('5층_부하량(월간_AVG)'!N81:P81)</f>
        <v>1.1050628246562362</v>
      </c>
      <c r="AA263" s="3514"/>
      <c r="AB263" s="2800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278.60000000000002</v>
      </c>
      <c r="AC263" s="2801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3" s="2486">
        <f t="shared" si="112"/>
        <v>458.3</v>
      </c>
      <c r="AE263" s="2502" t="s">
        <v>3327</v>
      </c>
      <c r="AF263" t="s">
        <v>3328</v>
      </c>
      <c r="AG263" s="2367">
        <f t="shared" ref="AG263:AG316" si="118">AD263/(24*31)</f>
        <v>0.61599462365591395</v>
      </c>
      <c r="AH263" s="2367">
        <f t="shared" ref="AH263:AH316" si="119">D263-AG263</f>
        <v>-0.61599462365591395</v>
      </c>
      <c r="AI263" s="123" t="str">
        <f t="shared" si="115"/>
        <v>사용초과</v>
      </c>
      <c r="AJ263">
        <f t="shared" si="116"/>
        <v>0</v>
      </c>
      <c r="AK263">
        <f t="shared" si="117"/>
        <v>0</v>
      </c>
      <c r="AP263" s="123"/>
      <c r="AQ263" s="123"/>
      <c r="AR263" s="123"/>
      <c r="AS263" s="3084"/>
      <c r="AT263" s="123"/>
      <c r="AU263" s="123"/>
      <c r="AV263" s="3092"/>
      <c r="AW263" s="3086"/>
      <c r="AX263" s="3087"/>
      <c r="AY263" s="3088"/>
      <c r="AZ263" s="3089"/>
      <c r="BA263" s="3090"/>
      <c r="BB263" s="1"/>
    </row>
    <row r="264" spans="1:54" ht="29.4" thickTop="1">
      <c r="A264" s="1084"/>
      <c r="B264" s="828" t="s">
        <v>3210</v>
      </c>
      <c r="C264" s="974"/>
      <c r="D264" s="974"/>
      <c r="E264" s="828" t="s">
        <v>3329</v>
      </c>
      <c r="F264" s="828" t="s">
        <v>3330</v>
      </c>
      <c r="G264" s="874" t="s">
        <v>3331</v>
      </c>
      <c r="H264" s="875" t="s">
        <v>3332</v>
      </c>
      <c r="I264" s="1610" t="str">
        <f t="shared" si="113"/>
        <v>5-DaHall1-PDU-03-30-21</v>
      </c>
      <c r="J264" s="1611" t="str">
        <f t="shared" si="114"/>
        <v>5-DaHall1-PDU-04-30-21</v>
      </c>
      <c r="K264" s="1650">
        <v>220</v>
      </c>
      <c r="L264" s="1651">
        <v>30</v>
      </c>
      <c r="M264" s="2379" t="s">
        <v>6499</v>
      </c>
      <c r="N264" s="1557">
        <v>21</v>
      </c>
      <c r="O264" s="1652">
        <v>220</v>
      </c>
      <c r="P264" s="1653">
        <v>30</v>
      </c>
      <c r="Q264" s="2409" t="s">
        <v>6495</v>
      </c>
      <c r="R264" s="1560">
        <v>21</v>
      </c>
      <c r="S264" s="3604" t="s">
        <v>2868</v>
      </c>
      <c r="T264" s="3607" t="s">
        <v>2869</v>
      </c>
      <c r="U264" s="3608" t="s">
        <v>2870</v>
      </c>
      <c r="V264" s="3609" t="s">
        <v>2871</v>
      </c>
      <c r="W264" s="3608" t="s">
        <v>2484</v>
      </c>
      <c r="X264" s="3609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55">
        <f t="shared" ref="AA264:AA288" si="120">SUM(Y264:Z264)</f>
        <v>0</v>
      </c>
      <c r="AB264" s="2741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0</v>
      </c>
      <c r="AC264" s="2742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0</v>
      </c>
      <c r="AD264" s="2481">
        <f t="shared" si="112"/>
        <v>0</v>
      </c>
      <c r="AE264" s="2532" t="s">
        <v>3028</v>
      </c>
      <c r="AG264" s="2367">
        <f t="shared" si="118"/>
        <v>0</v>
      </c>
      <c r="AH264" s="2367">
        <f t="shared" si="119"/>
        <v>0</v>
      </c>
      <c r="AI264" s="123" t="str">
        <f t="shared" si="115"/>
        <v>무부하 랙</v>
      </c>
      <c r="AJ264" t="str">
        <f t="shared" si="116"/>
        <v/>
      </c>
      <c r="AK264" t="str">
        <f t="shared" si="117"/>
        <v/>
      </c>
      <c r="AP264" s="123"/>
      <c r="AQ264" s="123"/>
      <c r="AR264" s="123"/>
      <c r="AS264" s="3084"/>
      <c r="AT264" s="123"/>
      <c r="AU264" s="123"/>
      <c r="AV264" s="3092"/>
      <c r="AW264" s="3086"/>
      <c r="AX264" s="3087"/>
      <c r="AY264" s="3088"/>
      <c r="AZ264" s="3089"/>
      <c r="BA264" s="3090"/>
      <c r="BB264" s="1"/>
    </row>
    <row r="265" spans="1:54" ht="28.8">
      <c r="A265" s="2652"/>
      <c r="B265" s="2712" t="s">
        <v>3333</v>
      </c>
      <c r="C265" s="886"/>
      <c r="D265" s="886"/>
      <c r="E265" s="2712" t="s">
        <v>3334</v>
      </c>
      <c r="F265" s="2712" t="s">
        <v>3335</v>
      </c>
      <c r="G265" s="2710" t="s">
        <v>3336</v>
      </c>
      <c r="H265" s="2706" t="s">
        <v>3337</v>
      </c>
      <c r="I265" s="1598" t="str">
        <f t="shared" si="113"/>
        <v>5-DaHall1-PDU-03-30-23</v>
      </c>
      <c r="J265" s="1599" t="str">
        <f t="shared" si="114"/>
        <v>5-DaHall1-PDU-04-30-23</v>
      </c>
      <c r="K265" s="1567">
        <v>220</v>
      </c>
      <c r="L265" s="1568">
        <v>30</v>
      </c>
      <c r="M265" s="2380" t="s">
        <v>6499</v>
      </c>
      <c r="N265" s="1563">
        <v>23</v>
      </c>
      <c r="O265" s="1569">
        <v>220</v>
      </c>
      <c r="P265" s="1570">
        <v>30</v>
      </c>
      <c r="Q265" s="2410" t="s">
        <v>6495</v>
      </c>
      <c r="R265" s="1566">
        <v>23</v>
      </c>
      <c r="S265" s="3605"/>
      <c r="T265" s="3596"/>
      <c r="U265" s="3599"/>
      <c r="V265" s="3602"/>
      <c r="W265" s="3599"/>
      <c r="X265" s="3602"/>
      <c r="Y265" s="834">
        <f>SUM('5층_부하량(월간_AVG)'!D99:F99)</f>
        <v>0</v>
      </c>
      <c r="Z265" s="834">
        <f>SUM('5층_부하량(월간_AVG)'!D129:F129)</f>
        <v>0</v>
      </c>
      <c r="AA265" s="2457">
        <f t="shared" si="120"/>
        <v>0</v>
      </c>
      <c r="AB265" s="2745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0</v>
      </c>
      <c r="AC265" s="2746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0</v>
      </c>
      <c r="AD265" s="2484">
        <f t="shared" si="112"/>
        <v>0</v>
      </c>
      <c r="AE265" s="2526"/>
      <c r="AG265" s="2367">
        <f t="shared" si="118"/>
        <v>0</v>
      </c>
      <c r="AH265" s="2367">
        <f t="shared" si="119"/>
        <v>0</v>
      </c>
      <c r="AI265" s="123" t="str">
        <f t="shared" si="115"/>
        <v>무부하 랙</v>
      </c>
      <c r="AJ265" t="str">
        <f t="shared" si="116"/>
        <v/>
      </c>
      <c r="AK265" t="str">
        <f t="shared" si="117"/>
        <v/>
      </c>
      <c r="AP265" s="123"/>
      <c r="AQ265" s="123"/>
      <c r="AR265" s="123"/>
      <c r="AS265" s="3084"/>
      <c r="AT265" s="123"/>
      <c r="AU265" s="123"/>
      <c r="AV265" s="3092"/>
      <c r="AW265" s="3086"/>
      <c r="AX265" s="3087"/>
      <c r="AY265" s="3088"/>
      <c r="AZ265" s="3089"/>
      <c r="BA265" s="3090"/>
      <c r="BB265" s="1"/>
    </row>
    <row r="266" spans="1:54" ht="28.8">
      <c r="A266" s="2652"/>
      <c r="B266" s="2712" t="s">
        <v>3338</v>
      </c>
      <c r="C266" s="886"/>
      <c r="D266" s="886"/>
      <c r="E266" s="2712" t="s">
        <v>3339</v>
      </c>
      <c r="F266" s="2712" t="s">
        <v>3340</v>
      </c>
      <c r="G266" s="2710" t="s">
        <v>3341</v>
      </c>
      <c r="H266" s="2706" t="s">
        <v>3342</v>
      </c>
      <c r="I266" s="1598" t="str">
        <f t="shared" si="113"/>
        <v>5-DaHall1-PDU-03-30-25</v>
      </c>
      <c r="J266" s="1599" t="str">
        <f t="shared" si="114"/>
        <v>5-DaHall1-PDU-04-30-25</v>
      </c>
      <c r="K266" s="1567">
        <v>220</v>
      </c>
      <c r="L266" s="1568">
        <v>30</v>
      </c>
      <c r="M266" s="2380" t="s">
        <v>6499</v>
      </c>
      <c r="N266" s="1563">
        <v>25</v>
      </c>
      <c r="O266" s="1569">
        <v>220</v>
      </c>
      <c r="P266" s="1570">
        <v>30</v>
      </c>
      <c r="Q266" s="2410" t="s">
        <v>6495</v>
      </c>
      <c r="R266" s="1566">
        <v>25</v>
      </c>
      <c r="S266" s="3605"/>
      <c r="T266" s="3596"/>
      <c r="U266" s="3599"/>
      <c r="V266" s="3602"/>
      <c r="W266" s="3599"/>
      <c r="X266" s="3602"/>
      <c r="Y266" s="834">
        <f>SUM('5층_부하량(월간_AVG)'!D100:F100)</f>
        <v>0</v>
      </c>
      <c r="Z266" s="834">
        <f>SUM('5층_부하량(월간_AVG)'!D130:F130)</f>
        <v>0</v>
      </c>
      <c r="AA266" s="2457">
        <f t="shared" si="120"/>
        <v>0</v>
      </c>
      <c r="AB266" s="2745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0</v>
      </c>
      <c r="AC266" s="2746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0</v>
      </c>
      <c r="AD266" s="2484">
        <f t="shared" si="112"/>
        <v>0</v>
      </c>
      <c r="AE266" s="2526"/>
      <c r="AG266" s="2367">
        <f t="shared" si="118"/>
        <v>0</v>
      </c>
      <c r="AH266" s="2367">
        <f t="shared" si="119"/>
        <v>0</v>
      </c>
      <c r="AI266" s="123" t="str">
        <f t="shared" si="115"/>
        <v>무부하 랙</v>
      </c>
      <c r="AJ266" t="str">
        <f t="shared" si="116"/>
        <v/>
      </c>
      <c r="AK266" t="str">
        <f t="shared" si="117"/>
        <v/>
      </c>
      <c r="AP266" s="123"/>
      <c r="AQ266" s="123"/>
      <c r="AR266" s="123"/>
      <c r="AS266" s="3084"/>
      <c r="AT266" s="123"/>
      <c r="AU266" s="123"/>
      <c r="AV266" s="3092"/>
      <c r="AW266" s="3086"/>
      <c r="AX266" s="3087"/>
      <c r="AY266" s="3088"/>
      <c r="AZ266" s="3089"/>
      <c r="BA266" s="3090"/>
      <c r="BB266" s="1"/>
    </row>
    <row r="267" spans="1:54" ht="28.8">
      <c r="A267" s="2652"/>
      <c r="B267" s="2712" t="s">
        <v>3343</v>
      </c>
      <c r="C267" s="886"/>
      <c r="D267" s="886"/>
      <c r="E267" s="2712" t="s">
        <v>3344</v>
      </c>
      <c r="F267" s="2712" t="s">
        <v>3345</v>
      </c>
      <c r="G267" s="2710" t="s">
        <v>3346</v>
      </c>
      <c r="H267" s="2706" t="s">
        <v>3347</v>
      </c>
      <c r="I267" s="1598" t="str">
        <f t="shared" si="113"/>
        <v>5-DaHall1-PDU-03-30-27</v>
      </c>
      <c r="J267" s="1599" t="str">
        <f t="shared" si="114"/>
        <v>5-DaHall1-PDU-04-30-27</v>
      </c>
      <c r="K267" s="1567">
        <v>220</v>
      </c>
      <c r="L267" s="1568">
        <v>30</v>
      </c>
      <c r="M267" s="2380" t="s">
        <v>6499</v>
      </c>
      <c r="N267" s="1563">
        <v>27</v>
      </c>
      <c r="O267" s="1569">
        <v>220</v>
      </c>
      <c r="P267" s="1570">
        <v>30</v>
      </c>
      <c r="Q267" s="2410" t="s">
        <v>6495</v>
      </c>
      <c r="R267" s="1566">
        <v>27</v>
      </c>
      <c r="S267" s="3605"/>
      <c r="T267" s="3596"/>
      <c r="U267" s="3599"/>
      <c r="V267" s="3602"/>
      <c r="W267" s="3599"/>
      <c r="X267" s="3602"/>
      <c r="Y267" s="834">
        <f>SUM('5층_부하량(월간_AVG)'!D101:F101)</f>
        <v>0</v>
      </c>
      <c r="Z267" s="834">
        <f>SUM('5층_부하량(월간_AVG)'!D131:F131)</f>
        <v>0</v>
      </c>
      <c r="AA267" s="2457">
        <f t="shared" si="120"/>
        <v>0</v>
      </c>
      <c r="AB267" s="2745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0</v>
      </c>
      <c r="AC267" s="2746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0</v>
      </c>
      <c r="AD267" s="2484">
        <f t="shared" si="112"/>
        <v>0</v>
      </c>
      <c r="AE267" s="2526"/>
      <c r="AG267" s="2367">
        <f t="shared" si="118"/>
        <v>0</v>
      </c>
      <c r="AH267" s="2367">
        <f t="shared" si="119"/>
        <v>0</v>
      </c>
      <c r="AI267" s="123" t="str">
        <f t="shared" si="115"/>
        <v>무부하 랙</v>
      </c>
      <c r="AJ267" t="str">
        <f t="shared" si="116"/>
        <v/>
      </c>
      <c r="AK267" t="str">
        <f t="shared" si="117"/>
        <v/>
      </c>
      <c r="AP267" s="123"/>
      <c r="AQ267" s="123"/>
      <c r="AR267" s="123"/>
      <c r="AS267" s="3084"/>
      <c r="AT267" s="123"/>
      <c r="AU267" s="123"/>
      <c r="AV267" s="3092"/>
      <c r="AW267" s="3086"/>
      <c r="AX267" s="3087"/>
      <c r="AY267" s="3088"/>
      <c r="AZ267" s="3089"/>
      <c r="BA267" s="3090"/>
      <c r="BB267" s="1"/>
    </row>
    <row r="268" spans="1:54" ht="28.8">
      <c r="A268" s="2652"/>
      <c r="B268" s="2712" t="s">
        <v>3348</v>
      </c>
      <c r="C268" s="886"/>
      <c r="D268" s="886"/>
      <c r="E268" s="2712" t="s">
        <v>3349</v>
      </c>
      <c r="F268" s="2712" t="s">
        <v>3350</v>
      </c>
      <c r="G268" s="2710" t="s">
        <v>3351</v>
      </c>
      <c r="H268" s="2706" t="s">
        <v>3352</v>
      </c>
      <c r="I268" s="1598" t="str">
        <f t="shared" si="113"/>
        <v>5-DaHall1-PDU-03-30-29</v>
      </c>
      <c r="J268" s="1599" t="str">
        <f t="shared" si="114"/>
        <v>5-DaHall1-PDU-04-30-29</v>
      </c>
      <c r="K268" s="1567">
        <v>220</v>
      </c>
      <c r="L268" s="1568">
        <v>30</v>
      </c>
      <c r="M268" s="2380" t="s">
        <v>6499</v>
      </c>
      <c r="N268" s="1563">
        <v>29</v>
      </c>
      <c r="O268" s="1569">
        <v>220</v>
      </c>
      <c r="P268" s="1570">
        <v>30</v>
      </c>
      <c r="Q268" s="2410" t="s">
        <v>6495</v>
      </c>
      <c r="R268" s="1566">
        <v>29</v>
      </c>
      <c r="S268" s="3605"/>
      <c r="T268" s="3596"/>
      <c r="U268" s="3599"/>
      <c r="V268" s="3602"/>
      <c r="W268" s="3599"/>
      <c r="X268" s="3602"/>
      <c r="Y268" s="834">
        <f>SUM('5층_부하량(월간_AVG)'!D102:F102)</f>
        <v>0</v>
      </c>
      <c r="Z268" s="834">
        <f>SUM('5층_부하량(월간_AVG)'!D132:F132)</f>
        <v>0</v>
      </c>
      <c r="AA268" s="2457">
        <f t="shared" si="120"/>
        <v>0</v>
      </c>
      <c r="AB268" s="2745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0</v>
      </c>
      <c r="AC268" s="2746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0</v>
      </c>
      <c r="AD268" s="2484">
        <f t="shared" si="112"/>
        <v>0</v>
      </c>
      <c r="AE268" s="2526"/>
      <c r="AG268" s="2367">
        <f t="shared" si="118"/>
        <v>0</v>
      </c>
      <c r="AH268" s="2367">
        <f t="shared" si="119"/>
        <v>0</v>
      </c>
      <c r="AI268" s="123" t="str">
        <f t="shared" si="115"/>
        <v>무부하 랙</v>
      </c>
      <c r="AJ268" t="str">
        <f t="shared" si="116"/>
        <v/>
      </c>
      <c r="AK268" t="str">
        <f t="shared" si="117"/>
        <v/>
      </c>
      <c r="AP268" s="123"/>
      <c r="AQ268" s="123"/>
      <c r="AR268" s="123"/>
      <c r="AS268" s="3084"/>
      <c r="AT268" s="123"/>
      <c r="AU268" s="123"/>
      <c r="AV268" s="3092"/>
      <c r="AW268" s="3086"/>
      <c r="AX268" s="3087"/>
      <c r="AY268" s="3088"/>
      <c r="AZ268" s="3089"/>
      <c r="BA268" s="3090"/>
      <c r="BB268" s="1"/>
    </row>
    <row r="269" spans="1:54" ht="28.8">
      <c r="A269" s="2652"/>
      <c r="B269" s="2712" t="s">
        <v>3353</v>
      </c>
      <c r="C269" s="886"/>
      <c r="D269" s="886"/>
      <c r="E269" s="2712" t="s">
        <v>3354</v>
      </c>
      <c r="F269" s="2712" t="s">
        <v>3355</v>
      </c>
      <c r="G269" s="2710" t="s">
        <v>3356</v>
      </c>
      <c r="H269" s="2706" t="s">
        <v>3357</v>
      </c>
      <c r="I269" s="1598" t="str">
        <f t="shared" si="113"/>
        <v>5-DaHall1-PDU-03-30-31</v>
      </c>
      <c r="J269" s="1599" t="str">
        <f t="shared" si="114"/>
        <v>5-DaHall1-PDU-04-30-31</v>
      </c>
      <c r="K269" s="1567">
        <v>220</v>
      </c>
      <c r="L269" s="1568">
        <v>30</v>
      </c>
      <c r="M269" s="2380" t="s">
        <v>6499</v>
      </c>
      <c r="N269" s="1563">
        <v>31</v>
      </c>
      <c r="O269" s="1569">
        <v>220</v>
      </c>
      <c r="P269" s="1570">
        <v>30</v>
      </c>
      <c r="Q269" s="2410" t="s">
        <v>6495</v>
      </c>
      <c r="R269" s="1566">
        <v>31</v>
      </c>
      <c r="S269" s="3605"/>
      <c r="T269" s="3596"/>
      <c r="U269" s="3599"/>
      <c r="V269" s="3602"/>
      <c r="W269" s="3599"/>
      <c r="X269" s="3602"/>
      <c r="Y269" s="834">
        <f>SUM('5층_부하량(월간_AVG)'!D103:F103)</f>
        <v>0</v>
      </c>
      <c r="Z269" s="834">
        <f>SUM('5층_부하량(월간_AVG)'!D133:F133)</f>
        <v>0</v>
      </c>
      <c r="AA269" s="2457">
        <f t="shared" si="120"/>
        <v>0</v>
      </c>
      <c r="AB269" s="2745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0</v>
      </c>
      <c r="AC269" s="2746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0</v>
      </c>
      <c r="AD269" s="2484">
        <f t="shared" si="112"/>
        <v>0</v>
      </c>
      <c r="AE269" s="2526"/>
      <c r="AG269" s="2367">
        <f t="shared" si="118"/>
        <v>0</v>
      </c>
      <c r="AH269" s="2367">
        <f t="shared" si="119"/>
        <v>0</v>
      </c>
      <c r="AI269" s="123" t="str">
        <f t="shared" si="115"/>
        <v>무부하 랙</v>
      </c>
      <c r="AJ269" t="str">
        <f t="shared" si="116"/>
        <v/>
      </c>
      <c r="AK269" t="str">
        <f t="shared" si="117"/>
        <v/>
      </c>
      <c r="AP269" s="123"/>
      <c r="AQ269" s="123"/>
      <c r="AR269" s="123"/>
      <c r="AS269" s="3084"/>
      <c r="AT269" s="123"/>
      <c r="AU269" s="123"/>
      <c r="AV269" s="3092"/>
      <c r="AW269" s="3086"/>
      <c r="AX269" s="3087"/>
      <c r="AY269" s="3088"/>
      <c r="AZ269" s="3089"/>
      <c r="BA269" s="3090"/>
      <c r="BB269" s="1"/>
    </row>
    <row r="270" spans="1:54" ht="28.8">
      <c r="A270" s="2652"/>
      <c r="B270" s="2712" t="s">
        <v>3358</v>
      </c>
      <c r="C270" s="886"/>
      <c r="D270" s="886"/>
      <c r="E270" s="2712" t="s">
        <v>3359</v>
      </c>
      <c r="F270" s="2712" t="s">
        <v>3360</v>
      </c>
      <c r="G270" s="2710" t="s">
        <v>3361</v>
      </c>
      <c r="H270" s="2706" t="s">
        <v>3362</v>
      </c>
      <c r="I270" s="1598" t="str">
        <f t="shared" si="113"/>
        <v>5-DaHall1-PDU-03-30-33</v>
      </c>
      <c r="J270" s="1599" t="str">
        <f t="shared" si="114"/>
        <v>5-DaHall1-PDU-04-30-33</v>
      </c>
      <c r="K270" s="1561">
        <v>220</v>
      </c>
      <c r="L270" s="1562">
        <v>30</v>
      </c>
      <c r="M270" s="2380" t="s">
        <v>6499</v>
      </c>
      <c r="N270" s="1563">
        <v>33</v>
      </c>
      <c r="O270" s="1564">
        <v>220</v>
      </c>
      <c r="P270" s="1565">
        <v>30</v>
      </c>
      <c r="Q270" s="2410" t="s">
        <v>6495</v>
      </c>
      <c r="R270" s="1566">
        <v>33</v>
      </c>
      <c r="S270" s="3605"/>
      <c r="T270" s="3596"/>
      <c r="U270" s="3599"/>
      <c r="V270" s="3602"/>
      <c r="W270" s="3599"/>
      <c r="X270" s="3602"/>
      <c r="Y270" s="834">
        <f>SUM('5층_부하량(월간_AVG)'!D104:F104)</f>
        <v>0</v>
      </c>
      <c r="Z270" s="834">
        <f>SUM('5층_부하량(월간_AVG)'!D134:F134)</f>
        <v>0</v>
      </c>
      <c r="AA270" s="2457">
        <f t="shared" si="120"/>
        <v>0</v>
      </c>
      <c r="AB270" s="2745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0</v>
      </c>
      <c r="AC270" s="2746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0</v>
      </c>
      <c r="AD270" s="2484">
        <f t="shared" si="112"/>
        <v>0</v>
      </c>
      <c r="AE270" s="2526"/>
      <c r="AG270" s="2367">
        <f t="shared" si="118"/>
        <v>0</v>
      </c>
      <c r="AH270" s="2367">
        <f t="shared" si="119"/>
        <v>0</v>
      </c>
      <c r="AI270" s="123" t="str">
        <f t="shared" si="115"/>
        <v>무부하 랙</v>
      </c>
      <c r="AJ270" t="str">
        <f t="shared" si="116"/>
        <v/>
      </c>
      <c r="AK270" t="str">
        <f t="shared" si="117"/>
        <v/>
      </c>
      <c r="AP270" s="123"/>
      <c r="AQ270" s="123"/>
      <c r="AR270" s="123"/>
      <c r="AS270" s="3084"/>
      <c r="AT270" s="123"/>
      <c r="AU270" s="123"/>
      <c r="AV270" s="3092"/>
      <c r="AW270" s="3086"/>
      <c r="AX270" s="3087"/>
      <c r="AY270" s="3088"/>
      <c r="AZ270" s="3089"/>
      <c r="BA270" s="3090"/>
      <c r="BB270" s="1"/>
    </row>
    <row r="271" spans="1:54" ht="28.8">
      <c r="A271" s="2652"/>
      <c r="B271" s="2712" t="s">
        <v>3363</v>
      </c>
      <c r="C271" s="886"/>
      <c r="D271" s="886"/>
      <c r="E271" s="2712" t="s">
        <v>3364</v>
      </c>
      <c r="F271" s="2712" t="s">
        <v>3365</v>
      </c>
      <c r="G271" s="2710" t="s">
        <v>3366</v>
      </c>
      <c r="H271" s="2706" t="s">
        <v>3367</v>
      </c>
      <c r="I271" s="1598" t="str">
        <f t="shared" si="113"/>
        <v>5-DaHall1-PDU-03-30-1</v>
      </c>
      <c r="J271" s="1599" t="str">
        <f t="shared" si="114"/>
        <v>5-DaHall1-PDU-04-30-1</v>
      </c>
      <c r="K271" s="1561">
        <v>220</v>
      </c>
      <c r="L271" s="1562">
        <v>30</v>
      </c>
      <c r="M271" s="2380" t="s">
        <v>6499</v>
      </c>
      <c r="N271" s="1563">
        <v>1</v>
      </c>
      <c r="O271" s="1564">
        <v>220</v>
      </c>
      <c r="P271" s="1565">
        <v>30</v>
      </c>
      <c r="Q271" s="2410" t="s">
        <v>6495</v>
      </c>
      <c r="R271" s="1566">
        <v>1</v>
      </c>
      <c r="S271" s="3605"/>
      <c r="T271" s="3596"/>
      <c r="U271" s="3599"/>
      <c r="V271" s="3602"/>
      <c r="W271" s="3599"/>
      <c r="X271" s="3602"/>
      <c r="Y271" s="994">
        <f>SUM('5층_부하량(월간_AVG)'!D88:F88)</f>
        <v>0</v>
      </c>
      <c r="Z271" s="994">
        <f>SUM('5층_부하량(월간_AVG)'!D118:F118)</f>
        <v>0</v>
      </c>
      <c r="AA271" s="2461">
        <f t="shared" si="120"/>
        <v>0</v>
      </c>
      <c r="AB271" s="2802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0</v>
      </c>
      <c r="AC271" s="2803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0</v>
      </c>
      <c r="AD271" s="2484">
        <f t="shared" si="112"/>
        <v>0</v>
      </c>
      <c r="AE271" s="2533"/>
      <c r="AG271" s="2367">
        <f t="shared" si="118"/>
        <v>0</v>
      </c>
      <c r="AH271" s="2367">
        <f t="shared" si="119"/>
        <v>0</v>
      </c>
      <c r="AI271" s="123" t="str">
        <f t="shared" si="115"/>
        <v>무부하 랙</v>
      </c>
      <c r="AJ271" t="str">
        <f t="shared" si="116"/>
        <v/>
      </c>
      <c r="AK271" t="str">
        <f t="shared" si="117"/>
        <v/>
      </c>
      <c r="AP271" s="123"/>
      <c r="AQ271" s="123"/>
      <c r="AR271" s="123"/>
      <c r="AS271" s="3084"/>
      <c r="AT271" s="123"/>
      <c r="AU271" s="123"/>
      <c r="AV271" s="3092"/>
      <c r="AW271" s="3086"/>
      <c r="AX271" s="3087"/>
      <c r="AY271" s="3088"/>
      <c r="AZ271" s="3089"/>
      <c r="BA271" s="3090"/>
      <c r="BB271" s="1"/>
    </row>
    <row r="272" spans="1:54" ht="28.8">
      <c r="A272" s="2652"/>
      <c r="B272" s="2712" t="s">
        <v>3368</v>
      </c>
      <c r="C272" s="886"/>
      <c r="D272" s="886"/>
      <c r="E272" s="2712" t="s">
        <v>3369</v>
      </c>
      <c r="F272" s="2712" t="s">
        <v>3370</v>
      </c>
      <c r="G272" s="2710" t="s">
        <v>3371</v>
      </c>
      <c r="H272" s="2706" t="s">
        <v>3372</v>
      </c>
      <c r="I272" s="1598" t="str">
        <f t="shared" si="113"/>
        <v>5-DaHall1-PDU-03-30-3</v>
      </c>
      <c r="J272" s="1599" t="str">
        <f t="shared" si="114"/>
        <v>5-DaHall1-PDU-04-30-3</v>
      </c>
      <c r="K272" s="1561">
        <v>220</v>
      </c>
      <c r="L272" s="1562">
        <v>30</v>
      </c>
      <c r="M272" s="2380" t="s">
        <v>6499</v>
      </c>
      <c r="N272" s="1563">
        <v>3</v>
      </c>
      <c r="O272" s="1564">
        <v>220</v>
      </c>
      <c r="P272" s="1565">
        <v>30</v>
      </c>
      <c r="Q272" s="2410" t="s">
        <v>6495</v>
      </c>
      <c r="R272" s="1566">
        <v>3</v>
      </c>
      <c r="S272" s="3606"/>
      <c r="T272" s="3597"/>
      <c r="U272" s="3600"/>
      <c r="V272" s="3603"/>
      <c r="W272" s="3600"/>
      <c r="X272" s="3603"/>
      <c r="Y272" s="834">
        <f>SUM('5층_부하량(월간_AVG)'!D89:F89)</f>
        <v>0</v>
      </c>
      <c r="Z272" s="834">
        <f>SUM('5층_부하량(월간_AVG)'!D119:F119)</f>
        <v>0</v>
      </c>
      <c r="AA272" s="2457">
        <f t="shared" si="120"/>
        <v>0</v>
      </c>
      <c r="AB272" s="2745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0</v>
      </c>
      <c r="AC272" s="2746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0</v>
      </c>
      <c r="AD272" s="2484">
        <f t="shared" si="112"/>
        <v>0</v>
      </c>
      <c r="AE272" s="2526"/>
      <c r="AG272" s="2367">
        <f t="shared" si="118"/>
        <v>0</v>
      </c>
      <c r="AH272" s="2367">
        <f t="shared" si="119"/>
        <v>0</v>
      </c>
      <c r="AI272" s="123" t="str">
        <f t="shared" si="115"/>
        <v>무부하 랙</v>
      </c>
      <c r="AJ272" t="str">
        <f t="shared" si="116"/>
        <v/>
      </c>
      <c r="AK272" t="str">
        <f t="shared" si="117"/>
        <v/>
      </c>
      <c r="AP272" s="123"/>
      <c r="AQ272" s="123"/>
      <c r="AR272" s="123"/>
      <c r="AS272" s="3084"/>
      <c r="AT272" s="123"/>
      <c r="AU272" s="123"/>
      <c r="AV272" s="3092"/>
      <c r="AW272" s="3086"/>
      <c r="AX272" s="3087"/>
      <c r="AY272" s="3088"/>
      <c r="AZ272" s="3089"/>
      <c r="BA272" s="3090"/>
      <c r="BB272" s="1"/>
    </row>
    <row r="273" spans="1:54" ht="28.8">
      <c r="A273" s="2652"/>
      <c r="B273" s="2712" t="s">
        <v>3210</v>
      </c>
      <c r="C273" s="886"/>
      <c r="D273" s="886"/>
      <c r="E273" s="2712" t="s">
        <v>3373</v>
      </c>
      <c r="F273" s="2712" t="s">
        <v>3374</v>
      </c>
      <c r="G273" s="2710" t="s">
        <v>3375</v>
      </c>
      <c r="H273" s="2706" t="s">
        <v>3376</v>
      </c>
      <c r="I273" s="1598" t="str">
        <f t="shared" si="113"/>
        <v>5-DaHall1-PDU-01-30-12</v>
      </c>
      <c r="J273" s="1599" t="str">
        <f t="shared" si="114"/>
        <v>5-DaHall1-PDU-02-30-12</v>
      </c>
      <c r="K273" s="1567">
        <v>220</v>
      </c>
      <c r="L273" s="1568">
        <v>30</v>
      </c>
      <c r="M273" s="2380" t="s">
        <v>6497</v>
      </c>
      <c r="N273" s="1563">
        <v>12</v>
      </c>
      <c r="O273" s="1569">
        <v>220</v>
      </c>
      <c r="P273" s="1570">
        <v>30</v>
      </c>
      <c r="Q273" s="2410" t="s">
        <v>6493</v>
      </c>
      <c r="R273" s="1566">
        <v>12</v>
      </c>
      <c r="S273" s="3610" t="s">
        <v>2828</v>
      </c>
      <c r="T273" s="3595" t="s">
        <v>2829</v>
      </c>
      <c r="U273" s="3598" t="s">
        <v>2830</v>
      </c>
      <c r="V273" s="3601" t="s">
        <v>2831</v>
      </c>
      <c r="W273" s="3598" t="s">
        <v>2484</v>
      </c>
      <c r="X273" s="3601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57">
        <f t="shared" si="120"/>
        <v>0</v>
      </c>
      <c r="AB273" s="2745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0</v>
      </c>
      <c r="AC273" s="2746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0</v>
      </c>
      <c r="AD273" s="2484">
        <f t="shared" si="112"/>
        <v>0</v>
      </c>
      <c r="AE273" s="2526" t="s">
        <v>3028</v>
      </c>
      <c r="AG273" s="2367">
        <f t="shared" si="118"/>
        <v>0</v>
      </c>
      <c r="AH273" s="2367">
        <f t="shared" si="119"/>
        <v>0</v>
      </c>
      <c r="AI273" s="123" t="str">
        <f t="shared" si="115"/>
        <v>무부하 랙</v>
      </c>
      <c r="AJ273" t="str">
        <f t="shared" si="116"/>
        <v/>
      </c>
      <c r="AK273" t="str">
        <f t="shared" si="117"/>
        <v/>
      </c>
      <c r="AP273" s="123"/>
      <c r="AQ273" s="123"/>
      <c r="AR273" s="123"/>
      <c r="AS273" s="3084"/>
      <c r="AT273" s="123"/>
      <c r="AU273" s="123"/>
      <c r="AV273" s="3092"/>
      <c r="AW273" s="3086"/>
      <c r="AX273" s="3087"/>
      <c r="AY273" s="3088"/>
      <c r="AZ273" s="3089"/>
      <c r="BA273" s="3090"/>
      <c r="BB273" s="1"/>
    </row>
    <row r="274" spans="1:54" ht="28.8">
      <c r="A274" s="2652"/>
      <c r="B274" s="2712" t="s">
        <v>3377</v>
      </c>
      <c r="C274" s="886"/>
      <c r="D274" s="886"/>
      <c r="E274" s="2712" t="s">
        <v>3378</v>
      </c>
      <c r="F274" s="2712" t="s">
        <v>3379</v>
      </c>
      <c r="G274" s="2710" t="s">
        <v>3380</v>
      </c>
      <c r="H274" s="2706" t="s">
        <v>3381</v>
      </c>
      <c r="I274" s="1598" t="str">
        <f t="shared" si="113"/>
        <v>5-DaHall1-PDU-01-30-14</v>
      </c>
      <c r="J274" s="1599" t="str">
        <f t="shared" si="114"/>
        <v>5-DaHall1-PDU-02-30-14</v>
      </c>
      <c r="K274" s="1567">
        <v>220</v>
      </c>
      <c r="L274" s="1568">
        <v>30</v>
      </c>
      <c r="M274" s="2380" t="s">
        <v>6497</v>
      </c>
      <c r="N274" s="1563">
        <v>14</v>
      </c>
      <c r="O274" s="1569">
        <v>220</v>
      </c>
      <c r="P274" s="1570">
        <v>30</v>
      </c>
      <c r="Q274" s="2410" t="s">
        <v>6493</v>
      </c>
      <c r="R274" s="1566">
        <v>14</v>
      </c>
      <c r="S274" s="3605"/>
      <c r="T274" s="3596"/>
      <c r="U274" s="3599"/>
      <c r="V274" s="3602"/>
      <c r="W274" s="3599"/>
      <c r="X274" s="3602"/>
      <c r="Y274" s="834">
        <f>SUM('5층_부하량(월간_AVG)'!N34:P34)</f>
        <v>0</v>
      </c>
      <c r="Z274" s="834">
        <f>SUM('5층_부하량(월간_AVG)'!N64:P64)</f>
        <v>0</v>
      </c>
      <c r="AA274" s="2457">
        <f t="shared" si="120"/>
        <v>0</v>
      </c>
      <c r="AB274" s="2745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0</v>
      </c>
      <c r="AC274" s="2746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0</v>
      </c>
      <c r="AD274" s="2484">
        <f t="shared" si="112"/>
        <v>0</v>
      </c>
      <c r="AE274" s="2526"/>
      <c r="AG274" s="2367">
        <f t="shared" si="118"/>
        <v>0</v>
      </c>
      <c r="AH274" s="2367">
        <f t="shared" si="119"/>
        <v>0</v>
      </c>
      <c r="AI274" s="123" t="str">
        <f t="shared" si="115"/>
        <v>무부하 랙</v>
      </c>
      <c r="AJ274" t="str">
        <f t="shared" si="116"/>
        <v/>
      </c>
      <c r="AK274" t="str">
        <f t="shared" si="117"/>
        <v/>
      </c>
      <c r="AP274" s="123"/>
      <c r="AQ274" s="123"/>
      <c r="AR274" s="123"/>
      <c r="AS274" s="3084"/>
      <c r="AT274" s="123"/>
      <c r="AU274" s="123"/>
      <c r="AV274" s="3092"/>
      <c r="AW274" s="3086"/>
      <c r="AX274" s="3087"/>
      <c r="AY274" s="3088"/>
      <c r="AZ274" s="3089"/>
      <c r="BA274" s="3090"/>
      <c r="BB274" s="1"/>
    </row>
    <row r="275" spans="1:54" ht="28.8">
      <c r="A275" s="2652"/>
      <c r="B275" s="2712" t="s">
        <v>3382</v>
      </c>
      <c r="C275" s="886"/>
      <c r="D275" s="886"/>
      <c r="E275" s="2712" t="s">
        <v>3383</v>
      </c>
      <c r="F275" s="2712" t="s">
        <v>3384</v>
      </c>
      <c r="G275" s="2710" t="s">
        <v>3385</v>
      </c>
      <c r="H275" s="2706" t="s">
        <v>3386</v>
      </c>
      <c r="I275" s="1598" t="str">
        <f t="shared" si="113"/>
        <v>5-DaHall1-PDU-01-30-16</v>
      </c>
      <c r="J275" s="1599" t="str">
        <f t="shared" si="114"/>
        <v>5-DaHall1-PDU-02-30-16</v>
      </c>
      <c r="K275" s="1567">
        <v>220</v>
      </c>
      <c r="L275" s="1568">
        <v>30</v>
      </c>
      <c r="M275" s="2380" t="s">
        <v>6497</v>
      </c>
      <c r="N275" s="1563">
        <v>16</v>
      </c>
      <c r="O275" s="1569">
        <v>220</v>
      </c>
      <c r="P275" s="1570">
        <v>30</v>
      </c>
      <c r="Q275" s="2410" t="s">
        <v>6493</v>
      </c>
      <c r="R275" s="1566">
        <v>16</v>
      </c>
      <c r="S275" s="3605"/>
      <c r="T275" s="3596"/>
      <c r="U275" s="3599"/>
      <c r="V275" s="3602"/>
      <c r="W275" s="3599"/>
      <c r="X275" s="3602"/>
      <c r="Y275" s="834">
        <f>SUM('5층_부하량(월간_AVG)'!N35:P35)</f>
        <v>0</v>
      </c>
      <c r="Z275" s="834">
        <f>SUM('5층_부하량(월간_AVG)'!N65:P65)</f>
        <v>0</v>
      </c>
      <c r="AA275" s="2457">
        <f t="shared" si="120"/>
        <v>0</v>
      </c>
      <c r="AB275" s="2745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0</v>
      </c>
      <c r="AC275" s="2746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0</v>
      </c>
      <c r="AD275" s="2484">
        <f t="shared" si="112"/>
        <v>0</v>
      </c>
      <c r="AE275" s="2526"/>
      <c r="AG275" s="2367">
        <f t="shared" si="118"/>
        <v>0</v>
      </c>
      <c r="AH275" s="2367">
        <f t="shared" si="119"/>
        <v>0</v>
      </c>
      <c r="AI275" s="123" t="str">
        <f t="shared" si="115"/>
        <v>무부하 랙</v>
      </c>
      <c r="AJ275" t="str">
        <f t="shared" si="116"/>
        <v/>
      </c>
      <c r="AK275" t="str">
        <f t="shared" si="117"/>
        <v/>
      </c>
      <c r="AP275" s="123"/>
      <c r="AQ275" s="123"/>
      <c r="AR275" s="123"/>
      <c r="AS275" s="3084"/>
      <c r="AT275" s="123"/>
      <c r="AU275" s="123"/>
      <c r="AV275" s="3092"/>
      <c r="AW275" s="3086"/>
      <c r="AX275" s="3087"/>
      <c r="AY275" s="3088"/>
      <c r="AZ275" s="3089"/>
      <c r="BA275" s="3090"/>
      <c r="BB275" s="1"/>
    </row>
    <row r="276" spans="1:54" ht="28.8">
      <c r="A276" s="2652"/>
      <c r="B276" s="2712" t="s">
        <v>3387</v>
      </c>
      <c r="C276" s="886"/>
      <c r="D276" s="886"/>
      <c r="E276" s="2712" t="s">
        <v>3388</v>
      </c>
      <c r="F276" s="2712" t="s">
        <v>3389</v>
      </c>
      <c r="G276" s="2710" t="s">
        <v>3390</v>
      </c>
      <c r="H276" s="2706" t="s">
        <v>3391</v>
      </c>
      <c r="I276" s="1598" t="str">
        <f t="shared" si="113"/>
        <v>5-DaHall1-PDU-01-30-18</v>
      </c>
      <c r="J276" s="1599" t="str">
        <f t="shared" si="114"/>
        <v>5-DaHall1-PDU-02-30-18</v>
      </c>
      <c r="K276" s="1567">
        <v>220</v>
      </c>
      <c r="L276" s="1568">
        <v>30</v>
      </c>
      <c r="M276" s="2380" t="s">
        <v>6497</v>
      </c>
      <c r="N276" s="1563">
        <v>18</v>
      </c>
      <c r="O276" s="1569">
        <v>220</v>
      </c>
      <c r="P276" s="1570">
        <v>30</v>
      </c>
      <c r="Q276" s="2410" t="s">
        <v>6493</v>
      </c>
      <c r="R276" s="1566">
        <v>18</v>
      </c>
      <c r="S276" s="3605"/>
      <c r="T276" s="3596"/>
      <c r="U276" s="3599"/>
      <c r="V276" s="3602"/>
      <c r="W276" s="3599"/>
      <c r="X276" s="3602"/>
      <c r="Y276" s="834">
        <f>SUM('5층_부하량(월간_AVG)'!N36:P36)</f>
        <v>0</v>
      </c>
      <c r="Z276" s="834">
        <f>SUM('5층_부하량(월간_AVG)'!N66:P66)</f>
        <v>0</v>
      </c>
      <c r="AA276" s="2457">
        <f t="shared" si="120"/>
        <v>0</v>
      </c>
      <c r="AB276" s="2745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0</v>
      </c>
      <c r="AC276" s="2746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0</v>
      </c>
      <c r="AD276" s="2484">
        <f t="shared" si="112"/>
        <v>0</v>
      </c>
      <c r="AE276" s="2526"/>
      <c r="AG276" s="2367">
        <f t="shared" si="118"/>
        <v>0</v>
      </c>
      <c r="AH276" s="2367">
        <f t="shared" si="119"/>
        <v>0</v>
      </c>
      <c r="AI276" s="123" t="str">
        <f t="shared" si="115"/>
        <v>무부하 랙</v>
      </c>
      <c r="AJ276" t="str">
        <f t="shared" si="116"/>
        <v/>
      </c>
      <c r="AK276" t="str">
        <f t="shared" si="117"/>
        <v/>
      </c>
      <c r="AP276" s="123"/>
      <c r="AQ276" s="123"/>
      <c r="AR276" s="123"/>
      <c r="AS276" s="3084"/>
      <c r="AT276" s="123"/>
      <c r="AU276" s="123"/>
      <c r="AV276" s="3092"/>
      <c r="AW276" s="3086"/>
      <c r="AX276" s="3087"/>
      <c r="AY276" s="3088"/>
      <c r="AZ276" s="3089"/>
      <c r="BA276" s="3090"/>
      <c r="BB276" s="1"/>
    </row>
    <row r="277" spans="1:54" ht="28.8">
      <c r="A277" s="2652"/>
      <c r="B277" s="2712" t="s">
        <v>3392</v>
      </c>
      <c r="C277" s="886"/>
      <c r="D277" s="886"/>
      <c r="E277" s="2712" t="s">
        <v>3393</v>
      </c>
      <c r="F277" s="2712" t="s">
        <v>3394</v>
      </c>
      <c r="G277" s="2710" t="s">
        <v>3395</v>
      </c>
      <c r="H277" s="2706" t="s">
        <v>3396</v>
      </c>
      <c r="I277" s="1598" t="str">
        <f t="shared" si="113"/>
        <v>5-DaHall1-PDU-01-30-20</v>
      </c>
      <c r="J277" s="1599" t="str">
        <f t="shared" si="114"/>
        <v>5-DaHall1-PDU-02-30-20</v>
      </c>
      <c r="K277" s="1567">
        <v>220</v>
      </c>
      <c r="L277" s="1568">
        <v>30</v>
      </c>
      <c r="M277" s="2380" t="s">
        <v>6497</v>
      </c>
      <c r="N277" s="1563">
        <v>20</v>
      </c>
      <c r="O277" s="1569">
        <v>220</v>
      </c>
      <c r="P277" s="1570">
        <v>30</v>
      </c>
      <c r="Q277" s="2410" t="s">
        <v>6493</v>
      </c>
      <c r="R277" s="1566">
        <v>20</v>
      </c>
      <c r="S277" s="3605"/>
      <c r="T277" s="3596"/>
      <c r="U277" s="3599"/>
      <c r="V277" s="3602"/>
      <c r="W277" s="3599"/>
      <c r="X277" s="3602"/>
      <c r="Y277" s="834">
        <f>SUM('5층_부하량(월간_AVG)'!N37:P37)</f>
        <v>0</v>
      </c>
      <c r="Z277" s="834">
        <f>SUM('5층_부하량(월간_AVG)'!N67:P67)</f>
        <v>0</v>
      </c>
      <c r="AA277" s="2457">
        <f t="shared" si="120"/>
        <v>0</v>
      </c>
      <c r="AB277" s="2745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0</v>
      </c>
      <c r="AC277" s="2746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0</v>
      </c>
      <c r="AD277" s="2484">
        <f t="shared" si="112"/>
        <v>0</v>
      </c>
      <c r="AE277" s="2526"/>
      <c r="AG277" s="2367">
        <f t="shared" si="118"/>
        <v>0</v>
      </c>
      <c r="AH277" s="2367">
        <f t="shared" si="119"/>
        <v>0</v>
      </c>
      <c r="AI277" s="123" t="str">
        <f t="shared" si="115"/>
        <v>무부하 랙</v>
      </c>
      <c r="AJ277" t="str">
        <f t="shared" si="116"/>
        <v/>
      </c>
      <c r="AK277" t="str">
        <f t="shared" si="117"/>
        <v/>
      </c>
      <c r="AP277" s="123"/>
      <c r="AQ277" s="123"/>
      <c r="AR277" s="123"/>
      <c r="AS277" s="3084"/>
      <c r="AT277" s="123"/>
      <c r="AU277" s="123"/>
      <c r="AV277" s="3092"/>
      <c r="AW277" s="3086"/>
      <c r="AX277" s="3087"/>
      <c r="AY277" s="3088"/>
      <c r="AZ277" s="3089"/>
      <c r="BA277" s="3090"/>
      <c r="BB277" s="1"/>
    </row>
    <row r="278" spans="1:54" ht="28.8">
      <c r="A278" s="2652"/>
      <c r="B278" s="2712" t="s">
        <v>3397</v>
      </c>
      <c r="C278" s="886"/>
      <c r="D278" s="886"/>
      <c r="E278" s="2712" t="s">
        <v>3398</v>
      </c>
      <c r="F278" s="2712" t="s">
        <v>3399</v>
      </c>
      <c r="G278" s="2710" t="s">
        <v>3400</v>
      </c>
      <c r="H278" s="2706" t="s">
        <v>3401</v>
      </c>
      <c r="I278" s="1598" t="str">
        <f t="shared" si="113"/>
        <v>5-DaHall1-PDU-01-30-22</v>
      </c>
      <c r="J278" s="1599" t="str">
        <f t="shared" si="114"/>
        <v>5-DaHall1-PDU-02-30-22</v>
      </c>
      <c r="K278" s="1567">
        <v>220</v>
      </c>
      <c r="L278" s="1568">
        <v>30</v>
      </c>
      <c r="M278" s="2380" t="s">
        <v>6497</v>
      </c>
      <c r="N278" s="1563">
        <v>22</v>
      </c>
      <c r="O278" s="1569">
        <v>220</v>
      </c>
      <c r="P278" s="1570">
        <v>30</v>
      </c>
      <c r="Q278" s="2410" t="s">
        <v>6493</v>
      </c>
      <c r="R278" s="1566">
        <v>22</v>
      </c>
      <c r="S278" s="3605"/>
      <c r="T278" s="3596"/>
      <c r="U278" s="3599"/>
      <c r="V278" s="3602"/>
      <c r="W278" s="3599"/>
      <c r="X278" s="3602"/>
      <c r="Y278" s="834">
        <f>SUM('5층_부하량(월간_AVG)'!N38:P38)</f>
        <v>0</v>
      </c>
      <c r="Z278" s="834">
        <f>SUM('5층_부하량(월간_AVG)'!N68:P68)</f>
        <v>0</v>
      </c>
      <c r="AA278" s="2457">
        <f t="shared" si="120"/>
        <v>0</v>
      </c>
      <c r="AB278" s="2745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0</v>
      </c>
      <c r="AC278" s="2746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0</v>
      </c>
      <c r="AD278" s="2484">
        <f t="shared" si="112"/>
        <v>0</v>
      </c>
      <c r="AE278" s="2526"/>
      <c r="AG278" s="2367">
        <f t="shared" si="118"/>
        <v>0</v>
      </c>
      <c r="AH278" s="2367">
        <f t="shared" si="119"/>
        <v>0</v>
      </c>
      <c r="AI278" s="123" t="str">
        <f t="shared" si="115"/>
        <v>무부하 랙</v>
      </c>
      <c r="AJ278" t="str">
        <f t="shared" si="116"/>
        <v/>
      </c>
      <c r="AK278" t="str">
        <f t="shared" si="117"/>
        <v/>
      </c>
      <c r="AP278" s="123"/>
      <c r="AQ278" s="123"/>
      <c r="AR278" s="123"/>
      <c r="AS278" s="3084"/>
      <c r="AT278" s="123"/>
      <c r="AU278" s="123"/>
      <c r="AV278" s="3092"/>
      <c r="AW278" s="3086"/>
      <c r="AX278" s="3087"/>
      <c r="AY278" s="3088"/>
      <c r="AZ278" s="3089"/>
      <c r="BA278" s="3090"/>
      <c r="BB278" s="1"/>
    </row>
    <row r="279" spans="1:54" ht="28.8">
      <c r="A279" s="2652"/>
      <c r="B279" s="2712" t="s">
        <v>3402</v>
      </c>
      <c r="C279" s="886"/>
      <c r="D279" s="886"/>
      <c r="E279" s="2712" t="s">
        <v>3403</v>
      </c>
      <c r="F279" s="2712" t="s">
        <v>3404</v>
      </c>
      <c r="G279" s="2710" t="s">
        <v>3405</v>
      </c>
      <c r="H279" s="2706" t="s">
        <v>3406</v>
      </c>
      <c r="I279" s="1598" t="str">
        <f t="shared" si="113"/>
        <v>5-DaHall1-PDU-01-30-24</v>
      </c>
      <c r="J279" s="1599" t="str">
        <f t="shared" si="114"/>
        <v>5-DaHall1-PDU-02-30-24</v>
      </c>
      <c r="K279" s="1561">
        <v>220</v>
      </c>
      <c r="L279" s="1562">
        <v>30</v>
      </c>
      <c r="M279" s="2380" t="s">
        <v>6497</v>
      </c>
      <c r="N279" s="1563">
        <v>24</v>
      </c>
      <c r="O279" s="1564">
        <v>220</v>
      </c>
      <c r="P279" s="1565">
        <v>30</v>
      </c>
      <c r="Q279" s="2410" t="s">
        <v>6493</v>
      </c>
      <c r="R279" s="1566">
        <v>24</v>
      </c>
      <c r="S279" s="3605"/>
      <c r="T279" s="3596"/>
      <c r="U279" s="3599"/>
      <c r="V279" s="3602"/>
      <c r="W279" s="3599"/>
      <c r="X279" s="3602"/>
      <c r="Y279" s="834">
        <f>SUM('5층_부하량(월간_AVG)'!N39:P39)</f>
        <v>0</v>
      </c>
      <c r="Z279" s="834">
        <f>SUM('5층_부하량(월간_AVG)'!N69:P69)</f>
        <v>0</v>
      </c>
      <c r="AA279" s="2457">
        <f t="shared" si="120"/>
        <v>0</v>
      </c>
      <c r="AB279" s="2745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0</v>
      </c>
      <c r="AC279" s="2746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0</v>
      </c>
      <c r="AD279" s="2484">
        <f t="shared" si="112"/>
        <v>0</v>
      </c>
      <c r="AE279" s="2526"/>
      <c r="AG279" s="2367">
        <f t="shared" si="118"/>
        <v>0</v>
      </c>
      <c r="AH279" s="2367">
        <f t="shared" si="119"/>
        <v>0</v>
      </c>
      <c r="AI279" s="123" t="str">
        <f t="shared" si="115"/>
        <v>무부하 랙</v>
      </c>
      <c r="AJ279" t="str">
        <f t="shared" si="116"/>
        <v/>
      </c>
      <c r="AK279" t="str">
        <f t="shared" si="117"/>
        <v/>
      </c>
      <c r="AP279" s="123"/>
      <c r="AQ279" s="123"/>
      <c r="AR279" s="123"/>
      <c r="AS279" s="3084"/>
      <c r="AT279" s="123"/>
      <c r="AU279" s="123"/>
      <c r="AV279" s="3092"/>
      <c r="AW279" s="3086"/>
      <c r="AX279" s="3087"/>
      <c r="AY279" s="3088"/>
      <c r="AZ279" s="3089"/>
      <c r="BA279" s="3090"/>
      <c r="BB279" s="1"/>
    </row>
    <row r="280" spans="1:54" ht="28.8">
      <c r="A280" s="2652"/>
      <c r="B280" s="2712" t="s">
        <v>3407</v>
      </c>
      <c r="C280" s="886"/>
      <c r="D280" s="886"/>
      <c r="E280" s="2712" t="s">
        <v>3408</v>
      </c>
      <c r="F280" s="2712" t="s">
        <v>3409</v>
      </c>
      <c r="G280" s="2710" t="s">
        <v>3410</v>
      </c>
      <c r="H280" s="2706" t="s">
        <v>3411</v>
      </c>
      <c r="I280" s="1598" t="str">
        <f t="shared" si="113"/>
        <v>5-DaHall1-PDU-01-30-26</v>
      </c>
      <c r="J280" s="1599" t="str">
        <f t="shared" si="114"/>
        <v>5-DaHall1-PDU-02-30-26</v>
      </c>
      <c r="K280" s="1561">
        <v>220</v>
      </c>
      <c r="L280" s="1562">
        <v>30</v>
      </c>
      <c r="M280" s="2380" t="s">
        <v>6497</v>
      </c>
      <c r="N280" s="1563">
        <v>26</v>
      </c>
      <c r="O280" s="1564">
        <v>220</v>
      </c>
      <c r="P280" s="1565">
        <v>30</v>
      </c>
      <c r="Q280" s="2410" t="s">
        <v>6493</v>
      </c>
      <c r="R280" s="1566">
        <v>26</v>
      </c>
      <c r="S280" s="3605"/>
      <c r="T280" s="3596"/>
      <c r="U280" s="3599"/>
      <c r="V280" s="3602"/>
      <c r="W280" s="3599"/>
      <c r="X280" s="3602"/>
      <c r="Y280" s="834">
        <f>SUM('5층_부하량(월간_AVG)'!N40:P40)</f>
        <v>0</v>
      </c>
      <c r="Z280" s="834">
        <f>SUM('5층_부하량(월간_AVG)'!N70:P70)</f>
        <v>0</v>
      </c>
      <c r="AA280" s="2457">
        <f t="shared" si="120"/>
        <v>0</v>
      </c>
      <c r="AB280" s="2745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0</v>
      </c>
      <c r="AC280" s="2746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0</v>
      </c>
      <c r="AD280" s="2484">
        <f t="shared" si="112"/>
        <v>0</v>
      </c>
      <c r="AE280" s="2526"/>
      <c r="AG280" s="2367">
        <f t="shared" si="118"/>
        <v>0</v>
      </c>
      <c r="AH280" s="2367">
        <f t="shared" si="119"/>
        <v>0</v>
      </c>
      <c r="AI280" s="123" t="str">
        <f t="shared" si="115"/>
        <v>무부하 랙</v>
      </c>
      <c r="AJ280" t="str">
        <f t="shared" si="116"/>
        <v/>
      </c>
      <c r="AK280" t="str">
        <f t="shared" si="117"/>
        <v/>
      </c>
      <c r="AP280" s="123"/>
      <c r="AQ280" s="123"/>
      <c r="AR280" s="123"/>
      <c r="AS280" s="3084"/>
      <c r="AT280" s="123"/>
      <c r="AU280" s="123"/>
      <c r="AV280" s="3092"/>
      <c r="AW280" s="3086"/>
      <c r="AX280" s="3087"/>
      <c r="AY280" s="3088"/>
      <c r="AZ280" s="3089"/>
      <c r="BA280" s="3090"/>
      <c r="BB280" s="1"/>
    </row>
    <row r="281" spans="1:54" ht="28.8">
      <c r="A281" s="2652"/>
      <c r="B281" s="2712" t="s">
        <v>3412</v>
      </c>
      <c r="C281" s="886"/>
      <c r="D281" s="886"/>
      <c r="E281" s="2712" t="s">
        <v>3413</v>
      </c>
      <c r="F281" s="2712" t="s">
        <v>3414</v>
      </c>
      <c r="G281" s="2710" t="s">
        <v>3415</v>
      </c>
      <c r="H281" s="2706" t="s">
        <v>3416</v>
      </c>
      <c r="I281" s="1598" t="str">
        <f t="shared" si="113"/>
        <v>5-DaHall1-PDU-01-30-28</v>
      </c>
      <c r="J281" s="1599" t="str">
        <f t="shared" si="114"/>
        <v>5-DaHall1-PDU-02-30-28</v>
      </c>
      <c r="K281" s="1561">
        <v>220</v>
      </c>
      <c r="L281" s="1562">
        <v>30</v>
      </c>
      <c r="M281" s="2380" t="s">
        <v>6497</v>
      </c>
      <c r="N281" s="1563">
        <v>28</v>
      </c>
      <c r="O281" s="1564">
        <v>220</v>
      </c>
      <c r="P281" s="1565">
        <v>30</v>
      </c>
      <c r="Q281" s="2410" t="s">
        <v>6493</v>
      </c>
      <c r="R281" s="1566">
        <v>28</v>
      </c>
      <c r="S281" s="3605"/>
      <c r="T281" s="3596"/>
      <c r="U281" s="3599"/>
      <c r="V281" s="3602"/>
      <c r="W281" s="3599"/>
      <c r="X281" s="3602"/>
      <c r="Y281" s="834">
        <f>SUM('5층_부하량(월간_AVG)'!N41:P41)</f>
        <v>0</v>
      </c>
      <c r="Z281" s="834">
        <f>SUM('5층_부하량(월간_AVG)'!N71:P71)</f>
        <v>0</v>
      </c>
      <c r="AA281" s="2457">
        <f t="shared" si="120"/>
        <v>0</v>
      </c>
      <c r="AB281" s="2745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0</v>
      </c>
      <c r="AC281" s="2746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0</v>
      </c>
      <c r="AD281" s="2484">
        <f t="shared" si="112"/>
        <v>0</v>
      </c>
      <c r="AE281" s="2526"/>
      <c r="AG281" s="2367">
        <f t="shared" si="118"/>
        <v>0</v>
      </c>
      <c r="AH281" s="2367">
        <f t="shared" si="119"/>
        <v>0</v>
      </c>
      <c r="AI281" s="123" t="str">
        <f t="shared" si="115"/>
        <v>무부하 랙</v>
      </c>
      <c r="AJ281" t="str">
        <f t="shared" si="116"/>
        <v/>
      </c>
      <c r="AK281" t="str">
        <f t="shared" si="117"/>
        <v/>
      </c>
      <c r="AP281" s="123"/>
      <c r="AQ281" s="123"/>
      <c r="AR281" s="123"/>
      <c r="AS281" s="3084"/>
      <c r="AT281" s="123"/>
      <c r="AU281" s="123"/>
      <c r="AV281" s="3092"/>
      <c r="AW281" s="3086"/>
      <c r="AX281" s="3087"/>
      <c r="AY281" s="3088"/>
      <c r="AZ281" s="3089"/>
      <c r="BA281" s="3090"/>
      <c r="BB281" s="1"/>
    </row>
    <row r="282" spans="1:54" ht="28.8">
      <c r="A282" s="2652"/>
      <c r="B282" s="2712" t="s">
        <v>3417</v>
      </c>
      <c r="C282" s="886"/>
      <c r="D282" s="886"/>
      <c r="E282" s="2712" t="s">
        <v>3418</v>
      </c>
      <c r="F282" s="2712" t="s">
        <v>3419</v>
      </c>
      <c r="G282" s="2710" t="s">
        <v>3420</v>
      </c>
      <c r="H282" s="2706" t="s">
        <v>3421</v>
      </c>
      <c r="I282" s="1598" t="str">
        <f t="shared" si="113"/>
        <v>5-DaHall1-PDU-01-30-30</v>
      </c>
      <c r="J282" s="1599" t="str">
        <f t="shared" si="114"/>
        <v>5-DaHall1-PDU-02-30-30</v>
      </c>
      <c r="K282" s="1561">
        <v>220</v>
      </c>
      <c r="L282" s="1562">
        <v>30</v>
      </c>
      <c r="M282" s="2380" t="s">
        <v>6497</v>
      </c>
      <c r="N282" s="1563">
        <v>30</v>
      </c>
      <c r="O282" s="1564">
        <v>220</v>
      </c>
      <c r="P282" s="1565">
        <v>30</v>
      </c>
      <c r="Q282" s="2410" t="s">
        <v>6493</v>
      </c>
      <c r="R282" s="1566">
        <v>30</v>
      </c>
      <c r="S282" s="3605"/>
      <c r="T282" s="3596"/>
      <c r="U282" s="3599"/>
      <c r="V282" s="3602"/>
      <c r="W282" s="3599"/>
      <c r="X282" s="3602"/>
      <c r="Y282" s="834">
        <f>SUM('5층_부하량(월간_AVG)'!N42:P42)</f>
        <v>0</v>
      </c>
      <c r="Z282" s="834">
        <f>SUM('5층_부하량(월간_AVG)'!N72:P72)</f>
        <v>0</v>
      </c>
      <c r="AA282" s="2457">
        <f t="shared" si="120"/>
        <v>0</v>
      </c>
      <c r="AB282" s="2745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0</v>
      </c>
      <c r="AC282" s="2746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0</v>
      </c>
      <c r="AD282" s="2484">
        <f t="shared" si="112"/>
        <v>0</v>
      </c>
      <c r="AE282" s="2526"/>
      <c r="AG282" s="2367">
        <f t="shared" si="118"/>
        <v>0</v>
      </c>
      <c r="AH282" s="2367">
        <f t="shared" si="119"/>
        <v>0</v>
      </c>
      <c r="AI282" s="123" t="str">
        <f t="shared" si="115"/>
        <v>무부하 랙</v>
      </c>
      <c r="AJ282" t="str">
        <f t="shared" si="116"/>
        <v/>
      </c>
      <c r="AK282" t="str">
        <f t="shared" si="117"/>
        <v/>
      </c>
      <c r="AP282" s="123"/>
      <c r="AQ282" s="123"/>
      <c r="AR282" s="123"/>
      <c r="AS282" s="3084"/>
      <c r="AT282" s="123"/>
      <c r="AU282" s="123"/>
      <c r="AV282" s="3092"/>
      <c r="AW282" s="3086"/>
      <c r="AX282" s="3087"/>
      <c r="AY282" s="3088"/>
      <c r="AZ282" s="3089"/>
      <c r="BA282" s="3090"/>
      <c r="BB282" s="1"/>
    </row>
    <row r="283" spans="1:54" ht="28.8">
      <c r="A283" s="2652"/>
      <c r="B283" s="2712" t="s">
        <v>3422</v>
      </c>
      <c r="C283" s="886"/>
      <c r="D283" s="886"/>
      <c r="E283" s="2712" t="s">
        <v>3423</v>
      </c>
      <c r="F283" s="2712" t="s">
        <v>3424</v>
      </c>
      <c r="G283" s="2710" t="s">
        <v>3425</v>
      </c>
      <c r="H283" s="2706" t="s">
        <v>3426</v>
      </c>
      <c r="I283" s="1598" t="str">
        <f t="shared" si="113"/>
        <v>5-DaHall1-PDU-01-30-32</v>
      </c>
      <c r="J283" s="1599" t="str">
        <f t="shared" si="114"/>
        <v>5-DaHall1-PDU-02-30-32</v>
      </c>
      <c r="K283" s="1561">
        <v>220</v>
      </c>
      <c r="L283" s="1562">
        <v>30</v>
      </c>
      <c r="M283" s="2380" t="s">
        <v>6497</v>
      </c>
      <c r="N283" s="1563">
        <v>32</v>
      </c>
      <c r="O283" s="1564">
        <v>220</v>
      </c>
      <c r="P283" s="1565">
        <v>30</v>
      </c>
      <c r="Q283" s="2410" t="s">
        <v>6493</v>
      </c>
      <c r="R283" s="1566">
        <v>32</v>
      </c>
      <c r="S283" s="3605"/>
      <c r="T283" s="3596"/>
      <c r="U283" s="3599"/>
      <c r="V283" s="3602"/>
      <c r="W283" s="3599"/>
      <c r="X283" s="3602"/>
      <c r="Y283" s="834">
        <f>SUM('5층_부하량(월간_AVG)'!N43:P43)</f>
        <v>0</v>
      </c>
      <c r="Z283" s="834">
        <f>SUM('5층_부하량(월간_AVG)'!N73:P73)</f>
        <v>0</v>
      </c>
      <c r="AA283" s="2457">
        <f t="shared" si="120"/>
        <v>0</v>
      </c>
      <c r="AB283" s="2745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0</v>
      </c>
      <c r="AC283" s="2746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0</v>
      </c>
      <c r="AD283" s="2484">
        <f t="shared" si="112"/>
        <v>0</v>
      </c>
      <c r="AE283" s="2526"/>
      <c r="AG283" s="2367">
        <f t="shared" si="118"/>
        <v>0</v>
      </c>
      <c r="AH283" s="2367">
        <f t="shared" si="119"/>
        <v>0</v>
      </c>
      <c r="AI283" s="123" t="str">
        <f t="shared" si="115"/>
        <v>무부하 랙</v>
      </c>
      <c r="AJ283" t="str">
        <f t="shared" si="116"/>
        <v/>
      </c>
      <c r="AK283" t="str">
        <f t="shared" si="117"/>
        <v/>
      </c>
      <c r="AP283" s="123"/>
      <c r="AQ283" s="123"/>
      <c r="AR283" s="123"/>
      <c r="AS283" s="3084"/>
      <c r="AT283" s="123"/>
      <c r="AU283" s="123"/>
      <c r="AV283" s="3092"/>
      <c r="AW283" s="3086"/>
      <c r="AX283" s="3087"/>
      <c r="AY283" s="3088"/>
      <c r="AZ283" s="3089"/>
      <c r="BA283" s="3090"/>
      <c r="BB283" s="1"/>
    </row>
    <row r="284" spans="1:54" ht="28.8">
      <c r="A284" s="2652"/>
      <c r="B284" s="2712" t="s">
        <v>3427</v>
      </c>
      <c r="C284" s="886"/>
      <c r="D284" s="886"/>
      <c r="E284" s="2712" t="s">
        <v>3428</v>
      </c>
      <c r="F284" s="2712" t="s">
        <v>3429</v>
      </c>
      <c r="G284" s="2710" t="s">
        <v>3430</v>
      </c>
      <c r="H284" s="2706" t="s">
        <v>3431</v>
      </c>
      <c r="I284" s="1598" t="str">
        <f t="shared" si="113"/>
        <v>5-DaHall1-PDU-01-30-34</v>
      </c>
      <c r="J284" s="1599" t="str">
        <f t="shared" si="114"/>
        <v>5-DaHall1-PDU-02-30-34</v>
      </c>
      <c r="K284" s="1561">
        <v>220</v>
      </c>
      <c r="L284" s="1562">
        <v>30</v>
      </c>
      <c r="M284" s="2380" t="s">
        <v>6497</v>
      </c>
      <c r="N284" s="1563">
        <v>34</v>
      </c>
      <c r="O284" s="1564">
        <v>220</v>
      </c>
      <c r="P284" s="1565">
        <v>30</v>
      </c>
      <c r="Q284" s="2410" t="s">
        <v>6493</v>
      </c>
      <c r="R284" s="1566">
        <v>34</v>
      </c>
      <c r="S284" s="3605"/>
      <c r="T284" s="3596"/>
      <c r="U284" s="3599"/>
      <c r="V284" s="3602"/>
      <c r="W284" s="3599"/>
      <c r="X284" s="3602"/>
      <c r="Y284" s="834">
        <f>SUM('5층_부하량(월간_AVG)'!N44:P44)</f>
        <v>0</v>
      </c>
      <c r="Z284" s="834">
        <f>SUM('5층_부하량(월간_AVG)'!N74:P74)</f>
        <v>0</v>
      </c>
      <c r="AA284" s="2457">
        <f t="shared" si="120"/>
        <v>0</v>
      </c>
      <c r="AB284" s="2745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0</v>
      </c>
      <c r="AC284" s="2746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0</v>
      </c>
      <c r="AD284" s="2484">
        <f t="shared" si="112"/>
        <v>0</v>
      </c>
      <c r="AE284" s="2526"/>
      <c r="AG284" s="2367">
        <f t="shared" si="118"/>
        <v>0</v>
      </c>
      <c r="AH284" s="2367">
        <f t="shared" si="119"/>
        <v>0</v>
      </c>
      <c r="AI284" s="123" t="str">
        <f t="shared" si="115"/>
        <v>무부하 랙</v>
      </c>
      <c r="AJ284" t="str">
        <f t="shared" si="116"/>
        <v/>
      </c>
      <c r="AK284" t="str">
        <f t="shared" si="117"/>
        <v/>
      </c>
      <c r="AP284" s="123"/>
      <c r="AQ284" s="123"/>
      <c r="AR284" s="123"/>
      <c r="AS284" s="3084"/>
      <c r="AT284" s="123"/>
      <c r="AU284" s="123"/>
      <c r="AV284" s="3092"/>
      <c r="AW284" s="3086"/>
      <c r="AX284" s="3087"/>
      <c r="AY284" s="3088"/>
      <c r="AZ284" s="3089"/>
      <c r="BA284" s="3090"/>
      <c r="BB284" s="1"/>
    </row>
    <row r="285" spans="1:54" ht="28.8">
      <c r="A285" s="2652"/>
      <c r="B285" s="2712" t="s">
        <v>3432</v>
      </c>
      <c r="C285" s="886"/>
      <c r="D285" s="886"/>
      <c r="E285" s="2712" t="s">
        <v>3433</v>
      </c>
      <c r="F285" s="2712" t="s">
        <v>3434</v>
      </c>
      <c r="G285" s="2710" t="s">
        <v>3435</v>
      </c>
      <c r="H285" s="2706" t="s">
        <v>3436</v>
      </c>
      <c r="I285" s="1598" t="str">
        <f t="shared" si="113"/>
        <v>5-DaHall1-PDU-01-30-36</v>
      </c>
      <c r="J285" s="1599" t="str">
        <f t="shared" si="114"/>
        <v>5-DaHall1-PDU-02-30-36</v>
      </c>
      <c r="K285" s="1561">
        <v>220</v>
      </c>
      <c r="L285" s="1562">
        <v>30</v>
      </c>
      <c r="M285" s="2380" t="s">
        <v>6497</v>
      </c>
      <c r="N285" s="1563">
        <v>36</v>
      </c>
      <c r="O285" s="1564">
        <v>220</v>
      </c>
      <c r="P285" s="1565">
        <v>30</v>
      </c>
      <c r="Q285" s="2410" t="s">
        <v>6493</v>
      </c>
      <c r="R285" s="1566">
        <v>36</v>
      </c>
      <c r="S285" s="3605"/>
      <c r="T285" s="3596"/>
      <c r="U285" s="3599"/>
      <c r="V285" s="3602"/>
      <c r="W285" s="3599"/>
      <c r="X285" s="3602"/>
      <c r="Y285" s="834">
        <f>SUM('5층_부하량(월간_AVG)'!N45:P45)</f>
        <v>0</v>
      </c>
      <c r="Z285" s="834">
        <f>SUM('5층_부하량(월간_AVG)'!N75:P75)</f>
        <v>0</v>
      </c>
      <c r="AA285" s="2457">
        <f t="shared" si="120"/>
        <v>0</v>
      </c>
      <c r="AB285" s="2745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0</v>
      </c>
      <c r="AC285" s="2746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0</v>
      </c>
      <c r="AD285" s="2484">
        <f t="shared" si="112"/>
        <v>0</v>
      </c>
      <c r="AE285" s="2526"/>
      <c r="AG285" s="2367">
        <f t="shared" si="118"/>
        <v>0</v>
      </c>
      <c r="AH285" s="2367">
        <f t="shared" si="119"/>
        <v>0</v>
      </c>
      <c r="AI285" s="123" t="str">
        <f t="shared" si="115"/>
        <v>무부하 랙</v>
      </c>
      <c r="AJ285" t="str">
        <f t="shared" si="116"/>
        <v/>
      </c>
      <c r="AK285" t="str">
        <f t="shared" si="117"/>
        <v/>
      </c>
      <c r="AP285" s="123"/>
      <c r="AQ285" s="123"/>
      <c r="AR285" s="123"/>
      <c r="AS285" s="3084"/>
      <c r="AT285" s="123"/>
      <c r="AU285" s="123"/>
      <c r="AV285" s="3092"/>
      <c r="AW285" s="3086"/>
      <c r="AX285" s="3087"/>
      <c r="AY285" s="3088"/>
      <c r="AZ285" s="3089"/>
      <c r="BA285" s="3090"/>
      <c r="BB285" s="1"/>
    </row>
    <row r="286" spans="1:54" ht="28.8">
      <c r="A286" s="2652"/>
      <c r="B286" s="2712" t="s">
        <v>3437</v>
      </c>
      <c r="C286" s="886"/>
      <c r="D286" s="886"/>
      <c r="E286" s="2712" t="s">
        <v>3438</v>
      </c>
      <c r="F286" s="2712" t="s">
        <v>3439</v>
      </c>
      <c r="G286" s="2710" t="s">
        <v>3440</v>
      </c>
      <c r="H286" s="2706" t="s">
        <v>3441</v>
      </c>
      <c r="I286" s="1598" t="str">
        <f t="shared" si="113"/>
        <v>5-DaHall1-PDU-01-30-38</v>
      </c>
      <c r="J286" s="1599" t="str">
        <f t="shared" si="114"/>
        <v>5-DaHall1-PDU-02-30-38</v>
      </c>
      <c r="K286" s="1561">
        <v>220</v>
      </c>
      <c r="L286" s="1562">
        <v>30</v>
      </c>
      <c r="M286" s="2380" t="s">
        <v>6497</v>
      </c>
      <c r="N286" s="1563">
        <v>38</v>
      </c>
      <c r="O286" s="1564">
        <v>220</v>
      </c>
      <c r="P286" s="1565">
        <v>30</v>
      </c>
      <c r="Q286" s="2410" t="s">
        <v>6493</v>
      </c>
      <c r="R286" s="1566">
        <v>38</v>
      </c>
      <c r="S286" s="3605"/>
      <c r="T286" s="3596"/>
      <c r="U286" s="3599"/>
      <c r="V286" s="3602"/>
      <c r="W286" s="3599"/>
      <c r="X286" s="3602"/>
      <c r="Y286" s="834">
        <f>SUM('5층_부하량(월간_AVG)'!N46:P46)</f>
        <v>0</v>
      </c>
      <c r="Z286" s="834">
        <f>SUM('5층_부하량(월간_AVG)'!N76:P76)</f>
        <v>0</v>
      </c>
      <c r="AA286" s="2457">
        <f t="shared" si="120"/>
        <v>0</v>
      </c>
      <c r="AB286" s="2745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0</v>
      </c>
      <c r="AC286" s="2746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0</v>
      </c>
      <c r="AD286" s="2484">
        <f t="shared" si="112"/>
        <v>0</v>
      </c>
      <c r="AE286" s="2526"/>
      <c r="AG286" s="2367">
        <f t="shared" si="118"/>
        <v>0</v>
      </c>
      <c r="AH286" s="2367">
        <f t="shared" si="119"/>
        <v>0</v>
      </c>
      <c r="AI286" s="123" t="str">
        <f t="shared" si="115"/>
        <v>무부하 랙</v>
      </c>
      <c r="AJ286" t="str">
        <f t="shared" si="116"/>
        <v/>
      </c>
      <c r="AK286" t="str">
        <f t="shared" si="117"/>
        <v/>
      </c>
      <c r="AP286" s="123"/>
      <c r="AQ286" s="123"/>
      <c r="AR286" s="123"/>
      <c r="AS286" s="3084"/>
      <c r="AT286" s="123"/>
      <c r="AU286" s="123"/>
      <c r="AV286" s="3092"/>
      <c r="AW286" s="3086"/>
      <c r="AX286" s="3087"/>
      <c r="AY286" s="3088"/>
      <c r="AZ286" s="3089"/>
      <c r="BA286" s="3090"/>
      <c r="BB286" s="1"/>
    </row>
    <row r="287" spans="1:54" ht="28.8">
      <c r="A287" s="2652"/>
      <c r="B287" s="1102" t="s">
        <v>3210</v>
      </c>
      <c r="C287" s="3004"/>
      <c r="D287" s="3004"/>
      <c r="E287" s="1102"/>
      <c r="F287" s="1102" t="s">
        <v>3442</v>
      </c>
      <c r="G287" s="1103"/>
      <c r="H287" s="1104" t="s">
        <v>3443</v>
      </c>
      <c r="I287" s="1593"/>
      <c r="J287" s="1599" t="str">
        <f t="shared" si="114"/>
        <v>5-DaHall1-PDU-02-30-40</v>
      </c>
      <c r="K287" s="1620"/>
      <c r="L287" s="1621"/>
      <c r="M287" s="1103"/>
      <c r="N287" s="1622"/>
      <c r="O287" s="1678">
        <v>220</v>
      </c>
      <c r="P287" s="1642">
        <v>30</v>
      </c>
      <c r="Q287" s="2413" t="s">
        <v>6493</v>
      </c>
      <c r="R287" s="1643">
        <v>40</v>
      </c>
      <c r="S287" s="3606"/>
      <c r="T287" s="3597"/>
      <c r="U287" s="3600"/>
      <c r="V287" s="3603"/>
      <c r="W287" s="3600"/>
      <c r="X287" s="3603"/>
      <c r="Y287" s="1109"/>
      <c r="Z287" s="834">
        <f>SUM('5층_부하량(월간_AVG)'!N77:P77)</f>
        <v>0</v>
      </c>
      <c r="AA287" s="2457">
        <f t="shared" si="120"/>
        <v>0</v>
      </c>
      <c r="AB287" s="2745"/>
      <c r="AC287" s="2746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0</v>
      </c>
      <c r="AD287" s="2484">
        <f t="shared" si="112"/>
        <v>0</v>
      </c>
      <c r="AE287" s="2528" t="s">
        <v>3444</v>
      </c>
      <c r="AG287" s="2367">
        <f t="shared" si="118"/>
        <v>0</v>
      </c>
      <c r="AH287" s="2367">
        <f t="shared" si="119"/>
        <v>0</v>
      </c>
      <c r="AI287" s="123" t="str">
        <f t="shared" si="115"/>
        <v>무부하 랙</v>
      </c>
      <c r="AJ287" t="str">
        <f t="shared" si="116"/>
        <v/>
      </c>
      <c r="AK287" t="str">
        <f t="shared" si="117"/>
        <v/>
      </c>
      <c r="AP287" s="123"/>
      <c r="AQ287" s="123"/>
      <c r="AR287" s="123"/>
      <c r="AS287" s="3084"/>
      <c r="AT287" s="123"/>
      <c r="AU287" s="123"/>
      <c r="AV287" s="3092"/>
      <c r="AW287" s="3086"/>
      <c r="AX287" s="3087"/>
      <c r="AY287" s="3088"/>
      <c r="AZ287" s="3089"/>
      <c r="BA287" s="3090"/>
      <c r="BB287" s="1"/>
    </row>
    <row r="288" spans="1:54" ht="28.8">
      <c r="A288" s="2652"/>
      <c r="B288" s="2712" t="s">
        <v>3445</v>
      </c>
      <c r="C288" s="886"/>
      <c r="D288" s="886"/>
      <c r="E288" s="2712" t="s">
        <v>3446</v>
      </c>
      <c r="F288" s="2712" t="s">
        <v>3447</v>
      </c>
      <c r="G288" s="1103" t="s">
        <v>3448</v>
      </c>
      <c r="H288" s="1104" t="s">
        <v>3449</v>
      </c>
      <c r="I288" s="1598" t="str">
        <f>"5-DaHall1-PDU-"&amp;M288&amp;"-"&amp;L288&amp;"-"&amp;N288</f>
        <v>5-DaHall1-PDU-01-30-49</v>
      </c>
      <c r="J288" s="1599" t="str">
        <f t="shared" si="114"/>
        <v>5-DaHall1-PDU-02-30-49</v>
      </c>
      <c r="K288" s="1638">
        <v>220</v>
      </c>
      <c r="L288" s="1639">
        <v>30</v>
      </c>
      <c r="M288" s="2383" t="s">
        <v>6497</v>
      </c>
      <c r="N288" s="1640">
        <v>49</v>
      </c>
      <c r="O288" s="1641">
        <v>220</v>
      </c>
      <c r="P288" s="1642">
        <v>30</v>
      </c>
      <c r="Q288" s="2413" t="s">
        <v>6493</v>
      </c>
      <c r="R288" s="1643">
        <v>49</v>
      </c>
      <c r="S288" s="3610" t="s">
        <v>2828</v>
      </c>
      <c r="T288" s="3595" t="s">
        <v>2829</v>
      </c>
      <c r="U288" s="3598" t="s">
        <v>2830</v>
      </c>
      <c r="V288" s="3601" t="s">
        <v>2831</v>
      </c>
      <c r="W288" s="3598" t="s">
        <v>2484</v>
      </c>
      <c r="X288" s="3601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57">
        <f t="shared" si="120"/>
        <v>0</v>
      </c>
      <c r="AB288" s="2745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0</v>
      </c>
      <c r="AC288" s="2746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0</v>
      </c>
      <c r="AD288" s="2484">
        <f t="shared" si="112"/>
        <v>0</v>
      </c>
      <c r="AE288" s="2526"/>
      <c r="AG288" s="2367">
        <f t="shared" si="118"/>
        <v>0</v>
      </c>
      <c r="AH288" s="2367">
        <f t="shared" si="119"/>
        <v>0</v>
      </c>
      <c r="AI288" s="123" t="str">
        <f t="shared" si="115"/>
        <v>무부하 랙</v>
      </c>
      <c r="AJ288" t="str">
        <f t="shared" si="116"/>
        <v/>
      </c>
      <c r="AK288" t="str">
        <f t="shared" si="117"/>
        <v/>
      </c>
      <c r="AP288" s="123"/>
      <c r="AQ288" s="123"/>
      <c r="AR288" s="123"/>
      <c r="AS288" s="3084"/>
      <c r="AT288" s="123"/>
      <c r="AU288" s="123"/>
      <c r="AV288" s="3092"/>
      <c r="AW288" s="3086"/>
      <c r="AX288" s="3087"/>
      <c r="AY288" s="3088"/>
      <c r="AZ288" s="3089"/>
      <c r="BA288" s="3090"/>
      <c r="BB288" s="1"/>
    </row>
    <row r="289" spans="1:54" ht="28.8">
      <c r="A289" s="2652"/>
      <c r="B289" s="2712" t="s">
        <v>3450</v>
      </c>
      <c r="C289" s="886"/>
      <c r="D289" s="886"/>
      <c r="E289" s="2712" t="s">
        <v>3451</v>
      </c>
      <c r="F289" s="2712" t="s">
        <v>3452</v>
      </c>
      <c r="G289" s="1103" t="s">
        <v>3453</v>
      </c>
      <c r="H289" s="1104" t="s">
        <v>3454</v>
      </c>
      <c r="I289" s="1598" t="str">
        <f>"5-DaHall1-PDU-"&amp;M289&amp;"-"&amp;L289&amp;"-"&amp;N289</f>
        <v>5-DaHall1-PDU-01-30-2</v>
      </c>
      <c r="J289" s="1599" t="str">
        <f t="shared" si="114"/>
        <v>5-DaHall1-PDU-02-30-2</v>
      </c>
      <c r="K289" s="1638">
        <v>220</v>
      </c>
      <c r="L289" s="1639">
        <v>30</v>
      </c>
      <c r="M289" s="2383" t="s">
        <v>6497</v>
      </c>
      <c r="N289" s="1640">
        <v>2</v>
      </c>
      <c r="O289" s="1641">
        <v>220</v>
      </c>
      <c r="P289" s="1642">
        <v>30</v>
      </c>
      <c r="Q289" s="2413" t="s">
        <v>6493</v>
      </c>
      <c r="R289" s="1643">
        <v>2</v>
      </c>
      <c r="S289" s="3605"/>
      <c r="T289" s="3596"/>
      <c r="U289" s="3599"/>
      <c r="V289" s="3602"/>
      <c r="W289" s="3599"/>
      <c r="X289" s="3602"/>
      <c r="Y289" s="834">
        <f>SUM('5층_부하량(월간_AVG)'!N28:P28)</f>
        <v>0</v>
      </c>
      <c r="Z289" s="834">
        <f>SUM('5층_부하량(월간_AVG)'!N58:P58)</f>
        <v>0</v>
      </c>
      <c r="AA289" s="2457">
        <f>SUM(Y289:Z289)</f>
        <v>0</v>
      </c>
      <c r="AB289" s="2745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0</v>
      </c>
      <c r="AC289" s="2746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0</v>
      </c>
      <c r="AD289" s="2484">
        <f t="shared" si="112"/>
        <v>0</v>
      </c>
      <c r="AE289" s="2526"/>
      <c r="AG289" s="2367">
        <f t="shared" si="118"/>
        <v>0</v>
      </c>
      <c r="AH289" s="2367">
        <f t="shared" si="119"/>
        <v>0</v>
      </c>
      <c r="AI289" s="123" t="str">
        <f t="shared" si="115"/>
        <v>무부하 랙</v>
      </c>
      <c r="AJ289" t="str">
        <f t="shared" si="116"/>
        <v/>
      </c>
      <c r="AK289" t="str">
        <f t="shared" si="117"/>
        <v/>
      </c>
      <c r="AP289" s="123"/>
      <c r="AQ289" s="123"/>
      <c r="AR289" s="123"/>
      <c r="AS289" s="3084"/>
      <c r="AT289" s="123"/>
      <c r="AU289" s="123"/>
      <c r="AV289" s="3092"/>
      <c r="AW289" s="3086"/>
      <c r="AX289" s="3087"/>
      <c r="AY289" s="3088"/>
      <c r="AZ289" s="3089"/>
      <c r="BA289" s="3090"/>
      <c r="BB289" s="1"/>
    </row>
    <row r="290" spans="1:54" ht="28.8">
      <c r="A290" s="2652"/>
      <c r="B290" s="2712" t="s">
        <v>3455</v>
      </c>
      <c r="C290" s="886"/>
      <c r="D290" s="886"/>
      <c r="E290" s="2712" t="s">
        <v>3456</v>
      </c>
      <c r="F290" s="2712" t="s">
        <v>3457</v>
      </c>
      <c r="G290" s="1103" t="s">
        <v>3458</v>
      </c>
      <c r="H290" s="1104" t="s">
        <v>3459</v>
      </c>
      <c r="I290" s="1598" t="str">
        <f>"5-DaHall1-PDU-"&amp;M290&amp;"-"&amp;L290&amp;"-"&amp;N290</f>
        <v>5-DaHall1-PDU-01-30-8</v>
      </c>
      <c r="J290" s="1599" t="str">
        <f t="shared" si="114"/>
        <v>5-DaHall1-PDU-02-30-8</v>
      </c>
      <c r="K290" s="1638">
        <v>220</v>
      </c>
      <c r="L290" s="1639">
        <v>30</v>
      </c>
      <c r="M290" s="2383" t="s">
        <v>6497</v>
      </c>
      <c r="N290" s="1640">
        <v>8</v>
      </c>
      <c r="O290" s="1641">
        <v>220</v>
      </c>
      <c r="P290" s="1642">
        <v>30</v>
      </c>
      <c r="Q290" s="2413" t="s">
        <v>6493</v>
      </c>
      <c r="R290" s="1643">
        <v>8</v>
      </c>
      <c r="S290" s="3606"/>
      <c r="T290" s="3597"/>
      <c r="U290" s="3600"/>
      <c r="V290" s="3603"/>
      <c r="W290" s="3600"/>
      <c r="X290" s="3603"/>
      <c r="Y290" s="834">
        <f>SUM('5층_부하량(월간_AVG)'!N31:P31)</f>
        <v>0</v>
      </c>
      <c r="Z290" s="834">
        <f>SUM('5층_부하량(월간_AVG)'!N61:P61)</f>
        <v>0</v>
      </c>
      <c r="AA290" s="2457">
        <f>SUM(Y290:Z290)</f>
        <v>0</v>
      </c>
      <c r="AB290" s="2745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0</v>
      </c>
      <c r="AC290" s="2746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0</v>
      </c>
      <c r="AD290" s="2484">
        <f t="shared" si="112"/>
        <v>0</v>
      </c>
      <c r="AE290" s="2526"/>
      <c r="AG290" s="2367">
        <f t="shared" si="118"/>
        <v>0</v>
      </c>
      <c r="AH290" s="2367">
        <f t="shared" si="119"/>
        <v>0</v>
      </c>
      <c r="AI290" s="123" t="str">
        <f t="shared" si="115"/>
        <v>무부하 랙</v>
      </c>
      <c r="AJ290" t="str">
        <f t="shared" si="116"/>
        <v/>
      </c>
      <c r="AK290" t="str">
        <f t="shared" si="117"/>
        <v/>
      </c>
      <c r="AP290" s="123"/>
      <c r="AQ290" s="123"/>
      <c r="AR290" s="123"/>
      <c r="AS290" s="3084"/>
      <c r="AT290" s="123"/>
      <c r="AU290" s="123"/>
      <c r="AV290" s="3092"/>
      <c r="AW290" s="3086"/>
      <c r="AX290" s="3087"/>
      <c r="AY290" s="3088"/>
      <c r="AZ290" s="3089"/>
      <c r="BA290" s="3090"/>
      <c r="BB290" s="1"/>
    </row>
    <row r="291" spans="1:54" ht="27.75" customHeight="1">
      <c r="A291" s="1086"/>
      <c r="B291" s="2712" t="s">
        <v>3460</v>
      </c>
      <c r="C291" s="886"/>
      <c r="D291" s="886"/>
      <c r="E291" s="2712" t="s">
        <v>3461</v>
      </c>
      <c r="F291" s="2712" t="s">
        <v>3462</v>
      </c>
      <c r="G291" s="2710" t="s">
        <v>3463</v>
      </c>
      <c r="H291" s="2706" t="s">
        <v>3464</v>
      </c>
      <c r="I291" s="1598" t="str">
        <f>"5-DaHall1-PDU-"&amp;M291&amp;"-"&amp;L291&amp;"-"&amp;N291</f>
        <v>5-DaHall1-PDU-01-30-27</v>
      </c>
      <c r="J291" s="1599" t="str">
        <f t="shared" si="114"/>
        <v>5-DaHall1-PDU-02-30-27</v>
      </c>
      <c r="K291" s="1561">
        <v>220</v>
      </c>
      <c r="L291" s="1562">
        <v>30</v>
      </c>
      <c r="M291" s="2380" t="s">
        <v>6497</v>
      </c>
      <c r="N291" s="1563">
        <v>27</v>
      </c>
      <c r="O291" s="1564">
        <v>220</v>
      </c>
      <c r="P291" s="1565">
        <v>30</v>
      </c>
      <c r="Q291" s="2410" t="s">
        <v>6493</v>
      </c>
      <c r="R291" s="1566">
        <v>27</v>
      </c>
      <c r="S291" s="3611" t="s">
        <v>2828</v>
      </c>
      <c r="T291" s="3613" t="s">
        <v>2829</v>
      </c>
      <c r="U291" s="3615" t="s">
        <v>2830</v>
      </c>
      <c r="V291" s="3617" t="s">
        <v>2831</v>
      </c>
      <c r="W291" s="3615" t="s">
        <v>2484</v>
      </c>
      <c r="X291" s="3617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57">
        <f t="shared" ref="AA291:AA309" si="121">SUM(Y291:Z291)</f>
        <v>0</v>
      </c>
      <c r="AB291" s="2745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0</v>
      </c>
      <c r="AC291" s="2746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0</v>
      </c>
      <c r="AD291" s="2484">
        <f t="shared" si="112"/>
        <v>0</v>
      </c>
      <c r="AE291" s="2526"/>
      <c r="AG291" s="2367">
        <f t="shared" si="118"/>
        <v>0</v>
      </c>
      <c r="AH291" s="2367">
        <f t="shared" si="119"/>
        <v>0</v>
      </c>
      <c r="AI291" s="123" t="str">
        <f t="shared" si="115"/>
        <v>무부하 랙</v>
      </c>
      <c r="AJ291" t="str">
        <f t="shared" si="116"/>
        <v/>
      </c>
      <c r="AK291" t="str">
        <f t="shared" si="117"/>
        <v/>
      </c>
      <c r="AP291" s="123"/>
      <c r="AQ291" s="123"/>
      <c r="AR291" s="123"/>
      <c r="AS291" s="3084"/>
      <c r="AT291" s="123"/>
      <c r="AU291" s="123"/>
      <c r="AV291" s="3092"/>
      <c r="AW291" s="3086"/>
      <c r="AX291" s="3087"/>
      <c r="AY291" s="3088"/>
      <c r="AZ291" s="3089"/>
      <c r="BA291" s="3090"/>
      <c r="BB291" s="1"/>
    </row>
    <row r="292" spans="1:54" ht="29.4" thickBot="1">
      <c r="A292" s="1087"/>
      <c r="B292" s="839" t="s">
        <v>3210</v>
      </c>
      <c r="C292" s="975"/>
      <c r="D292" s="975"/>
      <c r="E292" s="839" t="s">
        <v>3465</v>
      </c>
      <c r="F292" s="839" t="s">
        <v>3466</v>
      </c>
      <c r="G292" s="2711" t="s">
        <v>3467</v>
      </c>
      <c r="H292" s="2707" t="s">
        <v>3468</v>
      </c>
      <c r="I292" s="1600" t="str">
        <f>"5-DaHall1-PDU-"&amp;M292&amp;"-"&amp;L292&amp;"-"&amp;N292</f>
        <v>5-DaHall1-PDU-01-30-29</v>
      </c>
      <c r="J292" s="1601" t="str">
        <f t="shared" si="114"/>
        <v>5-DaHall1-PDU-02-30-29</v>
      </c>
      <c r="K292" s="1571">
        <v>220</v>
      </c>
      <c r="L292" s="1572">
        <v>30</v>
      </c>
      <c r="M292" s="2381" t="s">
        <v>6497</v>
      </c>
      <c r="N292" s="1573">
        <v>29</v>
      </c>
      <c r="O292" s="1574">
        <v>220</v>
      </c>
      <c r="P292" s="1575">
        <v>30</v>
      </c>
      <c r="Q292" s="2411" t="s">
        <v>6493</v>
      </c>
      <c r="R292" s="1576">
        <v>29</v>
      </c>
      <c r="S292" s="3612"/>
      <c r="T292" s="3614"/>
      <c r="U292" s="3616"/>
      <c r="V292" s="3618"/>
      <c r="W292" s="3616"/>
      <c r="X292" s="3618"/>
      <c r="Y292" s="850">
        <f>SUM('5층_부하량(월간_AVG)'!D42:F42)</f>
        <v>0</v>
      </c>
      <c r="Z292" s="850">
        <f>SUM('5층_부하량(월간_AVG)'!D72:F72)</f>
        <v>0</v>
      </c>
      <c r="AA292" s="2456">
        <f t="shared" si="121"/>
        <v>0</v>
      </c>
      <c r="AB292" s="2767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0</v>
      </c>
      <c r="AC292" s="2768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0</v>
      </c>
      <c r="AD292" s="2483">
        <f>SUM(AB292:AC292)</f>
        <v>0</v>
      </c>
      <c r="AE292" s="2529" t="s">
        <v>3028</v>
      </c>
      <c r="AG292" s="2367">
        <f t="shared" si="118"/>
        <v>0</v>
      </c>
      <c r="AH292" s="2367">
        <f t="shared" si="119"/>
        <v>0</v>
      </c>
      <c r="AI292" s="123" t="str">
        <f t="shared" si="115"/>
        <v>무부하 랙</v>
      </c>
      <c r="AJ292" t="str">
        <f t="shared" si="116"/>
        <v/>
      </c>
      <c r="AK292" t="str">
        <f t="shared" si="117"/>
        <v/>
      </c>
      <c r="AP292" s="123"/>
      <c r="AQ292" s="123"/>
      <c r="AR292" s="123"/>
      <c r="AS292" s="3084"/>
      <c r="AT292" s="123"/>
      <c r="AU292" s="123"/>
      <c r="AV292" s="3092"/>
      <c r="AW292" s="3086"/>
      <c r="AX292" s="3087"/>
      <c r="AY292" s="3088"/>
      <c r="AZ292" s="3089"/>
      <c r="BA292" s="3090"/>
      <c r="BB292" s="1"/>
    </row>
    <row r="293" spans="1:54" ht="58.8" thickTop="1" thickBot="1">
      <c r="A293" s="1119"/>
      <c r="B293" s="1097"/>
      <c r="C293" s="1120"/>
      <c r="D293" s="1120"/>
      <c r="E293" s="1121"/>
      <c r="F293" s="1098"/>
      <c r="G293" s="1121"/>
      <c r="H293" s="1099" t="s">
        <v>3469</v>
      </c>
      <c r="I293" s="1679"/>
      <c r="J293" s="1680" t="str">
        <f t="shared" si="114"/>
        <v>5-DaHall1-PDU-14-20-32</v>
      </c>
      <c r="K293" s="1681"/>
      <c r="L293" s="1682"/>
      <c r="M293" s="1121"/>
      <c r="N293" s="1683"/>
      <c r="O293" s="1684">
        <v>220</v>
      </c>
      <c r="P293" s="1685">
        <v>20</v>
      </c>
      <c r="Q293" s="2426" t="s">
        <v>6549</v>
      </c>
      <c r="R293" s="1686">
        <v>32</v>
      </c>
      <c r="S293" s="1121"/>
      <c r="T293" s="1099" t="s">
        <v>2639</v>
      </c>
      <c r="U293" s="1121"/>
      <c r="V293" s="1122" t="s">
        <v>2640</v>
      </c>
      <c r="W293" s="1121"/>
      <c r="X293" s="1122" t="s">
        <v>2485</v>
      </c>
      <c r="Y293" s="1121"/>
      <c r="Z293" s="1123">
        <f>SUM('5층_부하량(월간_AVG)'!N410:P410)</f>
        <v>0</v>
      </c>
      <c r="AA293" s="2465">
        <f t="shared" si="121"/>
        <v>0</v>
      </c>
      <c r="AB293" s="2804"/>
      <c r="AC293" s="2805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0</v>
      </c>
      <c r="AD293" s="2538">
        <f>SUM(AB293:AC293)</f>
        <v>0</v>
      </c>
      <c r="AE293" s="2534"/>
      <c r="AG293" s="2367">
        <f t="shared" si="118"/>
        <v>0</v>
      </c>
      <c r="AH293" s="2367">
        <f t="shared" si="119"/>
        <v>0</v>
      </c>
      <c r="AI293" s="123" t="str">
        <f t="shared" si="115"/>
        <v>무부하 랙</v>
      </c>
      <c r="AJ293" t="str">
        <f t="shared" si="116"/>
        <v/>
      </c>
      <c r="AK293" t="str">
        <f t="shared" si="117"/>
        <v/>
      </c>
      <c r="AP293" s="123"/>
      <c r="AQ293" s="123"/>
      <c r="AR293" s="123"/>
      <c r="AS293" s="3084"/>
      <c r="AT293" s="123"/>
      <c r="AU293" s="123"/>
      <c r="AV293" s="3092"/>
      <c r="AW293" s="3086"/>
      <c r="AX293" s="3087"/>
      <c r="AY293" s="3088"/>
      <c r="AZ293" s="3089"/>
      <c r="BA293" s="3090"/>
      <c r="BB293" s="1"/>
    </row>
    <row r="294" spans="1:54" s="350" customFormat="1" ht="70.2" thickTop="1">
      <c r="A294" s="3619"/>
      <c r="B294" s="3621" t="s">
        <v>3470</v>
      </c>
      <c r="C294" s="1376" t="s">
        <v>9308</v>
      </c>
      <c r="D294" s="3632">
        <v>22</v>
      </c>
      <c r="E294" s="1377" t="s">
        <v>2733</v>
      </c>
      <c r="F294" s="1377" t="s">
        <v>2733</v>
      </c>
      <c r="G294" s="1214" t="s">
        <v>2733</v>
      </c>
      <c r="H294" s="1378" t="s">
        <v>2733</v>
      </c>
      <c r="I294" s="1687"/>
      <c r="J294" s="1688"/>
      <c r="K294" s="1689"/>
      <c r="L294" s="1690"/>
      <c r="M294" s="1214" t="s">
        <v>2733</v>
      </c>
      <c r="N294" s="1691" t="s">
        <v>2733</v>
      </c>
      <c r="O294" s="1692"/>
      <c r="P294" s="1693"/>
      <c r="Q294" s="1378" t="s">
        <v>2733</v>
      </c>
      <c r="R294" s="1694" t="s">
        <v>2733</v>
      </c>
      <c r="S294" s="1214" t="s">
        <v>3471</v>
      </c>
      <c r="T294" s="1379"/>
      <c r="U294" s="1214" t="s">
        <v>3472</v>
      </c>
      <c r="V294" s="1379"/>
      <c r="W294" s="1214" t="s">
        <v>2484</v>
      </c>
      <c r="X294" s="1379"/>
      <c r="Y294" s="1112">
        <f>SUM('5층_부하량(월간_AVG)'!N463:P463)</f>
        <v>15.250100703379672</v>
      </c>
      <c r="Z294" s="874"/>
      <c r="AA294" s="2493">
        <f t="shared" si="121"/>
        <v>15.250100703379672</v>
      </c>
      <c r="AB294" s="2725"/>
      <c r="AC294" s="2726"/>
      <c r="AD294" s="2479"/>
      <c r="AE294" s="3623" t="s">
        <v>9310</v>
      </c>
      <c r="AG294" s="2367">
        <f t="shared" si="118"/>
        <v>0</v>
      </c>
      <c r="AH294" s="2367">
        <f t="shared" si="119"/>
        <v>22</v>
      </c>
      <c r="AI294" s="123" t="str">
        <f t="shared" si="115"/>
        <v>무부하 랙</v>
      </c>
      <c r="AJ294" t="str">
        <f t="shared" si="116"/>
        <v/>
      </c>
      <c r="AK294" t="str">
        <f t="shared" si="117"/>
        <v/>
      </c>
      <c r="AP294" s="123"/>
      <c r="AQ294" s="123"/>
      <c r="AR294" s="123"/>
      <c r="AS294" s="3084"/>
      <c r="AT294" s="123"/>
      <c r="AU294" s="123"/>
      <c r="AV294" s="3092"/>
      <c r="AW294" s="3086"/>
      <c r="AX294" s="3087"/>
      <c r="AY294" s="3088"/>
      <c r="AZ294" s="3089"/>
      <c r="BA294" s="3090"/>
      <c r="BB294" s="1"/>
    </row>
    <row r="295" spans="1:54" s="350" customFormat="1" ht="69.599999999999994">
      <c r="A295" s="3620"/>
      <c r="B295" s="3622"/>
      <c r="C295" s="1380" t="s">
        <v>9309</v>
      </c>
      <c r="D295" s="3580"/>
      <c r="E295" s="1381" t="s">
        <v>2733</v>
      </c>
      <c r="F295" s="1381" t="s">
        <v>2733</v>
      </c>
      <c r="G295" s="2699" t="s">
        <v>2733</v>
      </c>
      <c r="H295" s="2702" t="s">
        <v>2733</v>
      </c>
      <c r="I295" s="1695"/>
      <c r="J295" s="1696"/>
      <c r="K295" s="1697"/>
      <c r="L295" s="1698"/>
      <c r="M295" s="2699" t="s">
        <v>2733</v>
      </c>
      <c r="N295" s="1699" t="s">
        <v>2733</v>
      </c>
      <c r="O295" s="1700"/>
      <c r="P295" s="1701"/>
      <c r="Q295" s="2702" t="s">
        <v>2733</v>
      </c>
      <c r="R295" s="1702" t="s">
        <v>2733</v>
      </c>
      <c r="S295" s="1382"/>
      <c r="T295" s="2702" t="s">
        <v>3473</v>
      </c>
      <c r="U295" s="1382"/>
      <c r="V295" s="2702" t="s">
        <v>3474</v>
      </c>
      <c r="W295" s="1382"/>
      <c r="X295" s="1383" t="s">
        <v>3475</v>
      </c>
      <c r="Y295" s="3020"/>
      <c r="Z295" s="1368">
        <f>SUM('5층_부하량(월간_AVG)'!N484:P484)</f>
        <v>11.176248294456569</v>
      </c>
      <c r="AA295" s="2494">
        <f t="shared" si="121"/>
        <v>11.176248294456569</v>
      </c>
      <c r="AB295" s="2806"/>
      <c r="AC295" s="2807"/>
      <c r="AD295" s="2480"/>
      <c r="AE295" s="3624"/>
      <c r="AG295" s="2367">
        <f t="shared" si="118"/>
        <v>0</v>
      </c>
      <c r="AH295" s="2367">
        <f t="shared" si="119"/>
        <v>0</v>
      </c>
      <c r="AI295" s="123" t="str">
        <f t="shared" si="115"/>
        <v>무부하 랙</v>
      </c>
      <c r="AJ295" t="str">
        <f t="shared" si="116"/>
        <v/>
      </c>
      <c r="AK295" t="str">
        <f t="shared" si="117"/>
        <v/>
      </c>
      <c r="AP295" s="123"/>
      <c r="AQ295" s="123"/>
      <c r="AR295" s="123"/>
      <c r="AS295" s="3084"/>
      <c r="AT295" s="123"/>
      <c r="AU295" s="123"/>
      <c r="AV295" s="3092"/>
      <c r="AW295" s="3086"/>
      <c r="AX295" s="3087"/>
      <c r="AY295" s="3088"/>
      <c r="AZ295" s="3089"/>
      <c r="BA295" s="3090"/>
      <c r="BB295" s="1"/>
    </row>
    <row r="296" spans="1:54" s="350" customFormat="1" ht="54.75" customHeight="1">
      <c r="A296" s="2703"/>
      <c r="B296" s="3625" t="s">
        <v>3476</v>
      </c>
      <c r="C296" s="1384" t="s">
        <v>3477</v>
      </c>
      <c r="D296" s="3580"/>
      <c r="E296" s="1385" t="s">
        <v>3478</v>
      </c>
      <c r="F296" s="1385" t="s">
        <v>3479</v>
      </c>
      <c r="G296" s="1386" t="s">
        <v>3480</v>
      </c>
      <c r="H296" s="2693" t="s">
        <v>3481</v>
      </c>
      <c r="I296" s="1703" t="str">
        <f>"5-DaHall1-PDU-"&amp;M296&amp;"-"&amp;L296&amp;"-"&amp;N296</f>
        <v>5-DaHall1-PDU-15-30-13</v>
      </c>
      <c r="J296" s="1704" t="str">
        <f>"5-DaHall1-PDU-"&amp;Q296&amp;"-"&amp;P296&amp;"-"&amp;R296</f>
        <v>5-DaHall1-PDU-16-30-13</v>
      </c>
      <c r="K296" s="1705">
        <v>220</v>
      </c>
      <c r="L296" s="1706">
        <v>30</v>
      </c>
      <c r="M296" s="2401" t="s">
        <v>6543</v>
      </c>
      <c r="N296" s="1707">
        <v>13</v>
      </c>
      <c r="O296" s="1708">
        <v>220</v>
      </c>
      <c r="P296" s="1709">
        <v>30</v>
      </c>
      <c r="Q296" s="2427" t="s">
        <v>6550</v>
      </c>
      <c r="R296" s="1710">
        <v>13</v>
      </c>
      <c r="S296" s="3627" t="s">
        <v>2568</v>
      </c>
      <c r="T296" s="2693" t="s">
        <v>2569</v>
      </c>
      <c r="U296" s="3627" t="s">
        <v>2570</v>
      </c>
      <c r="V296" s="2693" t="s">
        <v>3482</v>
      </c>
      <c r="W296" s="3627" t="s">
        <v>3483</v>
      </c>
      <c r="X296" s="2695" t="s">
        <v>3475</v>
      </c>
      <c r="Y296" s="1369">
        <f>SUM('5층_부하량(월간_AVG)'!D362:F362)</f>
        <v>0.65346146333438637</v>
      </c>
      <c r="Z296" s="253">
        <f>SUM('5층_부하량(월간_AVG)'!D421:F421)</f>
        <v>1.628022975581813</v>
      </c>
      <c r="AA296" s="2495">
        <f t="shared" si="121"/>
        <v>2.2814844389161992</v>
      </c>
      <c r="AB296" s="2727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92</v>
      </c>
      <c r="AC296" s="2728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264.89999999999998</v>
      </c>
      <c r="AD296" s="2477">
        <f t="shared" ref="AD296:AD305" si="122">SUM(AB296:AC296)</f>
        <v>356.9</v>
      </c>
      <c r="AE296" s="2535"/>
      <c r="AG296" s="2367">
        <f t="shared" si="118"/>
        <v>0.47970430107526879</v>
      </c>
      <c r="AH296" s="2367">
        <f t="shared" si="119"/>
        <v>-0.47970430107526879</v>
      </c>
      <c r="AI296" s="123" t="str">
        <f t="shared" si="115"/>
        <v>사용초과</v>
      </c>
      <c r="AJ296" t="str">
        <f t="shared" si="116"/>
        <v>싱텔 SKB CWDM</v>
      </c>
      <c r="AK296">
        <f t="shared" si="117"/>
        <v>0</v>
      </c>
      <c r="AP296" s="123"/>
      <c r="AQ296" s="123"/>
      <c r="AR296" s="123"/>
      <c r="AS296" s="3084"/>
      <c r="AT296" s="123"/>
      <c r="AU296" s="123"/>
      <c r="AV296" s="3092"/>
      <c r="AW296" s="3086"/>
      <c r="AX296" s="3087"/>
      <c r="AY296" s="3088"/>
      <c r="AZ296" s="3089"/>
      <c r="BA296" s="3090"/>
      <c r="BB296" s="1"/>
    </row>
    <row r="297" spans="1:54" s="350" customFormat="1" ht="34.799999999999997">
      <c r="A297" s="2703"/>
      <c r="B297" s="3625"/>
      <c r="C297" s="1384" t="s">
        <v>3484</v>
      </c>
      <c r="D297" s="3580"/>
      <c r="E297" s="1385" t="s">
        <v>3485</v>
      </c>
      <c r="F297" s="1387"/>
      <c r="G297" s="2246" t="s">
        <v>3486</v>
      </c>
      <c r="H297" s="1387"/>
      <c r="I297" s="1703" t="str">
        <f>"5-DaHall1-PDU-"&amp;M297&amp;"-"&amp;L297&amp;"-"&amp;N297</f>
        <v>5-DaHall1-PDU-15-20-23</v>
      </c>
      <c r="J297" s="1711"/>
      <c r="K297" s="1705">
        <v>220</v>
      </c>
      <c r="L297" s="1706">
        <v>20</v>
      </c>
      <c r="M297" s="2401" t="s">
        <v>6543</v>
      </c>
      <c r="N297" s="1707">
        <v>23</v>
      </c>
      <c r="O297" s="1712"/>
      <c r="P297" s="1713"/>
      <c r="Q297" s="1387"/>
      <c r="R297" s="1714"/>
      <c r="S297" s="3627"/>
      <c r="T297" s="1387"/>
      <c r="U297" s="3627"/>
      <c r="V297" s="1387"/>
      <c r="W297" s="3627"/>
      <c r="X297" s="1387"/>
      <c r="Y297" s="1369">
        <f>SUM('5층_부하량(월간_AVG)'!D367:F367)</f>
        <v>2.3093530273432008</v>
      </c>
      <c r="Z297" s="253"/>
      <c r="AA297" s="2495">
        <f t="shared" si="121"/>
        <v>2.3093530273432008</v>
      </c>
      <c r="AB297" s="2727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362.4</v>
      </c>
      <c r="AC297" s="2728"/>
      <c r="AD297" s="2477">
        <f t="shared" si="122"/>
        <v>362.4</v>
      </c>
      <c r="AE297" s="2535"/>
      <c r="AG297" s="2367">
        <f t="shared" si="118"/>
        <v>0.48709677419354835</v>
      </c>
      <c r="AH297" s="2367">
        <f t="shared" si="119"/>
        <v>-0.48709677419354835</v>
      </c>
      <c r="AI297" s="123" t="str">
        <f t="shared" si="115"/>
        <v>사용초과</v>
      </c>
      <c r="AJ297" t="str">
        <f t="shared" si="116"/>
        <v>single-2</v>
      </c>
      <c r="AK297">
        <f t="shared" si="117"/>
        <v>0</v>
      </c>
      <c r="AP297" s="123"/>
      <c r="AQ297" s="123"/>
      <c r="AR297" s="123"/>
      <c r="AS297" s="3084"/>
      <c r="AT297" s="123"/>
      <c r="AU297" s="123"/>
      <c r="AV297" s="3092"/>
      <c r="AW297" s="3086"/>
      <c r="AX297" s="3087"/>
      <c r="AY297" s="3088"/>
      <c r="AZ297" s="3089"/>
      <c r="BA297" s="3090"/>
      <c r="BB297" s="1"/>
    </row>
    <row r="298" spans="1:54" s="350" customFormat="1" ht="34.799999999999997">
      <c r="A298" s="2703"/>
      <c r="B298" s="3625"/>
      <c r="C298" s="1384" t="s">
        <v>3487</v>
      </c>
      <c r="D298" s="3580"/>
      <c r="E298" s="1385" t="s">
        <v>3488</v>
      </c>
      <c r="F298" s="1387"/>
      <c r="G298" s="2247" t="s">
        <v>3489</v>
      </c>
      <c r="H298" s="1387"/>
      <c r="I298" s="1703" t="str">
        <f>"5-DaHall1-PDU-"&amp;M298&amp;"-"&amp;L298&amp;"-"&amp;N298</f>
        <v>5-DaHall1-PDU-15-20-29</v>
      </c>
      <c r="J298" s="1711"/>
      <c r="K298" s="1705">
        <v>220</v>
      </c>
      <c r="L298" s="1706">
        <v>20</v>
      </c>
      <c r="M298" s="2401" t="s">
        <v>6543</v>
      </c>
      <c r="N298" s="1707">
        <v>29</v>
      </c>
      <c r="O298" s="1712"/>
      <c r="P298" s="1713"/>
      <c r="Q298" s="1387"/>
      <c r="R298" s="1714"/>
      <c r="S298" s="3627"/>
      <c r="T298" s="1387"/>
      <c r="U298" s="3627"/>
      <c r="V298" s="1387"/>
      <c r="W298" s="3627"/>
      <c r="X298" s="1387"/>
      <c r="Y298" s="1369">
        <f>SUM('5층_부하량(월간_AVG)'!D370:F370)</f>
        <v>0.36553274157659882</v>
      </c>
      <c r="Z298" s="253"/>
      <c r="AA298" s="2495">
        <f t="shared" si="121"/>
        <v>0.36553274157659882</v>
      </c>
      <c r="AB298" s="2727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8" s="2728"/>
      <c r="AD298" s="2477">
        <f t="shared" si="122"/>
        <v>22.9</v>
      </c>
      <c r="AE298" s="2535"/>
      <c r="AG298" s="2367">
        <f t="shared" si="118"/>
        <v>3.0779569892473116E-2</v>
      </c>
      <c r="AH298" s="2367">
        <f t="shared" si="119"/>
        <v>-3.0779569892473116E-2</v>
      </c>
      <c r="AI298" s="123" t="str">
        <f t="shared" si="115"/>
        <v>사용초과</v>
      </c>
      <c r="AJ298" t="str">
        <f t="shared" si="116"/>
        <v>single-2</v>
      </c>
      <c r="AK298">
        <f t="shared" si="117"/>
        <v>0</v>
      </c>
      <c r="AP298" s="123"/>
      <c r="AQ298" s="123"/>
      <c r="AR298" s="123"/>
      <c r="AS298" s="3084"/>
      <c r="AT298" s="123"/>
      <c r="AU298" s="123"/>
      <c r="AV298" s="3092"/>
      <c r="AW298" s="3086"/>
      <c r="AX298" s="3087"/>
      <c r="AY298" s="3088"/>
      <c r="AZ298" s="3089"/>
      <c r="BA298" s="3090"/>
      <c r="BB298" s="1"/>
    </row>
    <row r="299" spans="1:54" s="350" customFormat="1" ht="69.599999999999994">
      <c r="A299" s="2703"/>
      <c r="B299" s="3625"/>
      <c r="C299" s="1384" t="s">
        <v>3490</v>
      </c>
      <c r="D299" s="3580"/>
      <c r="E299" s="1388"/>
      <c r="F299" s="1385" t="s">
        <v>3491</v>
      </c>
      <c r="G299" s="1388"/>
      <c r="H299" s="2693" t="s">
        <v>3492</v>
      </c>
      <c r="I299" s="1715"/>
      <c r="J299" s="1704" t="str">
        <f t="shared" ref="J299:J307" si="123">"5-DaHall1-PDU-"&amp;Q299&amp;"-"&amp;P299&amp;"-"&amp;R299</f>
        <v>5-DaHall1-PDU-16-20-15</v>
      </c>
      <c r="K299" s="1716"/>
      <c r="L299" s="1717"/>
      <c r="M299" s="1388"/>
      <c r="N299" s="1718"/>
      <c r="O299" s="1708">
        <v>220</v>
      </c>
      <c r="P299" s="1709">
        <v>20</v>
      </c>
      <c r="Q299" s="2427" t="s">
        <v>6550</v>
      </c>
      <c r="R299" s="1710">
        <v>15</v>
      </c>
      <c r="S299" s="1388"/>
      <c r="T299" s="3628" t="s">
        <v>3493</v>
      </c>
      <c r="U299" s="1388"/>
      <c r="V299" s="3628" t="s">
        <v>2571</v>
      </c>
      <c r="W299" s="1388"/>
      <c r="X299" s="3630" t="s">
        <v>3475</v>
      </c>
      <c r="Y299" s="1369"/>
      <c r="Z299" s="253">
        <f>SUM('5층_부하량(월간_AVG)'!D422:F422)</f>
        <v>2.4397514444955055</v>
      </c>
      <c r="AA299" s="2495">
        <f t="shared" si="121"/>
        <v>2.4397514444955055</v>
      </c>
      <c r="AB299" s="2727"/>
      <c r="AC299" s="2728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391.9</v>
      </c>
      <c r="AD299" s="2477">
        <f t="shared" si="122"/>
        <v>391.9</v>
      </c>
      <c r="AE299" s="2535"/>
      <c r="AG299" s="2367">
        <f t="shared" si="118"/>
        <v>0.52674731182795698</v>
      </c>
      <c r="AH299" s="2367">
        <f t="shared" si="119"/>
        <v>-0.52674731182795698</v>
      </c>
      <c r="AI299" s="123" t="str">
        <f t="shared" si="115"/>
        <v>사용초과</v>
      </c>
      <c r="AJ299" t="str">
        <f t="shared" si="116"/>
        <v>KT Rack #2 (소형 임시정류기)</v>
      </c>
      <c r="AK299">
        <f t="shared" si="117"/>
        <v>0</v>
      </c>
      <c r="AP299" s="123"/>
      <c r="AQ299" s="123"/>
      <c r="AR299" s="123"/>
      <c r="AS299" s="3084"/>
      <c r="AT299" s="123"/>
      <c r="AU299" s="123"/>
      <c r="AV299" s="3092"/>
      <c r="AW299" s="3086"/>
      <c r="AX299" s="3087"/>
      <c r="AY299" s="3088"/>
      <c r="AZ299" s="3089"/>
      <c r="BA299" s="3090"/>
      <c r="BB299" s="1"/>
    </row>
    <row r="300" spans="1:54" s="350" customFormat="1" ht="69.599999999999994">
      <c r="A300" s="2703"/>
      <c r="B300" s="3625"/>
      <c r="C300" s="1384" t="s">
        <v>3494</v>
      </c>
      <c r="D300" s="3580"/>
      <c r="E300" s="1388"/>
      <c r="F300" s="1385" t="s">
        <v>3494</v>
      </c>
      <c r="G300" s="1388"/>
      <c r="H300" s="2693" t="s">
        <v>3495</v>
      </c>
      <c r="I300" s="1715"/>
      <c r="J300" s="1704" t="str">
        <f t="shared" si="123"/>
        <v>5-DaHall1-PDU-16-20-17</v>
      </c>
      <c r="K300" s="1716"/>
      <c r="L300" s="1717"/>
      <c r="M300" s="1388"/>
      <c r="N300" s="1718"/>
      <c r="O300" s="1708">
        <v>220</v>
      </c>
      <c r="P300" s="1709">
        <v>20</v>
      </c>
      <c r="Q300" s="2427" t="s">
        <v>6550</v>
      </c>
      <c r="R300" s="1710">
        <v>17</v>
      </c>
      <c r="S300" s="1388"/>
      <c r="T300" s="3628"/>
      <c r="U300" s="1388"/>
      <c r="V300" s="3628"/>
      <c r="W300" s="1388"/>
      <c r="X300" s="3630"/>
      <c r="Y300" s="1369"/>
      <c r="Z300" s="253">
        <f>SUM('5층_부하량(월간_AVG)'!D423:F423)</f>
        <v>1.5902500821961043</v>
      </c>
      <c r="AA300" s="2495">
        <f t="shared" si="121"/>
        <v>1.5902500821961043</v>
      </c>
      <c r="AB300" s="2727"/>
      <c r="AC300" s="2728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249.4</v>
      </c>
      <c r="AD300" s="2477">
        <f t="shared" si="122"/>
        <v>249.4</v>
      </c>
      <c r="AE300" s="2535"/>
      <c r="AG300" s="2367">
        <f t="shared" si="118"/>
        <v>0.33521505376344085</v>
      </c>
      <c r="AH300" s="2367">
        <f t="shared" si="119"/>
        <v>-0.33521505376344085</v>
      </c>
      <c r="AI300" s="123" t="str">
        <f t="shared" si="115"/>
        <v>사용초과</v>
      </c>
      <c r="AJ300" t="str">
        <f t="shared" si="116"/>
        <v>KT Rack #3 (소형 임시정류기)</v>
      </c>
      <c r="AK300">
        <f t="shared" si="117"/>
        <v>0</v>
      </c>
      <c r="AP300" s="123"/>
      <c r="AQ300" s="123"/>
      <c r="AR300" s="123"/>
      <c r="AS300" s="3084"/>
      <c r="AT300" s="123"/>
      <c r="AU300" s="123"/>
      <c r="AV300" s="3092"/>
      <c r="AW300" s="3086"/>
      <c r="AX300" s="3087"/>
      <c r="AY300" s="3088"/>
      <c r="AZ300" s="3089"/>
      <c r="BA300" s="3090"/>
      <c r="BB300" s="1"/>
    </row>
    <row r="301" spans="1:54" s="350" customFormat="1" ht="69.599999999999994">
      <c r="A301" s="2703"/>
      <c r="B301" s="3625"/>
      <c r="C301" s="1384" t="s">
        <v>3496</v>
      </c>
      <c r="D301" s="3580"/>
      <c r="E301" s="1388"/>
      <c r="F301" s="1385" t="s">
        <v>3496</v>
      </c>
      <c r="G301" s="1388"/>
      <c r="H301" s="2693" t="s">
        <v>3497</v>
      </c>
      <c r="I301" s="1715"/>
      <c r="J301" s="1704" t="str">
        <f t="shared" si="123"/>
        <v>5-DaHall1-PDU-16-20-19</v>
      </c>
      <c r="K301" s="1716"/>
      <c r="L301" s="1717"/>
      <c r="M301" s="1388"/>
      <c r="N301" s="1718"/>
      <c r="O301" s="1708">
        <v>220</v>
      </c>
      <c r="P301" s="1709">
        <v>20</v>
      </c>
      <c r="Q301" s="2427" t="s">
        <v>6550</v>
      </c>
      <c r="R301" s="1710">
        <v>19</v>
      </c>
      <c r="S301" s="1388"/>
      <c r="T301" s="3628"/>
      <c r="U301" s="1388"/>
      <c r="V301" s="3628"/>
      <c r="W301" s="1388"/>
      <c r="X301" s="3630"/>
      <c r="Y301" s="1369"/>
      <c r="Z301" s="253">
        <f>SUM('5층_부하량(월간_AVG)'!D424:F424)</f>
        <v>0</v>
      </c>
      <c r="AA301" s="2495">
        <f t="shared" si="121"/>
        <v>0</v>
      </c>
      <c r="AB301" s="2727"/>
      <c r="AC301" s="2728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0</v>
      </c>
      <c r="AD301" s="2477">
        <f t="shared" si="122"/>
        <v>0</v>
      </c>
      <c r="AE301" s="2535"/>
      <c r="AG301" s="2367">
        <f t="shared" si="118"/>
        <v>0</v>
      </c>
      <c r="AH301" s="2367">
        <f t="shared" si="119"/>
        <v>0</v>
      </c>
      <c r="AI301" s="123" t="str">
        <f t="shared" si="115"/>
        <v>무부하 랙</v>
      </c>
      <c r="AJ301" t="str">
        <f t="shared" si="116"/>
        <v/>
      </c>
      <c r="AK301" t="str">
        <f t="shared" si="117"/>
        <v/>
      </c>
      <c r="AP301" s="123"/>
      <c r="AQ301" s="123"/>
      <c r="AR301" s="123"/>
      <c r="AS301" s="3084"/>
      <c r="AT301" s="123"/>
      <c r="AU301" s="123"/>
      <c r="AV301" s="3092"/>
      <c r="AW301" s="3086"/>
      <c r="AX301" s="3087"/>
      <c r="AY301" s="3088"/>
      <c r="AZ301" s="3089"/>
      <c r="BA301" s="3090"/>
      <c r="BB301" s="1"/>
    </row>
    <row r="302" spans="1:54" s="350" customFormat="1" ht="34.799999999999997">
      <c r="A302" s="2703"/>
      <c r="B302" s="3625"/>
      <c r="C302" s="1384" t="s">
        <v>3487</v>
      </c>
      <c r="D302" s="3580"/>
      <c r="E302" s="1388"/>
      <c r="F302" s="1385" t="s">
        <v>3498</v>
      </c>
      <c r="G302" s="1388"/>
      <c r="H302" s="2693" t="s">
        <v>3499</v>
      </c>
      <c r="I302" s="1715"/>
      <c r="J302" s="1704" t="str">
        <f t="shared" si="123"/>
        <v>5-DaHall1-PDU-16-20-23</v>
      </c>
      <c r="K302" s="1716"/>
      <c r="L302" s="1717"/>
      <c r="M302" s="1388"/>
      <c r="N302" s="1718"/>
      <c r="O302" s="1708">
        <v>220</v>
      </c>
      <c r="P302" s="1709">
        <v>20</v>
      </c>
      <c r="Q302" s="2427" t="s">
        <v>6550</v>
      </c>
      <c r="R302" s="1710">
        <v>23</v>
      </c>
      <c r="S302" s="1388"/>
      <c r="T302" s="3628"/>
      <c r="U302" s="1388"/>
      <c r="V302" s="3628"/>
      <c r="W302" s="1388"/>
      <c r="X302" s="3630"/>
      <c r="Y302" s="1369"/>
      <c r="Z302" s="253">
        <f>SUM('5층_부하량(월간_AVG)'!D426:F426)</f>
        <v>0</v>
      </c>
      <c r="AA302" s="2495">
        <f t="shared" si="121"/>
        <v>0</v>
      </c>
      <c r="AB302" s="2727"/>
      <c r="AC302" s="2728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0</v>
      </c>
      <c r="AD302" s="2477">
        <f t="shared" si="122"/>
        <v>0</v>
      </c>
      <c r="AE302" s="2535"/>
      <c r="AG302" s="2367">
        <f t="shared" si="118"/>
        <v>0</v>
      </c>
      <c r="AH302" s="2367">
        <f t="shared" si="119"/>
        <v>0</v>
      </c>
      <c r="AI302" s="123" t="str">
        <f t="shared" si="115"/>
        <v>무부하 랙</v>
      </c>
      <c r="AJ302" t="str">
        <f t="shared" si="116"/>
        <v/>
      </c>
      <c r="AK302" t="str">
        <f t="shared" si="117"/>
        <v/>
      </c>
      <c r="AP302" s="123"/>
      <c r="AQ302" s="123"/>
      <c r="AR302" s="123"/>
      <c r="AS302" s="3084"/>
      <c r="AT302" s="123"/>
      <c r="AU302" s="123"/>
      <c r="AV302" s="3092"/>
      <c r="AW302" s="3086"/>
      <c r="AX302" s="3087"/>
      <c r="AY302" s="3088"/>
      <c r="AZ302" s="3089"/>
      <c r="BA302" s="3090"/>
      <c r="BB302" s="1"/>
    </row>
    <row r="303" spans="1:54" s="350" customFormat="1" ht="34.799999999999997">
      <c r="A303" s="2703"/>
      <c r="B303" s="3625"/>
      <c r="C303" s="1384" t="s">
        <v>3484</v>
      </c>
      <c r="D303" s="3580"/>
      <c r="E303" s="1388"/>
      <c r="F303" s="1385"/>
      <c r="G303" s="1388"/>
      <c r="H303" s="2693" t="s">
        <v>3500</v>
      </c>
      <c r="I303" s="1715"/>
      <c r="J303" s="1704" t="str">
        <f t="shared" si="123"/>
        <v>5-DaHall1-PDU-16-20-25</v>
      </c>
      <c r="K303" s="1716"/>
      <c r="L303" s="1717"/>
      <c r="M303" s="1388"/>
      <c r="N303" s="1718"/>
      <c r="O303" s="1708">
        <v>220</v>
      </c>
      <c r="P303" s="1709">
        <v>20</v>
      </c>
      <c r="Q303" s="2427" t="s">
        <v>6550</v>
      </c>
      <c r="R303" s="1710">
        <v>25</v>
      </c>
      <c r="S303" s="1388"/>
      <c r="T303" s="3628"/>
      <c r="U303" s="1388"/>
      <c r="V303" s="3628"/>
      <c r="W303" s="1388"/>
      <c r="X303" s="3630"/>
      <c r="Y303" s="1369"/>
      <c r="Z303" s="253">
        <f>SUM('5층_부하량(월간_AVG)'!D427:F427)</f>
        <v>0.42394162566223559</v>
      </c>
      <c r="AA303" s="2495">
        <f t="shared" si="121"/>
        <v>0.42394162566223559</v>
      </c>
      <c r="AB303" s="2727"/>
      <c r="AC303" s="2728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3" s="2477">
        <f t="shared" si="122"/>
        <v>59.2</v>
      </c>
      <c r="AE303" s="2535"/>
      <c r="AG303" s="2367">
        <f t="shared" si="118"/>
        <v>7.9569892473118284E-2</v>
      </c>
      <c r="AH303" s="2367">
        <f t="shared" si="119"/>
        <v>-7.9569892473118284E-2</v>
      </c>
      <c r="AI303" s="123" t="str">
        <f t="shared" si="115"/>
        <v>사용초과</v>
      </c>
      <c r="AJ303" t="str">
        <f t="shared" si="116"/>
        <v>single-2</v>
      </c>
      <c r="AK303">
        <f t="shared" si="117"/>
        <v>0</v>
      </c>
      <c r="AP303" s="123"/>
      <c r="AQ303" s="123"/>
      <c r="AR303" s="123"/>
      <c r="AS303" s="3084"/>
      <c r="AT303" s="123"/>
      <c r="AU303" s="123"/>
      <c r="AV303" s="3092"/>
      <c r="AW303" s="3086"/>
      <c r="AX303" s="3087"/>
      <c r="AY303" s="3088"/>
      <c r="AZ303" s="3089"/>
      <c r="BA303" s="3090"/>
      <c r="BB303" s="1"/>
    </row>
    <row r="304" spans="1:54" s="350" customFormat="1" ht="69.599999999999994">
      <c r="A304" s="2703"/>
      <c r="B304" s="3625"/>
      <c r="C304" s="1384" t="s">
        <v>3484</v>
      </c>
      <c r="D304" s="3580"/>
      <c r="E304" s="1388"/>
      <c r="F304" s="1385" t="s">
        <v>3501</v>
      </c>
      <c r="G304" s="1388"/>
      <c r="H304" s="2693" t="s">
        <v>3502</v>
      </c>
      <c r="I304" s="1715"/>
      <c r="J304" s="1704" t="str">
        <f t="shared" si="123"/>
        <v>5-DaHall1-PDU-16-20-27</v>
      </c>
      <c r="K304" s="1716"/>
      <c r="L304" s="1717"/>
      <c r="M304" s="1388"/>
      <c r="N304" s="1718"/>
      <c r="O304" s="1708">
        <v>220</v>
      </c>
      <c r="P304" s="1709">
        <v>20</v>
      </c>
      <c r="Q304" s="2427" t="s">
        <v>6550</v>
      </c>
      <c r="R304" s="1710">
        <v>27</v>
      </c>
      <c r="S304" s="1388"/>
      <c r="T304" s="3628"/>
      <c r="U304" s="1388"/>
      <c r="V304" s="3628"/>
      <c r="W304" s="1388"/>
      <c r="X304" s="3630"/>
      <c r="Y304" s="1369"/>
      <c r="Z304" s="253">
        <f>SUM('5층_부하량(월간_AVG)'!D428:F428)</f>
        <v>1.4862448893907805</v>
      </c>
      <c r="AA304" s="2495">
        <f t="shared" si="121"/>
        <v>1.4862448893907805</v>
      </c>
      <c r="AB304" s="2727"/>
      <c r="AC304" s="2728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4" s="2477">
        <f t="shared" si="122"/>
        <v>232</v>
      </c>
      <c r="AE304" s="2535"/>
      <c r="AG304" s="2367">
        <f t="shared" si="118"/>
        <v>0.31182795698924731</v>
      </c>
      <c r="AH304" s="2367">
        <f t="shared" si="119"/>
        <v>-0.31182795698924731</v>
      </c>
      <c r="AI304" s="123" t="str">
        <f t="shared" si="115"/>
        <v>사용초과</v>
      </c>
      <c r="AJ304" t="str">
        <f t="shared" si="116"/>
        <v>single-2</v>
      </c>
      <c r="AK304">
        <f t="shared" si="117"/>
        <v>0</v>
      </c>
      <c r="AP304" s="123"/>
      <c r="AQ304" s="123"/>
      <c r="AR304" s="123"/>
      <c r="AS304" s="3084"/>
      <c r="AT304" s="123"/>
      <c r="AU304" s="123"/>
      <c r="AV304" s="3092"/>
      <c r="AW304" s="3086"/>
      <c r="AX304" s="3087"/>
      <c r="AY304" s="3088"/>
      <c r="AZ304" s="3089"/>
      <c r="BA304" s="3090"/>
      <c r="BB304" s="1"/>
    </row>
    <row r="305" spans="1:54" s="350" customFormat="1" ht="34.799999999999997">
      <c r="A305" s="2703"/>
      <c r="B305" s="3625"/>
      <c r="C305" s="1384" t="s">
        <v>3484</v>
      </c>
      <c r="D305" s="3580"/>
      <c r="E305" s="1388"/>
      <c r="F305" s="1385" t="s">
        <v>3503</v>
      </c>
      <c r="G305" s="1388"/>
      <c r="H305" s="2693" t="s">
        <v>3504</v>
      </c>
      <c r="I305" s="1715"/>
      <c r="J305" s="1704" t="str">
        <f t="shared" si="123"/>
        <v>5-DaHall1-PDU-16-20-29</v>
      </c>
      <c r="K305" s="1716"/>
      <c r="L305" s="1717"/>
      <c r="M305" s="1388"/>
      <c r="N305" s="1718"/>
      <c r="O305" s="1708">
        <v>220</v>
      </c>
      <c r="P305" s="1709">
        <v>20</v>
      </c>
      <c r="Q305" s="2427" t="s">
        <v>6550</v>
      </c>
      <c r="R305" s="1710">
        <v>29</v>
      </c>
      <c r="S305" s="1388"/>
      <c r="T305" s="3628"/>
      <c r="U305" s="1388"/>
      <c r="V305" s="3628"/>
      <c r="W305" s="1388"/>
      <c r="X305" s="3630"/>
      <c r="Y305" s="1369"/>
      <c r="Z305" s="253">
        <f>SUM('5층_부하량(월간_AVG)'!D429:F429)</f>
        <v>2.2200399134874798</v>
      </c>
      <c r="AA305" s="2495">
        <f t="shared" si="121"/>
        <v>2.2200399134874798</v>
      </c>
      <c r="AB305" s="2727"/>
      <c r="AC305" s="2728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349.5</v>
      </c>
      <c r="AD305" s="2477">
        <f t="shared" si="122"/>
        <v>349.5</v>
      </c>
      <c r="AE305" s="2535"/>
      <c r="AG305" s="2367">
        <f t="shared" si="118"/>
        <v>0.46975806451612906</v>
      </c>
      <c r="AH305" s="2367">
        <f t="shared" si="119"/>
        <v>-0.46975806451612906</v>
      </c>
      <c r="AI305" s="123" t="str">
        <f t="shared" si="115"/>
        <v>사용초과</v>
      </c>
      <c r="AJ305" t="str">
        <f t="shared" si="116"/>
        <v>single-2</v>
      </c>
      <c r="AK305">
        <f t="shared" si="117"/>
        <v>0</v>
      </c>
      <c r="AP305" s="123"/>
      <c r="AQ305" s="123"/>
      <c r="AR305" s="123"/>
      <c r="AS305" s="3084"/>
      <c r="AT305" s="123"/>
      <c r="AU305" s="123"/>
      <c r="AV305" s="3092"/>
      <c r="AW305" s="3086"/>
      <c r="AX305" s="3087"/>
      <c r="AY305" s="3088"/>
      <c r="AZ305" s="3089"/>
      <c r="BA305" s="3090"/>
      <c r="BB305" s="1"/>
    </row>
    <row r="306" spans="1:54" s="350" customFormat="1" ht="34.799999999999997">
      <c r="A306" s="2703"/>
      <c r="B306" s="3625"/>
      <c r="C306" s="1384" t="s">
        <v>3484</v>
      </c>
      <c r="D306" s="3580"/>
      <c r="E306" s="1388"/>
      <c r="F306" s="1385" t="s">
        <v>3505</v>
      </c>
      <c r="G306" s="1388"/>
      <c r="H306" s="2693" t="s">
        <v>3506</v>
      </c>
      <c r="I306" s="1715"/>
      <c r="J306" s="1704" t="str">
        <f t="shared" si="123"/>
        <v>5-DaHall1-PDU-16-20-24</v>
      </c>
      <c r="K306" s="1716"/>
      <c r="L306" s="1717"/>
      <c r="M306" s="1388"/>
      <c r="N306" s="1718"/>
      <c r="O306" s="1708">
        <v>220</v>
      </c>
      <c r="P306" s="1709">
        <v>20</v>
      </c>
      <c r="Q306" s="2427" t="s">
        <v>6550</v>
      </c>
      <c r="R306" s="1710">
        <v>24</v>
      </c>
      <c r="S306" s="1388"/>
      <c r="T306" s="3628"/>
      <c r="U306" s="1388"/>
      <c r="V306" s="3628"/>
      <c r="W306" s="1388"/>
      <c r="X306" s="3630"/>
      <c r="Y306" s="1369"/>
      <c r="Z306" s="253">
        <f>SUM('5층_부하량(월간_AVG)'!N426:P426)</f>
        <v>1.4848752702494019</v>
      </c>
      <c r="AA306" s="2495">
        <f t="shared" si="121"/>
        <v>1.4848752702494019</v>
      </c>
      <c r="AB306" s="2727"/>
      <c r="AC306" s="2728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222.9</v>
      </c>
      <c r="AD306" s="2477">
        <f>SUM(AB306:AC306)</f>
        <v>222.9</v>
      </c>
      <c r="AE306" s="2535"/>
      <c r="AG306" s="2367">
        <f t="shared" si="118"/>
        <v>0.29959677419354841</v>
      </c>
      <c r="AH306" s="2367">
        <f t="shared" si="119"/>
        <v>-0.29959677419354841</v>
      </c>
      <c r="AI306" s="123" t="str">
        <f t="shared" si="115"/>
        <v>사용초과</v>
      </c>
      <c r="AJ306" t="str">
        <f t="shared" si="116"/>
        <v>single-2</v>
      </c>
      <c r="AK306">
        <f t="shared" si="117"/>
        <v>0</v>
      </c>
      <c r="AP306" s="123"/>
      <c r="AQ306" s="123"/>
      <c r="AR306" s="123"/>
      <c r="AS306" s="3084"/>
      <c r="AT306" s="123"/>
      <c r="AU306" s="123"/>
      <c r="AV306" s="3092"/>
      <c r="AW306" s="3086"/>
      <c r="AX306" s="3087"/>
      <c r="AY306" s="3088"/>
      <c r="AZ306" s="3089"/>
      <c r="BA306" s="3090"/>
      <c r="BB306" s="1"/>
    </row>
    <row r="307" spans="1:54" s="350" customFormat="1" ht="35.4" thickBot="1">
      <c r="A307" s="2703"/>
      <c r="B307" s="3626"/>
      <c r="C307" s="1389" t="s">
        <v>3484</v>
      </c>
      <c r="D307" s="3633"/>
      <c r="E307" s="1390"/>
      <c r="F307" s="1391" t="s">
        <v>3507</v>
      </c>
      <c r="G307" s="1390"/>
      <c r="H307" s="2694" t="s">
        <v>3508</v>
      </c>
      <c r="I307" s="1719"/>
      <c r="J307" s="1720" t="str">
        <f t="shared" si="123"/>
        <v>5-DaHall1-PDU-16-20-30</v>
      </c>
      <c r="K307" s="1721"/>
      <c r="L307" s="1722"/>
      <c r="M307" s="1390"/>
      <c r="N307" s="1723"/>
      <c r="O307" s="1724">
        <v>220</v>
      </c>
      <c r="P307" s="1725">
        <v>20</v>
      </c>
      <c r="Q307" s="2428" t="s">
        <v>6550</v>
      </c>
      <c r="R307" s="1726">
        <v>30</v>
      </c>
      <c r="S307" s="1390"/>
      <c r="T307" s="3629"/>
      <c r="U307" s="1390"/>
      <c r="V307" s="3629"/>
      <c r="W307" s="1390"/>
      <c r="X307" s="3631"/>
      <c r="Y307" s="1370"/>
      <c r="Z307" s="329">
        <f>SUM('5층_부하량(월간_AVG)'!N429:P429)</f>
        <v>0.49722634850650282</v>
      </c>
      <c r="AA307" s="2496">
        <f t="shared" si="121"/>
        <v>0.49722634850650282</v>
      </c>
      <c r="AB307" s="2733"/>
      <c r="AC307" s="2734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7" s="2478">
        <f>SUM(AB307:AC307)</f>
        <v>42.2</v>
      </c>
      <c r="AE307" s="2536"/>
      <c r="AG307" s="2367">
        <f t="shared" si="118"/>
        <v>5.6720430107526885E-2</v>
      </c>
      <c r="AH307" s="2367">
        <f t="shared" si="119"/>
        <v>-5.6720430107526885E-2</v>
      </c>
      <c r="AI307" s="123" t="str">
        <f t="shared" si="115"/>
        <v>사용초과</v>
      </c>
      <c r="AJ307" t="str">
        <f t="shared" si="116"/>
        <v>single-2</v>
      </c>
      <c r="AK307">
        <f t="shared" si="117"/>
        <v>0</v>
      </c>
      <c r="AP307" s="123"/>
      <c r="AQ307" s="123"/>
      <c r="AR307" s="123"/>
      <c r="AS307" s="3084"/>
      <c r="AT307" s="123"/>
      <c r="AU307" s="123"/>
      <c r="AV307" s="3092"/>
      <c r="AW307" s="3086"/>
      <c r="AX307" s="3087"/>
      <c r="AY307" s="3088"/>
      <c r="AZ307" s="3089"/>
      <c r="BA307" s="3090"/>
      <c r="BB307" s="1"/>
    </row>
    <row r="308" spans="1:54" s="350" customFormat="1" ht="55.95" customHeight="1" thickTop="1">
      <c r="A308" s="3619"/>
      <c r="B308" s="3593" t="s">
        <v>3509</v>
      </c>
      <c r="C308" s="3005" t="s">
        <v>9227</v>
      </c>
      <c r="D308" s="3632">
        <v>80</v>
      </c>
      <c r="E308" s="1115" t="s">
        <v>3510</v>
      </c>
      <c r="F308" s="1116" t="s">
        <v>3511</v>
      </c>
      <c r="G308" s="1261" t="s">
        <v>2733</v>
      </c>
      <c r="H308" s="1262" t="s">
        <v>2733</v>
      </c>
      <c r="I308" s="1727"/>
      <c r="J308" s="1728"/>
      <c r="K308" s="1555"/>
      <c r="L308" s="1556"/>
      <c r="M308" s="1261" t="s">
        <v>2733</v>
      </c>
      <c r="N308" s="1729" t="s">
        <v>2733</v>
      </c>
      <c r="O308" s="1730">
        <v>380</v>
      </c>
      <c r="P308" s="1559"/>
      <c r="Q308" s="1262" t="s">
        <v>2733</v>
      </c>
      <c r="R308" s="1731" t="s">
        <v>2733</v>
      </c>
      <c r="S308" s="1117" t="s">
        <v>2733</v>
      </c>
      <c r="T308" s="1118" t="s">
        <v>2733</v>
      </c>
      <c r="U308" s="1214" t="s">
        <v>3512</v>
      </c>
      <c r="V308" s="1215" t="s">
        <v>3513</v>
      </c>
      <c r="W308" s="3638" t="s">
        <v>2484</v>
      </c>
      <c r="X308" s="3641" t="s">
        <v>2485</v>
      </c>
      <c r="Y308" s="1112">
        <f>SUM('5층_부하량(월간_AVG)'!N553:P553)</f>
        <v>0</v>
      </c>
      <c r="Z308" s="1112">
        <f>SUM('5층_부하량(월간_AVG)'!D553:F553)</f>
        <v>0</v>
      </c>
      <c r="AA308" s="2493">
        <f t="shared" si="121"/>
        <v>0</v>
      </c>
      <c r="AB308" s="2725"/>
      <c r="AC308" s="2726"/>
      <c r="AD308" s="2479"/>
      <c r="AE308" s="2808" t="s">
        <v>8734</v>
      </c>
      <c r="AG308" s="2367">
        <f t="shared" si="118"/>
        <v>0</v>
      </c>
      <c r="AH308" s="2367">
        <f t="shared" si="119"/>
        <v>80</v>
      </c>
      <c r="AI308" s="123" t="str">
        <f t="shared" si="115"/>
        <v>무부하 랙</v>
      </c>
      <c r="AJ308" t="str">
        <f t="shared" si="116"/>
        <v/>
      </c>
      <c r="AK308" t="str">
        <f t="shared" si="117"/>
        <v/>
      </c>
      <c r="AP308" s="123"/>
      <c r="AQ308" s="123"/>
      <c r="AR308" s="123"/>
      <c r="AS308" s="3084"/>
      <c r="AT308" s="123"/>
      <c r="AU308" s="123"/>
      <c r="AV308" s="3092"/>
      <c r="AW308" s="3086"/>
      <c r="AX308" s="3087"/>
      <c r="AY308" s="3088"/>
      <c r="AZ308" s="3089"/>
      <c r="BA308" s="3090"/>
      <c r="BB308" s="1"/>
    </row>
    <row r="309" spans="1:54" s="350" customFormat="1" ht="55.2" customHeight="1">
      <c r="A309" s="3620"/>
      <c r="B309" s="3636"/>
      <c r="C309" s="3006" t="s">
        <v>3515</v>
      </c>
      <c r="D309" s="3580"/>
      <c r="E309" s="2809" t="s">
        <v>3516</v>
      </c>
      <c r="F309" s="1392" t="s">
        <v>3517</v>
      </c>
      <c r="G309" s="2698" t="s">
        <v>2733</v>
      </c>
      <c r="H309" s="2700" t="s">
        <v>2733</v>
      </c>
      <c r="I309" s="1732"/>
      <c r="J309" s="1733"/>
      <c r="K309" s="1561"/>
      <c r="L309" s="1562"/>
      <c r="M309" s="2698" t="s">
        <v>2733</v>
      </c>
      <c r="N309" s="1734" t="s">
        <v>2733</v>
      </c>
      <c r="O309" s="1677">
        <v>380</v>
      </c>
      <c r="P309" s="1565"/>
      <c r="Q309" s="2700" t="s">
        <v>2733</v>
      </c>
      <c r="R309" s="1735" t="s">
        <v>2733</v>
      </c>
      <c r="S309" s="1393" t="s">
        <v>2733</v>
      </c>
      <c r="T309" s="1394" t="s">
        <v>2733</v>
      </c>
      <c r="U309" s="1386" t="s">
        <v>3518</v>
      </c>
      <c r="V309" s="2693" t="s">
        <v>3519</v>
      </c>
      <c r="W309" s="3639"/>
      <c r="X309" s="3642"/>
      <c r="Y309" s="1371">
        <f>SUM('5층_부하량(월간_AVG)'!N554:P554)</f>
        <v>0</v>
      </c>
      <c r="Z309" s="1371">
        <f>SUM('5층_부하량(월간_AVG)'!D554:F554)</f>
        <v>0</v>
      </c>
      <c r="AA309" s="2495">
        <f t="shared" si="121"/>
        <v>0</v>
      </c>
      <c r="AB309" s="2727"/>
      <c r="AC309" s="2728"/>
      <c r="AD309" s="2477"/>
      <c r="AE309" s="2810" t="s">
        <v>8735</v>
      </c>
      <c r="AG309" s="2367">
        <f t="shared" si="118"/>
        <v>0</v>
      </c>
      <c r="AH309" s="2367">
        <f t="shared" si="119"/>
        <v>0</v>
      </c>
      <c r="AI309" s="123" t="str">
        <f t="shared" si="115"/>
        <v>무부하 랙</v>
      </c>
      <c r="AJ309" t="str">
        <f t="shared" si="116"/>
        <v/>
      </c>
      <c r="AK309" t="str">
        <f t="shared" si="117"/>
        <v/>
      </c>
      <c r="AP309" s="123"/>
      <c r="AQ309" s="123"/>
      <c r="AR309" s="123"/>
      <c r="AS309" s="3084"/>
      <c r="AT309" s="123"/>
      <c r="AU309" s="123"/>
      <c r="AV309" s="3092"/>
      <c r="AW309" s="3086"/>
      <c r="AX309" s="3087"/>
      <c r="AY309" s="3088"/>
      <c r="AZ309" s="3089"/>
      <c r="BA309" s="3090"/>
      <c r="BB309" s="1"/>
    </row>
    <row r="310" spans="1:54" s="350" customFormat="1" ht="66" customHeight="1">
      <c r="A310" s="3620"/>
      <c r="B310" s="3636"/>
      <c r="C310" s="3006" t="s">
        <v>3515</v>
      </c>
      <c r="D310" s="3580"/>
      <c r="E310" s="2809" t="s">
        <v>3520</v>
      </c>
      <c r="F310" s="2811"/>
      <c r="G310" s="2698" t="s">
        <v>3521</v>
      </c>
      <c r="H310" s="1395"/>
      <c r="I310" s="1732" t="str">
        <f>"5-DaHall1-PDU-"&amp;M310&amp;"-"&amp;L310&amp;"-"&amp;N310</f>
        <v>5-DaHall1-PDU-15-50-1</v>
      </c>
      <c r="J310" s="1736"/>
      <c r="K310" s="1676">
        <v>380</v>
      </c>
      <c r="L310" s="1562">
        <v>50</v>
      </c>
      <c r="M310" s="2402" t="s">
        <v>6543</v>
      </c>
      <c r="N310" s="1734">
        <v>1</v>
      </c>
      <c r="O310" s="1737"/>
      <c r="P310" s="1587"/>
      <c r="Q310" s="1395"/>
      <c r="R310" s="1738"/>
      <c r="S310" s="3644" t="s">
        <v>2568</v>
      </c>
      <c r="T310" s="1396"/>
      <c r="U310" s="3645" t="s">
        <v>2570</v>
      </c>
      <c r="V310" s="1396"/>
      <c r="W310" s="3639"/>
      <c r="X310" s="3642"/>
      <c r="Y310" s="1371">
        <f>SUM('5층_부하량(월간_AVG)'!D356:F356)</f>
        <v>15.222311608612863</v>
      </c>
      <c r="Z310" s="1372"/>
      <c r="AA310" s="2812">
        <f>SUM(Y310:Z311)</f>
        <v>23.37753008081329</v>
      </c>
      <c r="AB310" s="2731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2223.8000000000002</v>
      </c>
      <c r="AC310" s="2732"/>
      <c r="AD310" s="2482">
        <f>SUM(AB310:AC310)</f>
        <v>2223.8000000000002</v>
      </c>
      <c r="AE310" s="2810"/>
      <c r="AG310" s="2367">
        <f t="shared" si="118"/>
        <v>2.9889784946236562</v>
      </c>
      <c r="AH310" s="2367">
        <f t="shared" si="119"/>
        <v>-2.9889784946236562</v>
      </c>
      <c r="AI310" s="123" t="str">
        <f t="shared" si="115"/>
        <v>사용초과</v>
      </c>
      <c r="AJ310" t="str">
        <f t="shared" si="116"/>
        <v>Telstra</v>
      </c>
      <c r="AK310">
        <f t="shared" si="117"/>
        <v>0</v>
      </c>
      <c r="AP310" s="123"/>
      <c r="AQ310" s="123"/>
      <c r="AR310" s="123"/>
      <c r="AS310" s="3084"/>
      <c r="AT310" s="123"/>
      <c r="AU310" s="123"/>
      <c r="AV310" s="3092"/>
      <c r="AW310" s="3086"/>
      <c r="AX310" s="3087"/>
      <c r="AY310" s="3088"/>
      <c r="AZ310" s="3089"/>
      <c r="BA310" s="3090"/>
      <c r="BB310" s="1"/>
    </row>
    <row r="311" spans="1:54" s="350" customFormat="1" ht="43.2" customHeight="1">
      <c r="A311" s="3620"/>
      <c r="B311" s="3636"/>
      <c r="C311" s="3006" t="s">
        <v>3515</v>
      </c>
      <c r="D311" s="3580"/>
      <c r="E311" s="2809" t="s">
        <v>3522</v>
      </c>
      <c r="F311" s="1397"/>
      <c r="G311" s="2698" t="s">
        <v>3523</v>
      </c>
      <c r="H311" s="1395"/>
      <c r="I311" s="1732" t="str">
        <f>"5-DaHall1-PDU-"&amp;M311&amp;"-"&amp;L311&amp;"-"&amp;N311</f>
        <v>5-DaHall1-PDU-15-50-2</v>
      </c>
      <c r="J311" s="1736"/>
      <c r="K311" s="1676">
        <v>380</v>
      </c>
      <c r="L311" s="1562">
        <v>50</v>
      </c>
      <c r="M311" s="2402" t="s">
        <v>6543</v>
      </c>
      <c r="N311" s="1734">
        <v>2</v>
      </c>
      <c r="O311" s="1737"/>
      <c r="P311" s="1587"/>
      <c r="Q311" s="1395"/>
      <c r="R311" s="1738"/>
      <c r="S311" s="3644"/>
      <c r="T311" s="1396"/>
      <c r="U311" s="3646"/>
      <c r="V311" s="1396"/>
      <c r="W311" s="3639"/>
      <c r="X311" s="3642"/>
      <c r="Y311" s="1371">
        <f>SUM('5층_부하량(월간_AVG)'!N356:P356)</f>
        <v>8.1552184722004277</v>
      </c>
      <c r="Z311" s="1372"/>
      <c r="AA311" s="2813"/>
      <c r="AB311" s="2731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1287</v>
      </c>
      <c r="AC311" s="2732"/>
      <c r="AD311" s="2482">
        <f t="shared" ref="AD311:AD312" si="124">SUM(AB311:AC311)</f>
        <v>1287</v>
      </c>
      <c r="AE311" s="2810"/>
      <c r="AG311" s="2367">
        <f t="shared" si="118"/>
        <v>1.7298387096774193</v>
      </c>
      <c r="AH311" s="2367">
        <f t="shared" si="119"/>
        <v>-1.7298387096774193</v>
      </c>
      <c r="AI311" s="123" t="str">
        <f t="shared" si="115"/>
        <v>사용초과</v>
      </c>
      <c r="AJ311" t="str">
        <f t="shared" si="116"/>
        <v>Telstra</v>
      </c>
      <c r="AK311">
        <f t="shared" si="117"/>
        <v>0</v>
      </c>
      <c r="AP311" s="123"/>
      <c r="AQ311" s="123"/>
      <c r="AR311" s="123"/>
      <c r="AS311" s="3084"/>
      <c r="AT311" s="123"/>
      <c r="AU311" s="123"/>
      <c r="AV311" s="3092"/>
      <c r="AW311" s="3086"/>
      <c r="AX311" s="3087"/>
      <c r="AY311" s="3088"/>
      <c r="AZ311" s="3089"/>
      <c r="BA311" s="3090"/>
      <c r="BB311" s="1"/>
    </row>
    <row r="312" spans="1:54" s="350" customFormat="1" ht="43.2" customHeight="1">
      <c r="A312" s="3620"/>
      <c r="B312" s="3636"/>
      <c r="C312" s="3006" t="s">
        <v>3515</v>
      </c>
      <c r="D312" s="3580"/>
      <c r="E312" s="2811"/>
      <c r="F312" s="2809" t="s">
        <v>3524</v>
      </c>
      <c r="G312" s="1398"/>
      <c r="H312" s="2700" t="s">
        <v>3525</v>
      </c>
      <c r="I312" s="1739"/>
      <c r="J312" s="1733" t="str">
        <f t="shared" ref="J312:J316" si="125">"5-DaHall1-PDU-"&amp;Q312&amp;"-"&amp;P312&amp;"-"&amp;R312</f>
        <v>5-DaHall1-PDU-16-50-1</v>
      </c>
      <c r="K312" s="1740"/>
      <c r="L312" s="1595"/>
      <c r="M312" s="1398"/>
      <c r="N312" s="1741"/>
      <c r="O312" s="1677">
        <v>380</v>
      </c>
      <c r="P312" s="1565">
        <v>50</v>
      </c>
      <c r="Q312" s="2429" t="s">
        <v>6550</v>
      </c>
      <c r="R312" s="1735">
        <v>1</v>
      </c>
      <c r="S312" s="1399"/>
      <c r="T312" s="3647" t="s">
        <v>2569</v>
      </c>
      <c r="U312" s="1399"/>
      <c r="V312" s="3649" t="s">
        <v>2571</v>
      </c>
      <c r="W312" s="3639"/>
      <c r="X312" s="3642"/>
      <c r="Y312" s="1372"/>
      <c r="Z312" s="1371">
        <f>SUM('5층_부하량(월간_AVG)'!D415:F415)</f>
        <v>12.106072989131004</v>
      </c>
      <c r="AA312" s="2812">
        <f>SUM(Y312:Z313)</f>
        <v>20.269392905362427</v>
      </c>
      <c r="AB312" s="2731"/>
      <c r="AC312" s="2732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1680.3</v>
      </c>
      <c r="AD312" s="2482">
        <f t="shared" si="124"/>
        <v>1680.3</v>
      </c>
      <c r="AE312" s="2810"/>
      <c r="AG312" s="2367">
        <f t="shared" si="118"/>
        <v>2.2584677419354837</v>
      </c>
      <c r="AH312" s="2367">
        <f t="shared" si="119"/>
        <v>-2.2584677419354837</v>
      </c>
      <c r="AI312" s="123" t="str">
        <f t="shared" si="115"/>
        <v>사용초과</v>
      </c>
      <c r="AJ312" t="str">
        <f t="shared" si="116"/>
        <v>Telstra</v>
      </c>
      <c r="AK312">
        <f t="shared" si="117"/>
        <v>0</v>
      </c>
      <c r="AP312" s="123"/>
      <c r="AQ312" s="123"/>
      <c r="AR312" s="123"/>
      <c r="AS312" s="3084"/>
      <c r="AT312" s="123"/>
      <c r="AU312" s="123"/>
      <c r="AV312" s="3092"/>
      <c r="AW312" s="3086"/>
      <c r="AX312" s="3087"/>
      <c r="AY312" s="3088"/>
      <c r="AZ312" s="3089"/>
      <c r="BA312" s="3090"/>
      <c r="BB312" s="1"/>
    </row>
    <row r="313" spans="1:54" s="350" customFormat="1" ht="43.95" customHeight="1" thickBot="1">
      <c r="A313" s="3620"/>
      <c r="B313" s="3636"/>
      <c r="C313" s="3006" t="s">
        <v>3515</v>
      </c>
      <c r="D313" s="3580"/>
      <c r="E313" s="2814"/>
      <c r="F313" s="2815" t="s">
        <v>3526</v>
      </c>
      <c r="G313" s="1400"/>
      <c r="H313" s="1113" t="s">
        <v>3527</v>
      </c>
      <c r="I313" s="1742"/>
      <c r="J313" s="1743" t="str">
        <f t="shared" si="125"/>
        <v>5-DaHall1-PDU-16-50-2</v>
      </c>
      <c r="K313" s="1744"/>
      <c r="L313" s="1627"/>
      <c r="M313" s="1400"/>
      <c r="N313" s="1745"/>
      <c r="O313" s="1746">
        <v>380</v>
      </c>
      <c r="P313" s="1575">
        <v>50</v>
      </c>
      <c r="Q313" s="2430" t="s">
        <v>6550</v>
      </c>
      <c r="R313" s="1747">
        <v>2</v>
      </c>
      <c r="S313" s="1401"/>
      <c r="T313" s="3648"/>
      <c r="U313" s="1401"/>
      <c r="V313" s="3650"/>
      <c r="W313" s="3640"/>
      <c r="X313" s="3643"/>
      <c r="Y313" s="1373"/>
      <c r="Z313" s="1114">
        <f>SUM('5층_부하량(월간_AVG)'!N415:P415)</f>
        <v>8.1633199162314227</v>
      </c>
      <c r="AA313" s="2816"/>
      <c r="AB313" s="2747"/>
      <c r="AC313" s="2748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1289.5</v>
      </c>
      <c r="AD313" s="2486">
        <f>SUM(AB313:AC313)</f>
        <v>1289.5</v>
      </c>
      <c r="AE313" s="2817"/>
      <c r="AG313" s="2367">
        <f t="shared" si="118"/>
        <v>1.7331989247311828</v>
      </c>
      <c r="AH313" s="2367">
        <f t="shared" si="119"/>
        <v>-1.7331989247311828</v>
      </c>
      <c r="AI313" s="123" t="str">
        <f t="shared" si="115"/>
        <v>사용초과</v>
      </c>
      <c r="AJ313" t="str">
        <f t="shared" si="116"/>
        <v>Telstra</v>
      </c>
      <c r="AK313">
        <f t="shared" si="117"/>
        <v>0</v>
      </c>
      <c r="AP313" s="123"/>
      <c r="AQ313" s="123"/>
      <c r="AR313" s="123"/>
      <c r="AS313" s="3084"/>
      <c r="AT313" s="123"/>
      <c r="AU313" s="123"/>
      <c r="AV313" s="3092"/>
      <c r="AW313" s="3086"/>
      <c r="AX313" s="3087"/>
      <c r="AY313" s="3088"/>
      <c r="AZ313" s="3089"/>
      <c r="BA313" s="3090"/>
      <c r="BB313" s="1"/>
    </row>
    <row r="314" spans="1:54" s="350" customFormat="1" ht="18.600000000000001" thickTop="1" thickBot="1">
      <c r="A314" s="3635"/>
      <c r="B314" s="3637"/>
      <c r="C314" s="3006" t="s">
        <v>3515</v>
      </c>
      <c r="D314" s="3633"/>
      <c r="E314" s="2818"/>
      <c r="F314" s="2818"/>
      <c r="G314" s="2322"/>
      <c r="H314" s="2323"/>
      <c r="I314" s="2324"/>
      <c r="J314" s="1743" t="str">
        <f t="shared" si="125"/>
        <v>5-DaHall1-PDU-16-20-21</v>
      </c>
      <c r="K314" s="2325"/>
      <c r="L314" s="2326"/>
      <c r="M314" s="2322"/>
      <c r="N314" s="2327"/>
      <c r="O314" s="2328">
        <v>220</v>
      </c>
      <c r="P314" s="2329">
        <v>20</v>
      </c>
      <c r="Q314" s="2431" t="s">
        <v>6550</v>
      </c>
      <c r="R314" s="2330">
        <v>21</v>
      </c>
      <c r="S314" s="2331"/>
      <c r="T314" s="2332"/>
      <c r="U314" s="2331"/>
      <c r="V314" s="2333"/>
      <c r="W314" s="2334"/>
      <c r="X314" s="2335"/>
      <c r="Y314" s="2336"/>
      <c r="Z314" s="2336">
        <f>SUM('5층_부하량(월간_AVG)'!D425:F425)</f>
        <v>0.36449277489594084</v>
      </c>
      <c r="AA314" s="2495">
        <f t="shared" ref="AA314" si="126">SUM(Y314:Z314)</f>
        <v>0.36449277489594084</v>
      </c>
      <c r="AB314" s="2727"/>
      <c r="AC314" s="2728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25.9</v>
      </c>
      <c r="AD314" s="2539">
        <f t="shared" ref="AD314" si="127">SUM(AB314:AC314)</f>
        <v>25.9</v>
      </c>
      <c r="AE314" s="2780"/>
      <c r="AG314" s="2367">
        <f t="shared" si="118"/>
        <v>3.4811827956989248E-2</v>
      </c>
      <c r="AH314" s="2367">
        <f t="shared" si="119"/>
        <v>-3.4811827956989248E-2</v>
      </c>
      <c r="AI314" s="123" t="str">
        <f t="shared" si="115"/>
        <v>사용초과</v>
      </c>
      <c r="AJ314" t="str">
        <f t="shared" si="116"/>
        <v>Telstra</v>
      </c>
      <c r="AK314">
        <f t="shared" si="117"/>
        <v>0</v>
      </c>
      <c r="AP314" s="123"/>
      <c r="AQ314" s="123"/>
      <c r="AR314" s="123"/>
      <c r="AS314" s="3084"/>
      <c r="AT314" s="123"/>
      <c r="AU314" s="123"/>
      <c r="AV314" s="3092"/>
      <c r="AW314" s="3086"/>
      <c r="AX314" s="3087"/>
      <c r="AY314" s="3088"/>
      <c r="AZ314" s="3089"/>
      <c r="BA314" s="3090"/>
      <c r="BB314" s="1"/>
    </row>
    <row r="315" spans="1:54" s="350" customFormat="1" ht="51.6" customHeight="1" thickTop="1">
      <c r="A315" s="2670"/>
      <c r="B315" s="3651" t="s">
        <v>3730</v>
      </c>
      <c r="C315" s="3651"/>
      <c r="D315" s="3043">
        <v>2.2000000000000002</v>
      </c>
      <c r="E315" s="2809"/>
      <c r="F315" s="2809"/>
      <c r="G315" s="2698"/>
      <c r="H315" s="2700"/>
      <c r="I315" s="1786"/>
      <c r="J315" s="1757" t="str">
        <f t="shared" si="125"/>
        <v>5-DaHall1-PDU-16-50-20</v>
      </c>
      <c r="K315" s="1758">
        <v>220</v>
      </c>
      <c r="L315" s="1759"/>
      <c r="M315" s="1254"/>
      <c r="N315" s="1787"/>
      <c r="O315" s="1761">
        <v>220</v>
      </c>
      <c r="P315" s="1762">
        <v>50</v>
      </c>
      <c r="Q315" s="2403" t="s">
        <v>6550</v>
      </c>
      <c r="R315" s="1763">
        <v>20</v>
      </c>
      <c r="S315" s="1393"/>
      <c r="T315" s="1394"/>
      <c r="U315" s="1386"/>
      <c r="V315" s="2693"/>
      <c r="W315" s="2704"/>
      <c r="X315" s="2696"/>
      <c r="Y315" s="1371"/>
      <c r="Z315" s="253">
        <f>SUM('5층_부하량(월간_AVG)'!N424:P424)</f>
        <v>0.59806418859173893</v>
      </c>
      <c r="AA315" s="2495">
        <f t="shared" ref="AA315:AA316" si="128">SUM(Y315:Z315)</f>
        <v>0.59806418859173893</v>
      </c>
      <c r="AB315" s="2727"/>
      <c r="AC315" s="2728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80.400000000000006</v>
      </c>
      <c r="AD315" s="2477">
        <f>SUM(AB315:AC315)</f>
        <v>80.400000000000006</v>
      </c>
      <c r="AE315" s="2535"/>
      <c r="AG315" s="2367">
        <f t="shared" si="118"/>
        <v>0.10806451612903227</v>
      </c>
      <c r="AH315" s="2367">
        <f t="shared" si="119"/>
        <v>2.0919354838709681</v>
      </c>
      <c r="AI315" s="123" t="str">
        <f t="shared" si="115"/>
        <v>적정함</v>
      </c>
      <c r="AJ315" t="str">
        <f t="shared" si="116"/>
        <v/>
      </c>
      <c r="AK315" t="str">
        <f t="shared" si="117"/>
        <v/>
      </c>
      <c r="AP315" s="123"/>
      <c r="AQ315" s="123"/>
      <c r="AR315" s="123"/>
      <c r="AS315" s="3084"/>
      <c r="AT315" s="123"/>
      <c r="AU315" s="123"/>
      <c r="AV315" s="3092"/>
      <c r="AW315" s="3086"/>
      <c r="AX315" s="3087"/>
      <c r="AY315" s="3088"/>
      <c r="AZ315" s="3089"/>
      <c r="BA315" s="3090"/>
      <c r="BB315" s="1"/>
    </row>
    <row r="316" spans="1:54" s="350" customFormat="1" ht="51.6" customHeight="1" thickBot="1">
      <c r="A316" s="2671"/>
      <c r="B316" s="3634" t="s">
        <v>3731</v>
      </c>
      <c r="C316" s="3634"/>
      <c r="D316" s="3052">
        <v>2.2000000000000002</v>
      </c>
      <c r="E316" s="2815"/>
      <c r="F316" s="2815"/>
      <c r="G316" s="2297"/>
      <c r="H316" s="1113"/>
      <c r="I316" s="2298"/>
      <c r="J316" s="2299" t="str">
        <f t="shared" si="125"/>
        <v>5-DaHall1-PDU-16-50-22</v>
      </c>
      <c r="K316" s="2193">
        <v>220</v>
      </c>
      <c r="L316" s="2194"/>
      <c r="M316" s="1239"/>
      <c r="N316" s="2300"/>
      <c r="O316" s="2196">
        <v>220</v>
      </c>
      <c r="P316" s="2197">
        <v>50</v>
      </c>
      <c r="Q316" s="2432" t="s">
        <v>6550</v>
      </c>
      <c r="R316" s="2301">
        <v>22</v>
      </c>
      <c r="S316" s="2302"/>
      <c r="T316" s="2701"/>
      <c r="U316" s="2303"/>
      <c r="V316" s="2694"/>
      <c r="W316" s="2705"/>
      <c r="X316" s="2697"/>
      <c r="Y316" s="1114"/>
      <c r="Z316" s="253">
        <f>SUM('5층_부하량(월간_AVG)'!N425:P425)</f>
        <v>0.59008962474145465</v>
      </c>
      <c r="AA316" s="2496">
        <f t="shared" si="128"/>
        <v>0.59008962474145465</v>
      </c>
      <c r="AB316" s="2733"/>
      <c r="AC316" s="2734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80</v>
      </c>
      <c r="AD316" s="2540">
        <f>SUM(AB316:AC316)</f>
        <v>80</v>
      </c>
      <c r="AE316" s="2536"/>
      <c r="AG316" s="2367">
        <f t="shared" si="118"/>
        <v>0.10752688172043011</v>
      </c>
      <c r="AH316" s="2367">
        <f t="shared" si="119"/>
        <v>2.0924731182795702</v>
      </c>
      <c r="AI316" s="123" t="str">
        <f t="shared" si="115"/>
        <v>적정함</v>
      </c>
      <c r="AJ316" t="str">
        <f t="shared" si="116"/>
        <v/>
      </c>
      <c r="AK316" t="str">
        <f t="shared" si="117"/>
        <v/>
      </c>
      <c r="AP316" s="123"/>
      <c r="AQ316" s="123"/>
      <c r="AR316" s="123"/>
      <c r="AS316" s="3084"/>
      <c r="AT316" s="123"/>
      <c r="AU316" s="123"/>
      <c r="AV316" s="3092"/>
      <c r="AW316" s="3086"/>
      <c r="AX316" s="3087"/>
      <c r="AY316" s="3088"/>
      <c r="AZ316" s="3089"/>
      <c r="BA316" s="3090"/>
      <c r="BB316" s="1"/>
    </row>
    <row r="317" spans="1:54" ht="15" thickTop="1">
      <c r="Z317" s="249" t="s">
        <v>3732</v>
      </c>
      <c r="AA317" s="249">
        <f>SUM(AA5:AA316)</f>
        <v>624.05819230442319</v>
      </c>
      <c r="AB317" s="1361">
        <f>SUM(AB5:AB316)/1000</f>
        <v>78.004600000000011</v>
      </c>
      <c r="AC317" s="1361">
        <f>SUM(AC5:AC316)/1000</f>
        <v>72.518299999999954</v>
      </c>
      <c r="AD317" s="1361"/>
      <c r="AI317" s="2367"/>
    </row>
    <row r="318" spans="1:54">
      <c r="Z318" s="249" t="s">
        <v>2472</v>
      </c>
      <c r="AA318" s="2357"/>
    </row>
  </sheetData>
  <mergeCells count="526">
    <mergeCell ref="AP3:AP4"/>
    <mergeCell ref="AQ3:AQ4"/>
    <mergeCell ref="AR3:AR4"/>
    <mergeCell ref="AT3:AU3"/>
    <mergeCell ref="AV3:AX3"/>
    <mergeCell ref="AY3:AZ3"/>
    <mergeCell ref="BA3:BA4"/>
    <mergeCell ref="BB3:BB4"/>
    <mergeCell ref="AG3:AG4"/>
    <mergeCell ref="AH3:AH4"/>
    <mergeCell ref="AI3:AI4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294:A295"/>
    <mergeCell ref="B294:B295"/>
    <mergeCell ref="AE294:AE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A210:A211"/>
    <mergeCell ref="B210:B211"/>
    <mergeCell ref="C210:C211"/>
    <mergeCell ref="W210:W211"/>
    <mergeCell ref="X210:X211"/>
    <mergeCell ref="AA210:AA211"/>
    <mergeCell ref="AD210:AD211"/>
    <mergeCell ref="S212:S219"/>
    <mergeCell ref="T212:T219"/>
    <mergeCell ref="U212:U219"/>
    <mergeCell ref="V212:V219"/>
    <mergeCell ref="W212:W219"/>
    <mergeCell ref="X212:X219"/>
    <mergeCell ref="D210:D211"/>
    <mergeCell ref="AE204:AE205"/>
    <mergeCell ref="A206:A207"/>
    <mergeCell ref="B206:B207"/>
    <mergeCell ref="C206:C207"/>
    <mergeCell ref="W206:W207"/>
    <mergeCell ref="X206:X207"/>
    <mergeCell ref="AA206:AA207"/>
    <mergeCell ref="AD206:AD207"/>
    <mergeCell ref="A208:A209"/>
    <mergeCell ref="B208:B209"/>
    <mergeCell ref="C208:C209"/>
    <mergeCell ref="W208:W209"/>
    <mergeCell ref="X208:X209"/>
    <mergeCell ref="AA208:AA209"/>
    <mergeCell ref="AD208:AD209"/>
    <mergeCell ref="D206:D207"/>
    <mergeCell ref="D208:D209"/>
    <mergeCell ref="A202:A203"/>
    <mergeCell ref="B202:B203"/>
    <mergeCell ref="C202:C203"/>
    <mergeCell ref="W202:W203"/>
    <mergeCell ref="X202:X203"/>
    <mergeCell ref="AA202:AA203"/>
    <mergeCell ref="AD202:AD203"/>
    <mergeCell ref="A204:A205"/>
    <mergeCell ref="B204:B205"/>
    <mergeCell ref="C204:C205"/>
    <mergeCell ref="W204:W205"/>
    <mergeCell ref="X204:X205"/>
    <mergeCell ref="AA204:AA205"/>
    <mergeCell ref="AD204:AD205"/>
    <mergeCell ref="D202:D203"/>
    <mergeCell ref="D204:D205"/>
    <mergeCell ref="A198:A199"/>
    <mergeCell ref="B198:B199"/>
    <mergeCell ref="C198:C199"/>
    <mergeCell ref="W198:W199"/>
    <mergeCell ref="X198:X199"/>
    <mergeCell ref="AA198:AA199"/>
    <mergeCell ref="AD198:AD199"/>
    <mergeCell ref="A200:A201"/>
    <mergeCell ref="B200:B201"/>
    <mergeCell ref="C200:C201"/>
    <mergeCell ref="W200:W201"/>
    <mergeCell ref="X200:X201"/>
    <mergeCell ref="AA200:AA201"/>
    <mergeCell ref="AD200:AD201"/>
    <mergeCell ref="D198:D199"/>
    <mergeCell ref="D200:D201"/>
    <mergeCell ref="A194:A195"/>
    <mergeCell ref="B194:B195"/>
    <mergeCell ref="C194:C195"/>
    <mergeCell ref="W194:W195"/>
    <mergeCell ref="X194:X195"/>
    <mergeCell ref="AA194:AA195"/>
    <mergeCell ref="AD194:AD195"/>
    <mergeCell ref="A196:A197"/>
    <mergeCell ref="B196:B197"/>
    <mergeCell ref="C196:C197"/>
    <mergeCell ref="W196:W197"/>
    <mergeCell ref="X196:X197"/>
    <mergeCell ref="AA196:AA197"/>
    <mergeCell ref="AD196:AD197"/>
    <mergeCell ref="D194:D195"/>
    <mergeCell ref="D196:D197"/>
    <mergeCell ref="AE188:AE189"/>
    <mergeCell ref="A190:A191"/>
    <mergeCell ref="B190:B191"/>
    <mergeCell ref="C190:C191"/>
    <mergeCell ref="W190:W191"/>
    <mergeCell ref="X190:X191"/>
    <mergeCell ref="AA190:AA191"/>
    <mergeCell ref="AD190:AD191"/>
    <mergeCell ref="A192:A193"/>
    <mergeCell ref="B192:B193"/>
    <mergeCell ref="C192:C193"/>
    <mergeCell ref="W192:W193"/>
    <mergeCell ref="X192:X193"/>
    <mergeCell ref="AA192:AA193"/>
    <mergeCell ref="AD192:AD193"/>
    <mergeCell ref="D190:D191"/>
    <mergeCell ref="D192:D193"/>
    <mergeCell ref="A186:A187"/>
    <mergeCell ref="B186:B187"/>
    <mergeCell ref="C186:C187"/>
    <mergeCell ref="W186:W187"/>
    <mergeCell ref="X186:X187"/>
    <mergeCell ref="AA186:AA187"/>
    <mergeCell ref="AD186:AD187"/>
    <mergeCell ref="A188:A189"/>
    <mergeCell ref="B188:B189"/>
    <mergeCell ref="C188:C189"/>
    <mergeCell ref="W188:W189"/>
    <mergeCell ref="X188:X189"/>
    <mergeCell ref="AA188:AA189"/>
    <mergeCell ref="AD188:AD189"/>
    <mergeCell ref="D186:D187"/>
    <mergeCell ref="D188:D189"/>
    <mergeCell ref="A182:A183"/>
    <mergeCell ref="B182:B183"/>
    <mergeCell ref="C182:C183"/>
    <mergeCell ref="W182:W183"/>
    <mergeCell ref="X182:X183"/>
    <mergeCell ref="AA182:AA183"/>
    <mergeCell ref="AD182:AD183"/>
    <mergeCell ref="A184:A185"/>
    <mergeCell ref="B184:B185"/>
    <mergeCell ref="C184:C185"/>
    <mergeCell ref="W184:W185"/>
    <mergeCell ref="X184:X185"/>
    <mergeCell ref="AA184:AA185"/>
    <mergeCell ref="AD184:AD185"/>
    <mergeCell ref="D182:D183"/>
    <mergeCell ref="D184:D185"/>
    <mergeCell ref="A178:A179"/>
    <mergeCell ref="B178:B179"/>
    <mergeCell ref="C178:C179"/>
    <mergeCell ref="W178:W179"/>
    <mergeCell ref="X178:X179"/>
    <mergeCell ref="AA178:AA179"/>
    <mergeCell ref="AD178:AD179"/>
    <mergeCell ref="A180:A181"/>
    <mergeCell ref="B180:B181"/>
    <mergeCell ref="C180:C181"/>
    <mergeCell ref="W180:W181"/>
    <mergeCell ref="X180:X181"/>
    <mergeCell ref="AA180:AA181"/>
    <mergeCell ref="AD180:AD181"/>
    <mergeCell ref="D178:D179"/>
    <mergeCell ref="D180:D181"/>
    <mergeCell ref="AE172:AE173"/>
    <mergeCell ref="A174:A175"/>
    <mergeCell ref="B174:B175"/>
    <mergeCell ref="C174:C175"/>
    <mergeCell ref="W174:W175"/>
    <mergeCell ref="X174:X175"/>
    <mergeCell ref="AA174:AA175"/>
    <mergeCell ref="AD174:AD175"/>
    <mergeCell ref="A176:A177"/>
    <mergeCell ref="B176:B177"/>
    <mergeCell ref="C176:C177"/>
    <mergeCell ref="W176:W177"/>
    <mergeCell ref="X176:X177"/>
    <mergeCell ref="AA176:AA177"/>
    <mergeCell ref="AD176:AD177"/>
    <mergeCell ref="D174:D175"/>
    <mergeCell ref="D176:D177"/>
    <mergeCell ref="A170:A171"/>
    <mergeCell ref="B170:B171"/>
    <mergeCell ref="C170:C171"/>
    <mergeCell ref="W170:W171"/>
    <mergeCell ref="X170:X171"/>
    <mergeCell ref="AA170:AA171"/>
    <mergeCell ref="AD170:AD171"/>
    <mergeCell ref="A172:A173"/>
    <mergeCell ref="B172:B173"/>
    <mergeCell ref="C172:C173"/>
    <mergeCell ref="W172:W173"/>
    <mergeCell ref="X172:X173"/>
    <mergeCell ref="AA172:AA173"/>
    <mergeCell ref="AD172:AD173"/>
    <mergeCell ref="D172:D173"/>
    <mergeCell ref="A166:A167"/>
    <mergeCell ref="B166:B167"/>
    <mergeCell ref="C166:C167"/>
    <mergeCell ref="W166:W167"/>
    <mergeCell ref="X166:X167"/>
    <mergeCell ref="AA166:AA167"/>
    <mergeCell ref="AD166:AD167"/>
    <mergeCell ref="A168:A169"/>
    <mergeCell ref="B168:B169"/>
    <mergeCell ref="C168:C169"/>
    <mergeCell ref="W168:W169"/>
    <mergeCell ref="X168:X169"/>
    <mergeCell ref="AA168:AA169"/>
    <mergeCell ref="AD168:AD169"/>
    <mergeCell ref="A93:A94"/>
    <mergeCell ref="B93:B94"/>
    <mergeCell ref="C93:C94"/>
    <mergeCell ref="AA93:AA94"/>
    <mergeCell ref="AD93:AD94"/>
    <mergeCell ref="A164:A165"/>
    <mergeCell ref="B164:B165"/>
    <mergeCell ref="C164:C165"/>
    <mergeCell ref="W164:W165"/>
    <mergeCell ref="X164:X165"/>
    <mergeCell ref="AA164:AA165"/>
    <mergeCell ref="AD164:AD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</mergeCells>
  <phoneticPr fontId="13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36"/>
  <sheetViews>
    <sheetView tabSelected="1"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sqref="A1:AE1"/>
    </sheetView>
  </sheetViews>
  <sheetFormatPr defaultRowHeight="14.4"/>
  <cols>
    <col min="1" max="2" width="10.69921875" customWidth="1"/>
    <col min="3" max="4" width="12.296875" style="56" customWidth="1"/>
    <col min="5" max="5" width="25.09765625" hidden="1" customWidth="1"/>
    <col min="6" max="7" width="10.69921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8" width="10.69921875" bestFit="1" customWidth="1"/>
    <col min="29" max="29" width="21.59765625" bestFit="1" customWidth="1"/>
    <col min="30" max="30" width="16.69921875" customWidth="1"/>
    <col min="31" max="31" width="8.8984375" style="56"/>
    <col min="32" max="34" width="0" hidden="1" customWidth="1"/>
    <col min="36" max="36" width="12.3984375" bestFit="1" customWidth="1"/>
    <col min="37" max="37" width="10.59765625" bestFit="1" customWidth="1"/>
    <col min="38" max="38" width="11.69921875" bestFit="1" customWidth="1"/>
    <col min="39" max="39" width="15" bestFit="1" customWidth="1"/>
    <col min="44" max="44" width="24.59765625" bestFit="1" customWidth="1"/>
    <col min="45" max="45" width="17" bestFit="1" customWidth="1"/>
    <col min="46" max="46" width="19.3984375" bestFit="1" customWidth="1"/>
    <col min="48" max="49" width="26.59765625" bestFit="1" customWidth="1"/>
    <col min="53" max="53" width="11" bestFit="1" customWidth="1"/>
    <col min="54" max="54" width="12.3984375" bestFit="1" customWidth="1"/>
    <col min="55" max="55" width="23.59765625" bestFit="1" customWidth="1"/>
    <col min="56" max="56" width="15.8984375" bestFit="1" customWidth="1"/>
  </cols>
  <sheetData>
    <row r="1" spans="1:57" ht="25.8">
      <c r="A1" s="3373" t="s">
        <v>3733</v>
      </c>
      <c r="B1" s="3373"/>
      <c r="C1" s="3373"/>
      <c r="D1" s="3373"/>
      <c r="E1" s="3373"/>
      <c r="F1" s="3373"/>
      <c r="G1" s="3373"/>
      <c r="H1" s="3373"/>
      <c r="I1" s="3373"/>
      <c r="J1" s="3373"/>
      <c r="K1" s="3373"/>
      <c r="L1" s="3373"/>
      <c r="M1" s="3373"/>
      <c r="N1" s="3373"/>
      <c r="O1" s="3373"/>
      <c r="P1" s="3373"/>
      <c r="Q1" s="3373"/>
      <c r="R1" s="3373"/>
      <c r="S1" s="3373"/>
      <c r="T1" s="3373"/>
      <c r="U1" s="3373"/>
      <c r="V1" s="3373"/>
      <c r="W1" s="3373"/>
      <c r="X1" s="3373"/>
      <c r="Y1" s="3373"/>
      <c r="Z1" s="3373"/>
      <c r="AA1" s="3373"/>
      <c r="AB1" s="3373"/>
      <c r="AC1" s="3373"/>
      <c r="AD1" s="3373"/>
      <c r="AE1" s="3373"/>
      <c r="AR1" s="3871" t="s">
        <v>9550</v>
      </c>
      <c r="AS1" s="1269"/>
      <c r="AT1" s="123"/>
      <c r="AZ1" s="123" t="str">
        <f>'7층~4층_고객 총사용량(삭제X)'!G2</f>
        <v>sejong</v>
      </c>
      <c r="BA1" s="3074" t="s">
        <v>9265</v>
      </c>
      <c r="BB1" s="3075" t="s">
        <v>9267</v>
      </c>
      <c r="BC1" s="3076" t="s">
        <v>9268</v>
      </c>
      <c r="BD1" s="3066" t="s">
        <v>9269</v>
      </c>
    </row>
    <row r="2" spans="1:57" ht="16.2" thickBot="1">
      <c r="H2" t="s">
        <v>1203</v>
      </c>
      <c r="X2" s="2069"/>
      <c r="Y2" s="2072"/>
      <c r="Z2" s="249"/>
      <c r="AA2" s="249"/>
      <c r="AB2" s="249"/>
      <c r="AC2" s="3213"/>
      <c r="AD2" s="249"/>
      <c r="AE2" s="997"/>
      <c r="AR2" s="123"/>
      <c r="AS2" s="123"/>
      <c r="AU2" s="3080"/>
      <c r="BA2" s="3094">
        <f>SUBTOTAL(109,AU5:AU250)</f>
        <v>113.6</v>
      </c>
      <c r="BB2" s="3095">
        <f>SUBTOTAL(109,BC5:BC250)/(24*31)</f>
        <v>4.2463709677419352E-2</v>
      </c>
      <c r="BC2" s="3094">
        <f>BA2-BB2</f>
        <v>113.55753629032257</v>
      </c>
      <c r="BD2" s="3096" t="str">
        <f>IF(SIGN(BC2)&gt;=0,IF(BB2=0,"미사용 랙","적정 사용"),"사용초과")</f>
        <v>적정 사용</v>
      </c>
    </row>
    <row r="3" spans="1:57" ht="14.55" customHeight="1" thickTop="1" thickBot="1">
      <c r="A3" s="3419" t="s">
        <v>3734</v>
      </c>
      <c r="B3" s="3421" t="s">
        <v>1204</v>
      </c>
      <c r="C3" s="3423" t="s">
        <v>1206</v>
      </c>
      <c r="D3" s="3022" t="s">
        <v>9265</v>
      </c>
      <c r="E3" s="3479" t="s">
        <v>3735</v>
      </c>
      <c r="F3" s="3744" t="s">
        <v>1208</v>
      </c>
      <c r="G3" s="3745"/>
      <c r="H3" s="3223" t="s">
        <v>6630</v>
      </c>
      <c r="I3" s="3224"/>
      <c r="J3" s="3666" t="s">
        <v>3736</v>
      </c>
      <c r="K3" s="3667"/>
      <c r="L3" s="3667"/>
      <c r="M3" s="3667"/>
      <c r="N3" s="3667"/>
      <c r="O3" s="3667"/>
      <c r="P3" s="3667"/>
      <c r="Q3" s="3668"/>
      <c r="R3" s="3746" t="s">
        <v>1209</v>
      </c>
      <c r="S3" s="3368"/>
      <c r="T3" s="3380" t="s">
        <v>13</v>
      </c>
      <c r="U3" s="3368"/>
      <c r="V3" s="3380" t="s">
        <v>14</v>
      </c>
      <c r="W3" s="3368"/>
      <c r="X3" s="3383" t="s">
        <v>8722</v>
      </c>
      <c r="Y3" s="3384"/>
      <c r="Z3" s="3384"/>
      <c r="AA3" s="3798" t="s">
        <v>8723</v>
      </c>
      <c r="AB3" s="3799"/>
      <c r="AC3" s="3654" t="s">
        <v>9311</v>
      </c>
      <c r="AD3" s="3385" t="s">
        <v>6632</v>
      </c>
      <c r="AE3" s="3800" t="s">
        <v>1210</v>
      </c>
      <c r="AJ3" s="3293" t="s">
        <v>9267</v>
      </c>
      <c r="AK3" s="3295" t="s">
        <v>9268</v>
      </c>
      <c r="AL3" s="3297" t="s">
        <v>9269</v>
      </c>
      <c r="AM3" s="3066" t="s">
        <v>9270</v>
      </c>
      <c r="AN3" s="3066" t="s">
        <v>9271</v>
      </c>
      <c r="AO3" s="3066" t="s">
        <v>9272</v>
      </c>
      <c r="AR3" s="3419" t="s">
        <v>3734</v>
      </c>
      <c r="AS3" s="3421" t="s">
        <v>1204</v>
      </c>
      <c r="AT3" s="3423" t="s">
        <v>1206</v>
      </c>
      <c r="AU3" s="3081" t="s">
        <v>9265</v>
      </c>
      <c r="AV3" s="3223" t="s">
        <v>6630</v>
      </c>
      <c r="AW3" s="3224"/>
      <c r="AX3" s="3425" t="s">
        <v>8722</v>
      </c>
      <c r="AY3" s="3384"/>
      <c r="AZ3" s="3384"/>
      <c r="BA3" s="3798" t="s">
        <v>8723</v>
      </c>
      <c r="BB3" s="3799"/>
      <c r="BC3" s="3810" t="s">
        <v>6632</v>
      </c>
      <c r="BD3" s="3430" t="s">
        <v>1210</v>
      </c>
    </row>
    <row r="4" spans="1:57" ht="15.6" thickTop="1" thickBot="1">
      <c r="A4" s="3420"/>
      <c r="B4" s="3422"/>
      <c r="C4" s="3424"/>
      <c r="D4" s="3023" t="s">
        <v>9266</v>
      </c>
      <c r="E4" s="3480"/>
      <c r="F4" s="1789" t="s">
        <v>3737</v>
      </c>
      <c r="G4" s="1788" t="s">
        <v>3738</v>
      </c>
      <c r="H4" s="2065" t="s">
        <v>3737</v>
      </c>
      <c r="I4" s="2066" t="s">
        <v>3738</v>
      </c>
      <c r="J4" s="3669" t="s">
        <v>3737</v>
      </c>
      <c r="K4" s="3670"/>
      <c r="L4" s="3670"/>
      <c r="M4" s="3671"/>
      <c r="N4" s="3672" t="s">
        <v>3738</v>
      </c>
      <c r="O4" s="3673"/>
      <c r="P4" s="3673"/>
      <c r="Q4" s="3674"/>
      <c r="R4" s="1125" t="s">
        <v>3737</v>
      </c>
      <c r="S4" s="1124" t="s">
        <v>3738</v>
      </c>
      <c r="T4" s="1125" t="s">
        <v>3737</v>
      </c>
      <c r="U4" s="1124" t="s">
        <v>3738</v>
      </c>
      <c r="V4" s="1125" t="s">
        <v>3737</v>
      </c>
      <c r="W4" s="1124" t="s">
        <v>3738</v>
      </c>
      <c r="X4" s="1126" t="s">
        <v>3737</v>
      </c>
      <c r="Y4" s="2067" t="s">
        <v>3738</v>
      </c>
      <c r="Z4" s="2651" t="s">
        <v>23</v>
      </c>
      <c r="AA4" s="2713" t="s">
        <v>3737</v>
      </c>
      <c r="AB4" s="2714" t="s">
        <v>3738</v>
      </c>
      <c r="AC4" s="3655"/>
      <c r="AD4" s="3386"/>
      <c r="AE4" s="3431"/>
      <c r="AG4" s="846" t="s">
        <v>23</v>
      </c>
      <c r="AJ4" s="3294"/>
      <c r="AK4" s="3296"/>
      <c r="AL4" s="3298"/>
      <c r="AM4" s="3067">
        <f>COUNTIF(AL5:AL500,"사용초과")</f>
        <v>7</v>
      </c>
      <c r="AN4" s="3067">
        <f>COUNTIF(AL5:AL500,AN3)</f>
        <v>24</v>
      </c>
      <c r="AO4" s="3067">
        <f>COUNTIF(AL5:AL500,AO3)</f>
        <v>198</v>
      </c>
      <c r="AR4" s="3420"/>
      <c r="AS4" s="3422"/>
      <c r="AT4" s="3424"/>
      <c r="AU4" s="3082" t="s">
        <v>9266</v>
      </c>
      <c r="AV4" s="2065" t="s">
        <v>3737</v>
      </c>
      <c r="AW4" s="2066" t="s">
        <v>3738</v>
      </c>
      <c r="AX4" s="3083" t="s">
        <v>3737</v>
      </c>
      <c r="AY4" s="2067" t="s">
        <v>3738</v>
      </c>
      <c r="AZ4" s="2651" t="s">
        <v>23</v>
      </c>
      <c r="BA4" s="2713" t="s">
        <v>3737</v>
      </c>
      <c r="BB4" s="2714" t="s">
        <v>3738</v>
      </c>
      <c r="BC4" s="3429"/>
      <c r="BD4" s="3431"/>
    </row>
    <row r="5" spans="1:57" ht="29.4" thickTop="1">
      <c r="A5" s="3747" t="s">
        <v>3739</v>
      </c>
      <c r="B5" s="2988" t="s">
        <v>9173</v>
      </c>
      <c r="C5" s="1137" t="s">
        <v>9174</v>
      </c>
      <c r="D5" s="3024">
        <f>1.6*5/2</f>
        <v>4</v>
      </c>
      <c r="E5" s="327" t="s">
        <v>3740</v>
      </c>
      <c r="F5" s="2642" t="s">
        <v>3741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68" t="s">
        <v>6494</v>
      </c>
      <c r="M5" s="1450">
        <v>1</v>
      </c>
      <c r="N5" s="2046"/>
      <c r="O5" s="2047"/>
      <c r="P5" s="2042"/>
      <c r="Q5" s="2048"/>
      <c r="R5" s="2642" t="s">
        <v>3742</v>
      </c>
      <c r="S5" s="829"/>
      <c r="T5" s="2642" t="s">
        <v>3743</v>
      </c>
      <c r="U5" s="829"/>
      <c r="V5" s="2642" t="s">
        <v>3744</v>
      </c>
      <c r="W5" s="829"/>
      <c r="X5" s="2070">
        <f>SUM('4층_부하량(월간_AVG)'!D6:F6)</f>
        <v>2.45375905196263</v>
      </c>
      <c r="Y5" s="2073"/>
      <c r="Z5" s="2452">
        <f t="shared" ref="Z5:Z13" si="0">SUM(X5:Y5)</f>
        <v>2.45375905196263</v>
      </c>
      <c r="AA5" s="2715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244.4</v>
      </c>
      <c r="AB5" s="2716"/>
      <c r="AC5" s="3214" cm="1">
        <f t="array" ref="AC5">INDEX('각층분기별_유효전력최대(전월)'!C4:C2020,MATCH(1,("4-DaHall 1-PDU-02"='각층분기별_유효전력최대(전월)'!A4:A2020)*("[branch#001] [A] W"='각층분기별_유효전력최대(전월)'!B4:B2020),0))</f>
        <v>0.36199999999999999</v>
      </c>
      <c r="AD5" s="2512">
        <f>SUM(AA5:AB5)</f>
        <v>244.4</v>
      </c>
      <c r="AE5" s="2497"/>
      <c r="AG5">
        <v>2.2999999999999998</v>
      </c>
      <c r="AH5" s="1366">
        <f t="shared" ref="AH5:AH68" si="1">Z5-AG5</f>
        <v>0.15375905196263018</v>
      </c>
      <c r="AJ5" s="2367">
        <f t="shared" ref="AJ5:AJ68" si="2">AD5/(24*31)</f>
        <v>0.32849462365591398</v>
      </c>
      <c r="AK5" s="2367">
        <f t="shared" ref="AK5:AK68" si="3">D5-AJ5</f>
        <v>3.6715053763440859</v>
      </c>
      <c r="AL5" s="123" t="str">
        <f t="shared" ref="AL5:AL68" si="4">IF(SIGN(AK5)&gt;=0,IF(AD5=0,"무부하 랙","적정함"),"사용초과")</f>
        <v>적정함</v>
      </c>
      <c r="AR5" s="123" t="str" cm="1">
        <f t="array" ref="AR5:AU15">IF($AZ$1="", "", _xlfn._xlws.FILTER(A5:D1064, ISNUMBER(SEARCH($AZ$1,C5:C1064)), "찾을 수 없음"))</f>
        <v>정류기</v>
      </c>
      <c r="AS5" s="123" t="str">
        <v>4-Sejong-Rect-1</v>
      </c>
      <c r="AT5" t="str">
        <v>Sejong Telecom Inc.</v>
      </c>
      <c r="AU5" s="3084">
        <v>4</v>
      </c>
      <c r="AV5" s="123" t="str" cm="1">
        <f t="array" ref="AV5:AW15">IF($AZ$1="", "", _xlfn._xlws.FILTER(H5:I1064, ISNUMBER(SEARCH($AZ$1,C5:C1064)), "찾을 수 없음"))</f>
        <v>4-DaHall 1-PDU-02-100-1</v>
      </c>
      <c r="AW5" s="123">
        <v>0</v>
      </c>
      <c r="AX5" s="3085" cm="1">
        <f t="array" ref="AX5:BE15">IF($AZ$1="", "", _xlfn._xlws.FILTER(X5:AE1064, ISNUMBER(SEARCH($AZ$1,C5:C1064)), "찾을 수 없음"))</f>
        <v>2.45375905196263</v>
      </c>
      <c r="AY5" s="3086">
        <v>0</v>
      </c>
      <c r="AZ5" s="3087">
        <v>2.45375905196263</v>
      </c>
      <c r="BA5" s="3125">
        <v>244.4</v>
      </c>
      <c r="BB5" s="3126">
        <v>0</v>
      </c>
      <c r="BC5" s="3090">
        <v>0.36199999999999999</v>
      </c>
      <c r="BD5" s="123">
        <v>244.4</v>
      </c>
      <c r="BE5">
        <v>0</v>
      </c>
    </row>
    <row r="6" spans="1:57" ht="28.8">
      <c r="A6" s="3743"/>
      <c r="B6" s="2989" t="s">
        <v>9175</v>
      </c>
      <c r="C6" s="1138" t="s">
        <v>9174</v>
      </c>
      <c r="D6" s="3025">
        <f>D5</f>
        <v>4</v>
      </c>
      <c r="E6" s="250" t="s">
        <v>3745</v>
      </c>
      <c r="F6" s="2691"/>
      <c r="G6" s="2641" t="s">
        <v>3746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0" t="s">
        <v>6498</v>
      </c>
      <c r="Q6" s="1451">
        <v>1</v>
      </c>
      <c r="R6" s="833"/>
      <c r="S6" s="2641" t="s">
        <v>3747</v>
      </c>
      <c r="T6" s="833"/>
      <c r="U6" s="2641" t="s">
        <v>3748</v>
      </c>
      <c r="V6" s="833"/>
      <c r="W6" s="2641" t="s">
        <v>3749</v>
      </c>
      <c r="X6" s="865"/>
      <c r="Y6" s="260">
        <f>SUM('4층_부하량(월간_AVG)'!N35:P35)</f>
        <v>3.9154549593430357</v>
      </c>
      <c r="Z6" s="2452">
        <f t="shared" si="0"/>
        <v>3.9154549593430357</v>
      </c>
      <c r="AA6" s="2717"/>
      <c r="AB6" s="2718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432.7</v>
      </c>
      <c r="AC6" s="3214" cm="1">
        <f t="array" ref="AC6">INDEX('각층분기별_유효전력최대(전월)'!C5:C2021,MATCH(1,("4-DaHall 1-PDU-01"='각층분기별_유효전력최대(전월)'!A5:A2021)*("[branch#001] [A] W"='각층분기별_유효전력최대(전월)'!B5:B2021),0))</f>
        <v>0.65700000000000003</v>
      </c>
      <c r="AD6" s="2477">
        <f>SUM(AA6:AB6)</f>
        <v>432.7</v>
      </c>
      <c r="AE6" s="2498"/>
      <c r="AG6">
        <v>3.2</v>
      </c>
      <c r="AH6" s="1366">
        <f t="shared" si="1"/>
        <v>0.71545495934303549</v>
      </c>
      <c r="AJ6" s="2367">
        <f t="shared" si="2"/>
        <v>0.5815860215053763</v>
      </c>
      <c r="AK6" s="2367">
        <f t="shared" si="3"/>
        <v>3.4184139784946237</v>
      </c>
      <c r="AL6" s="123" t="str">
        <f t="shared" si="4"/>
        <v>적정함</v>
      </c>
      <c r="AR6" s="123">
        <v>0</v>
      </c>
      <c r="AS6" s="123" t="str">
        <v>4-Sejong-Rect-2</v>
      </c>
      <c r="AT6" t="str">
        <v>Sejong Telecom Inc.</v>
      </c>
      <c r="AU6" s="3084">
        <v>4</v>
      </c>
      <c r="AV6" s="123">
        <v>0</v>
      </c>
      <c r="AW6" s="123" t="str">
        <v>4-DaHall 1-PDU-01-100-1</v>
      </c>
      <c r="AX6" s="3085">
        <v>0</v>
      </c>
      <c r="AY6" s="3086">
        <v>3.9154549593430357</v>
      </c>
      <c r="AZ6" s="3087">
        <v>3.9154549593430357</v>
      </c>
      <c r="BA6" s="3125">
        <v>0</v>
      </c>
      <c r="BB6" s="3126">
        <v>432.7</v>
      </c>
      <c r="BC6" s="3090">
        <v>0.65700000000000003</v>
      </c>
      <c r="BD6" s="123">
        <v>432.7</v>
      </c>
      <c r="BE6">
        <v>0</v>
      </c>
    </row>
    <row r="7" spans="1:57" ht="28.8">
      <c r="A7" s="3742" t="s">
        <v>3750</v>
      </c>
      <c r="B7" s="2686"/>
      <c r="C7" s="1138" t="s">
        <v>3751</v>
      </c>
      <c r="D7" s="3025"/>
      <c r="E7" s="250" t="s">
        <v>3751</v>
      </c>
      <c r="F7" s="2636" t="s">
        <v>3752</v>
      </c>
      <c r="G7" s="2708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48">
        <v>10</v>
      </c>
      <c r="M7" s="1452">
        <v>2</v>
      </c>
      <c r="N7" s="2052"/>
      <c r="O7" s="1791"/>
      <c r="P7" s="2043"/>
      <c r="Q7" s="1792"/>
      <c r="R7" s="3665" t="s">
        <v>3753</v>
      </c>
      <c r="S7" s="832"/>
      <c r="T7" s="3339" t="s">
        <v>3754</v>
      </c>
      <c r="U7" s="832"/>
      <c r="V7" s="3339" t="s">
        <v>3744</v>
      </c>
      <c r="W7" s="832"/>
      <c r="X7" s="863">
        <f>SUM('4층_부하량(월간_AVG)'!D36:F36)</f>
        <v>88.122473544233003</v>
      </c>
      <c r="Y7" s="2074"/>
      <c r="Z7" s="2452">
        <f t="shared" si="0"/>
        <v>88.122473544233003</v>
      </c>
      <c r="AA7" s="2715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13073.7</v>
      </c>
      <c r="AB7" s="2719"/>
      <c r="AC7" s="3214" cm="1">
        <f t="array" ref="AC7">INDEX('각층분기별_유효전력최대(전월)'!C6:C2022,MATCH(1,("4-DaHall 1-PDU-10"='각층분기별_유효전력최대(전월)'!A6:A2022)*("[branch#002] [A] W"='각층분기별_유효전력최대(전월)'!B6:B2022),0))</f>
        <v>18.673999999999999</v>
      </c>
      <c r="AD7" s="2477">
        <f t="shared" ref="AD7:AD14" si="6">SUM(AA7:AB7)</f>
        <v>13073.7</v>
      </c>
      <c r="AE7" s="2498"/>
      <c r="AG7">
        <v>83.5</v>
      </c>
      <c r="AH7" s="1366">
        <f t="shared" si="1"/>
        <v>4.6224735442330029</v>
      </c>
      <c r="AJ7" s="2367">
        <f t="shared" si="2"/>
        <v>17.572177419354841</v>
      </c>
      <c r="AK7" s="2367">
        <f t="shared" si="3"/>
        <v>-17.572177419354841</v>
      </c>
      <c r="AL7" s="123" t="str">
        <f t="shared" si="4"/>
        <v>사용초과</v>
      </c>
      <c r="AR7" s="123" t="str">
        <v>101~111Bay
/POP B열</v>
      </c>
      <c r="AS7" s="123" t="str">
        <v>G4601-G4611</v>
      </c>
      <c r="AT7" t="str">
        <v>Sejong Telecom Inc.</v>
      </c>
      <c r="AU7" s="3084">
        <v>17.600000000000001</v>
      </c>
      <c r="AV7" s="123" t="str">
        <v>4-DaHall 1-PDU-02-100-3</v>
      </c>
      <c r="AW7" s="123" t="str">
        <v>4-DaHall 1-PDU-01-100-3</v>
      </c>
      <c r="AX7" s="3085">
        <v>32.453603100253581</v>
      </c>
      <c r="AY7" s="3086">
        <v>34.228668104023164</v>
      </c>
      <c r="AZ7" s="3087">
        <v>66.682271204276745</v>
      </c>
      <c r="BA7" s="3125">
        <v>5103</v>
      </c>
      <c r="BB7" s="3126">
        <v>5397.3</v>
      </c>
      <c r="BC7" s="3090">
        <v>7.5259999999999998</v>
      </c>
      <c r="BD7" s="123">
        <v>10500.3</v>
      </c>
      <c r="BE7" t="str">
        <v>세종 Core Room</v>
      </c>
    </row>
    <row r="8" spans="1:57" ht="28.8">
      <c r="A8" s="3743"/>
      <c r="B8" s="2686"/>
      <c r="C8" s="1138" t="s">
        <v>3755</v>
      </c>
      <c r="D8" s="3025"/>
      <c r="E8" s="250" t="s">
        <v>3755</v>
      </c>
      <c r="F8" s="2636" t="s">
        <v>3756</v>
      </c>
      <c r="G8" s="2708"/>
      <c r="H8" s="2063" t="str">
        <f t="shared" si="5"/>
        <v>4-DaHall 1-PDU-10-200-3</v>
      </c>
      <c r="I8" s="2051"/>
      <c r="J8" s="2058">
        <v>380</v>
      </c>
      <c r="K8" s="1793">
        <v>200</v>
      </c>
      <c r="L8" s="2648">
        <v>10</v>
      </c>
      <c r="M8" s="1452">
        <v>3</v>
      </c>
      <c r="N8" s="2052"/>
      <c r="O8" s="1791"/>
      <c r="P8" s="2043"/>
      <c r="Q8" s="1792"/>
      <c r="R8" s="3704"/>
      <c r="S8" s="832"/>
      <c r="T8" s="3346"/>
      <c r="U8" s="832"/>
      <c r="V8" s="3346"/>
      <c r="W8" s="832"/>
      <c r="X8" s="863">
        <f>SUM('4층_부하량(월간_AVG)'!D37:F37)</f>
        <v>44.953750553745714</v>
      </c>
      <c r="Y8" s="2074"/>
      <c r="Z8" s="2452">
        <f t="shared" si="0"/>
        <v>44.953750553745714</v>
      </c>
      <c r="AA8" s="2715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6819.2</v>
      </c>
      <c r="AB8" s="2719"/>
      <c r="AC8" s="3214" cm="1">
        <f t="array" ref="AC8">INDEX('각층분기별_유효전력최대(전월)'!C7:C2023,MATCH(1,("4-DaHall 1-PDU-10"='각층분기별_유효전력최대(전월)'!A7:A2023)*("[branch#003] [A] W"='각층분기별_유효전력최대(전월)'!B7:B2023),0))</f>
        <v>17.190999999999999</v>
      </c>
      <c r="AD8" s="2477">
        <f t="shared" si="6"/>
        <v>6819.2</v>
      </c>
      <c r="AE8" s="2498"/>
      <c r="AG8">
        <v>43.8</v>
      </c>
      <c r="AH8" s="1366">
        <f t="shared" si="1"/>
        <v>1.1537505537457164</v>
      </c>
      <c r="AJ8" s="2367">
        <f t="shared" si="2"/>
        <v>9.1655913978494628</v>
      </c>
      <c r="AK8" s="2367">
        <f t="shared" si="3"/>
        <v>-9.1655913978494628</v>
      </c>
      <c r="AL8" s="123" t="str">
        <f t="shared" si="4"/>
        <v>사용초과</v>
      </c>
      <c r="AR8" s="123" t="str">
        <v>201~211Bay
/POP C열</v>
      </c>
      <c r="AS8" s="123" t="str">
        <v>G4501-G4511</v>
      </c>
      <c r="AT8" t="str">
        <v>Sejong Telecom Inc.</v>
      </c>
      <c r="AU8" s="3084">
        <v>17.600000000000001</v>
      </c>
      <c r="AV8" s="123" t="str">
        <v>4-DaHall 1-PDU-02-100-4</v>
      </c>
      <c r="AW8" s="123" t="str">
        <v>4-DaHall 1-PDU-01-100-4</v>
      </c>
      <c r="AX8" s="3085">
        <v>35.894050316547165</v>
      </c>
      <c r="AY8" s="3086">
        <v>37.155698504598092</v>
      </c>
      <c r="AZ8" s="3087">
        <v>73.049748821145258</v>
      </c>
      <c r="BA8" s="3125">
        <v>5540</v>
      </c>
      <c r="BB8" s="3126">
        <v>5768.5</v>
      </c>
      <c r="BC8" s="3090">
        <v>9.2219999999999995</v>
      </c>
      <c r="BD8" s="123">
        <v>11308.5</v>
      </c>
      <c r="BE8">
        <v>0</v>
      </c>
    </row>
    <row r="9" spans="1:57" ht="28.8">
      <c r="A9" s="1127" t="s">
        <v>3757</v>
      </c>
      <c r="B9" s="998" t="s">
        <v>9176</v>
      </c>
      <c r="C9" s="1139" t="s">
        <v>9174</v>
      </c>
      <c r="D9" s="3025">
        <f t="shared" ref="D9:D14" si="7">1.6*11</f>
        <v>17.600000000000001</v>
      </c>
      <c r="E9" s="250" t="s">
        <v>3758</v>
      </c>
      <c r="F9" s="2636" t="s">
        <v>3759</v>
      </c>
      <c r="G9" s="2641" t="s">
        <v>3760</v>
      </c>
      <c r="H9" s="2063" t="str">
        <f t="shared" si="5"/>
        <v>4-DaHall 1-PDU-02-100-3</v>
      </c>
      <c r="I9" s="2049" t="str">
        <f t="shared" ref="I9:I14" si="8">"4-DaHall 1-PDU-"&amp;P9&amp;"-"&amp;O9&amp;"-"&amp;Q9</f>
        <v>4-DaHall 1-PDU-01-100-3</v>
      </c>
      <c r="J9" s="2059">
        <v>220</v>
      </c>
      <c r="K9" s="1793">
        <v>100</v>
      </c>
      <c r="L9" s="2369" t="s">
        <v>6494</v>
      </c>
      <c r="M9" s="1452">
        <v>3</v>
      </c>
      <c r="N9" s="2053">
        <v>220</v>
      </c>
      <c r="O9" s="1794">
        <v>100</v>
      </c>
      <c r="P9" s="2370" t="s">
        <v>6498</v>
      </c>
      <c r="Q9" s="1451">
        <v>3</v>
      </c>
      <c r="R9" s="3665" t="s">
        <v>3742</v>
      </c>
      <c r="S9" s="3342" t="s">
        <v>3747</v>
      </c>
      <c r="T9" s="3339" t="s">
        <v>3743</v>
      </c>
      <c r="U9" s="3342" t="s">
        <v>3748</v>
      </c>
      <c r="V9" s="3339" t="s">
        <v>3744</v>
      </c>
      <c r="W9" s="3342" t="s">
        <v>3749</v>
      </c>
      <c r="X9" s="863">
        <f>SUM('4층_부하량(월간_AVG)'!D8:F8)</f>
        <v>32.453603100253581</v>
      </c>
      <c r="Y9" s="260">
        <f>SUM('4층_부하량(월간_AVG)'!N37:P37)</f>
        <v>34.228668104023164</v>
      </c>
      <c r="Z9" s="2452">
        <f t="shared" si="0"/>
        <v>66.682271204276745</v>
      </c>
      <c r="AA9" s="2715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5103</v>
      </c>
      <c r="AB9" s="2718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5397.3</v>
      </c>
      <c r="AC9" s="3214" cm="1">
        <f t="array" ref="AC9">INDEX('각층분기별_유효전력최대(전월)'!C8:C2024,MATCH(1,("4-DaHall 1-PDU-02"='각층분기별_유효전력최대(전월)'!A8:A2024)*("[branch#004] [A] W"='각층분기별_유효전력최대(전월)'!B8:B2024),0))</f>
        <v>7.5259999999999998</v>
      </c>
      <c r="AD9" s="2477">
        <f t="shared" si="6"/>
        <v>10500.3</v>
      </c>
      <c r="AE9" s="3801" t="s">
        <v>3761</v>
      </c>
      <c r="AG9">
        <v>68.099999999999994</v>
      </c>
      <c r="AH9" s="1366">
        <f t="shared" si="1"/>
        <v>-1.4177287957232494</v>
      </c>
      <c r="AJ9" s="2367">
        <f t="shared" si="2"/>
        <v>14.113306451612901</v>
      </c>
      <c r="AK9" s="2367">
        <f t="shared" si="3"/>
        <v>3.4866935483871</v>
      </c>
      <c r="AL9" s="123" t="str">
        <f t="shared" si="4"/>
        <v>적정함</v>
      </c>
      <c r="AR9" s="123" t="str">
        <v>301~311Bay
/POP D열</v>
      </c>
      <c r="AS9" s="123" t="str">
        <v>G4401-G4411</v>
      </c>
      <c r="AT9" t="str">
        <v>Sejong Telecom Inc.</v>
      </c>
      <c r="AU9" s="3084">
        <v>17.600000000000001</v>
      </c>
      <c r="AV9" s="123" t="str">
        <v>4-DaHall 1-PDU-02-100-5</v>
      </c>
      <c r="AW9" s="123" t="str">
        <v>4-DaHall 1-PDU-01-100-5</v>
      </c>
      <c r="AX9" s="3085">
        <v>40.550416984927338</v>
      </c>
      <c r="AY9" s="3086">
        <v>41.059504115926664</v>
      </c>
      <c r="AZ9" s="3087">
        <v>81.609921100853995</v>
      </c>
      <c r="BA9" s="3125">
        <v>6614.9</v>
      </c>
      <c r="BB9" s="3126">
        <v>6665.1</v>
      </c>
      <c r="BC9" s="3090">
        <v>2.7170000000000001</v>
      </c>
      <c r="BD9" s="123">
        <v>13280</v>
      </c>
      <c r="BE9">
        <v>0</v>
      </c>
    </row>
    <row r="10" spans="1:57" ht="28.8">
      <c r="A10" s="1127" t="s">
        <v>3762</v>
      </c>
      <c r="B10" s="998" t="s">
        <v>9177</v>
      </c>
      <c r="C10" s="1139" t="s">
        <v>9174</v>
      </c>
      <c r="D10" s="3025">
        <f t="shared" si="7"/>
        <v>17.600000000000001</v>
      </c>
      <c r="E10" s="250" t="s">
        <v>3758</v>
      </c>
      <c r="F10" s="2636" t="s">
        <v>3763</v>
      </c>
      <c r="G10" s="2641" t="s">
        <v>3764</v>
      </c>
      <c r="H10" s="2063" t="str">
        <f>"4-DaHall 1-PDU-"&amp;L10&amp;"-"&amp;K10&amp;"-"&amp;M10</f>
        <v>4-DaHall 1-PDU-02-100-4</v>
      </c>
      <c r="I10" s="2049" t="str">
        <f t="shared" si="8"/>
        <v>4-DaHall 1-PDU-01-100-4</v>
      </c>
      <c r="J10" s="2059">
        <v>220</v>
      </c>
      <c r="K10" s="1793">
        <v>100</v>
      </c>
      <c r="L10" s="2369" t="s">
        <v>6494</v>
      </c>
      <c r="M10" s="1452">
        <v>4</v>
      </c>
      <c r="N10" s="2053">
        <v>220</v>
      </c>
      <c r="O10" s="1794">
        <v>100</v>
      </c>
      <c r="P10" s="2370" t="s">
        <v>6498</v>
      </c>
      <c r="Q10" s="1451">
        <v>4</v>
      </c>
      <c r="R10" s="3663"/>
      <c r="S10" s="3343"/>
      <c r="T10" s="3340"/>
      <c r="U10" s="3343"/>
      <c r="V10" s="3340"/>
      <c r="W10" s="3343"/>
      <c r="X10" s="863">
        <f>SUM('4층_부하량(월간_AVG)'!D9:F9)</f>
        <v>35.894050316547165</v>
      </c>
      <c r="Y10" s="260">
        <f>SUM('4층_부하량(월간_AVG)'!N38:P38)</f>
        <v>37.155698504598092</v>
      </c>
      <c r="Z10" s="2452">
        <f t="shared" si="0"/>
        <v>73.049748821145258</v>
      </c>
      <c r="AA10" s="2715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5540</v>
      </c>
      <c r="AB10" s="2718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5768.5</v>
      </c>
      <c r="AC10" s="3214" cm="1">
        <f t="array" ref="AC10">INDEX('각층분기별_유효전력최대(전월)'!C9:C2025,MATCH(1,("4-DaHall 1-PDU-02"='각층분기별_유효전력최대(전월)'!A9:A2025)*("[branch#005] [A] W"='각층분기별_유효전력최대(전월)'!B9:B2025),0))</f>
        <v>9.2219999999999995</v>
      </c>
      <c r="AD10" s="2477">
        <f t="shared" si="6"/>
        <v>11308.5</v>
      </c>
      <c r="AE10" s="3802"/>
      <c r="AG10">
        <v>74.099999999999994</v>
      </c>
      <c r="AH10" s="1366">
        <f t="shared" si="1"/>
        <v>-1.0502511788547366</v>
      </c>
      <c r="AJ10" s="2367">
        <f t="shared" si="2"/>
        <v>15.199596774193548</v>
      </c>
      <c r="AK10" s="2367">
        <f t="shared" si="3"/>
        <v>2.4004032258064534</v>
      </c>
      <c r="AL10" s="123" t="str">
        <f t="shared" si="4"/>
        <v>적정함</v>
      </c>
      <c r="AR10" s="123" t="str">
        <v>401~411Bay
/POP E열</v>
      </c>
      <c r="AS10" s="123" t="str">
        <v>G4301-G4311</v>
      </c>
      <c r="AT10" t="str">
        <v>Sejong Telecom Inc.</v>
      </c>
      <c r="AU10" s="3084">
        <v>17.600000000000001</v>
      </c>
      <c r="AV10" s="123" t="str">
        <v>4-DaHall 1-PDU-02-100-2</v>
      </c>
      <c r="AW10" s="123" t="str">
        <v>4-DaHall 1-PDU-01-100-2</v>
      </c>
      <c r="AX10" s="3085">
        <v>35.123797999351943</v>
      </c>
      <c r="AY10" s="3086">
        <v>37.416822660522101</v>
      </c>
      <c r="AZ10" s="3087">
        <v>72.540620659874037</v>
      </c>
      <c r="BA10" s="3125">
        <v>5521.9</v>
      </c>
      <c r="BB10" s="3126">
        <v>5922.7</v>
      </c>
      <c r="BC10" s="3090">
        <v>6.319</v>
      </c>
      <c r="BD10" s="123">
        <v>11444.599999999999</v>
      </c>
      <c r="BE10">
        <v>0</v>
      </c>
    </row>
    <row r="11" spans="1:57" ht="28.8">
      <c r="A11" s="1127" t="s">
        <v>3765</v>
      </c>
      <c r="B11" s="998" t="s">
        <v>9178</v>
      </c>
      <c r="C11" s="1139" t="s">
        <v>9174</v>
      </c>
      <c r="D11" s="3025">
        <f t="shared" si="7"/>
        <v>17.600000000000001</v>
      </c>
      <c r="E11" s="250" t="s">
        <v>3758</v>
      </c>
      <c r="F11" s="2636" t="s">
        <v>3766</v>
      </c>
      <c r="G11" s="2641" t="s">
        <v>3767</v>
      </c>
      <c r="H11" s="2063" t="str">
        <f t="shared" ref="H11:H14" si="9">"4-DaHall 1-PDU-"&amp;L11&amp;"-"&amp;K11&amp;"-"&amp;M11</f>
        <v>4-DaHall 1-PDU-02-100-5</v>
      </c>
      <c r="I11" s="2049" t="str">
        <f t="shared" si="8"/>
        <v>4-DaHall 1-PDU-01-100-5</v>
      </c>
      <c r="J11" s="2059">
        <v>220</v>
      </c>
      <c r="K11" s="1793">
        <v>100</v>
      </c>
      <c r="L11" s="2369" t="s">
        <v>6494</v>
      </c>
      <c r="M11" s="1452">
        <v>5</v>
      </c>
      <c r="N11" s="2053">
        <v>220</v>
      </c>
      <c r="O11" s="1794">
        <v>100</v>
      </c>
      <c r="P11" s="2370" t="s">
        <v>6498</v>
      </c>
      <c r="Q11" s="1451">
        <v>5</v>
      </c>
      <c r="R11" s="3663"/>
      <c r="S11" s="3343"/>
      <c r="T11" s="3340"/>
      <c r="U11" s="3343"/>
      <c r="V11" s="3340"/>
      <c r="W11" s="3343"/>
      <c r="X11" s="863">
        <f>SUM('4층_부하량(월간_AVG)'!D10:F10)</f>
        <v>40.550416984927338</v>
      </c>
      <c r="Y11" s="260">
        <f>SUM('4층_부하량(월간_AVG)'!N39:P39)</f>
        <v>41.059504115926664</v>
      </c>
      <c r="Z11" s="2452">
        <f t="shared" si="0"/>
        <v>81.609921100853995</v>
      </c>
      <c r="AA11" s="2715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6614.9</v>
      </c>
      <c r="AB11" s="2718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6665.1</v>
      </c>
      <c r="AC11" s="3214" cm="1">
        <f t="array" ref="AC11">INDEX('각층분기별_유효전력최대(전월)'!C10:C2026,MATCH(1,("4-DaHall 1-PDU-02"='각층분기별_유효전력최대(전월)'!A10:A2026)*("[branch#006] [A] W"='각층분기별_유효전력최대(전월)'!B10:B2026),0))</f>
        <v>2.7170000000000001</v>
      </c>
      <c r="AD11" s="2477">
        <f t="shared" si="6"/>
        <v>13280</v>
      </c>
      <c r="AE11" s="3802"/>
      <c r="AG11">
        <v>80.3</v>
      </c>
      <c r="AH11" s="1366">
        <f t="shared" si="1"/>
        <v>1.3099211008539982</v>
      </c>
      <c r="AJ11" s="2367">
        <f t="shared" si="2"/>
        <v>17.849462365591396</v>
      </c>
      <c r="AK11" s="2367">
        <f t="shared" si="3"/>
        <v>-0.24946236559139479</v>
      </c>
      <c r="AL11" s="123" t="str">
        <f t="shared" si="4"/>
        <v>사용초과</v>
      </c>
      <c r="AR11" s="123" t="str">
        <v>501~511Bay
/POP F열</v>
      </c>
      <c r="AS11" s="123" t="str">
        <v>G4201-G4211</v>
      </c>
      <c r="AT11" t="str">
        <v>Sejong Telecom Inc.</v>
      </c>
      <c r="AU11" s="3084">
        <v>17.600000000000001</v>
      </c>
      <c r="AV11" s="123" t="str">
        <v>4-DaHall 1-PDU-04-100-2</v>
      </c>
      <c r="AW11" s="123" t="str">
        <v>4-DaHall 1-PDU-03-100-2</v>
      </c>
      <c r="AX11" s="3085">
        <v>39.435236245558251</v>
      </c>
      <c r="AY11" s="3086">
        <v>32.196759763022428</v>
      </c>
      <c r="AZ11" s="3087">
        <v>71.631996008580671</v>
      </c>
      <c r="BA11" s="3125">
        <v>6292.2</v>
      </c>
      <c r="BB11" s="3126">
        <v>5187.8999999999996</v>
      </c>
      <c r="BC11" s="3090">
        <v>4.79</v>
      </c>
      <c r="BD11" s="123">
        <v>11480.099999999999</v>
      </c>
      <c r="BE11">
        <v>0</v>
      </c>
    </row>
    <row r="12" spans="1:57" ht="28.8">
      <c r="A12" s="1127" t="s">
        <v>3768</v>
      </c>
      <c r="B12" s="998" t="s">
        <v>9179</v>
      </c>
      <c r="C12" s="1139" t="s">
        <v>9174</v>
      </c>
      <c r="D12" s="3025">
        <f t="shared" si="7"/>
        <v>17.600000000000001</v>
      </c>
      <c r="E12" s="250" t="s">
        <v>3758</v>
      </c>
      <c r="F12" s="2636" t="s">
        <v>3769</v>
      </c>
      <c r="G12" s="2641" t="s">
        <v>3770</v>
      </c>
      <c r="H12" s="2063" t="str">
        <f t="shared" si="9"/>
        <v>4-DaHall 1-PDU-02-100-2</v>
      </c>
      <c r="I12" s="2049" t="str">
        <f t="shared" si="8"/>
        <v>4-DaHall 1-PDU-01-100-2</v>
      </c>
      <c r="J12" s="2059">
        <v>220</v>
      </c>
      <c r="K12" s="1793">
        <v>100</v>
      </c>
      <c r="L12" s="2369" t="s">
        <v>6494</v>
      </c>
      <c r="M12" s="1452">
        <v>2</v>
      </c>
      <c r="N12" s="2053">
        <v>220</v>
      </c>
      <c r="O12" s="1794">
        <v>100</v>
      </c>
      <c r="P12" s="2370" t="s">
        <v>6498</v>
      </c>
      <c r="Q12" s="1451">
        <v>2</v>
      </c>
      <c r="R12" s="3704"/>
      <c r="S12" s="3359"/>
      <c r="T12" s="3346"/>
      <c r="U12" s="3359"/>
      <c r="V12" s="3346"/>
      <c r="W12" s="3359"/>
      <c r="X12" s="863">
        <f>SUM('4층_부하량(월간_AVG)'!D7:F7)</f>
        <v>35.123797999351943</v>
      </c>
      <c r="Y12" s="260">
        <f>SUM('4층_부하량(월간_AVG)'!N36:P36)</f>
        <v>37.416822660522101</v>
      </c>
      <c r="Z12" s="2452">
        <f t="shared" si="0"/>
        <v>72.540620659874037</v>
      </c>
      <c r="AA12" s="2715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5521.9</v>
      </c>
      <c r="AB12" s="2718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5922.7</v>
      </c>
      <c r="AC12" s="3214" cm="1">
        <f t="array" ref="AC12">INDEX('각층분기별_유효전력최대(전월)'!C11:C2027,MATCH(1,("4-DaHall 1-PDU-02"='각층분기별_유효전력최대(전월)'!A11:A2027)*("[branch#007] [A] W"='각층분기별_유효전력최대(전월)'!B11:B2027),0))</f>
        <v>6.319</v>
      </c>
      <c r="AD12" s="2477">
        <f t="shared" si="6"/>
        <v>11444.599999999999</v>
      </c>
      <c r="AE12" s="3802"/>
      <c r="AG12">
        <v>73.599999999999994</v>
      </c>
      <c r="AH12" s="1366">
        <f t="shared" si="1"/>
        <v>-1.0593793401259575</v>
      </c>
      <c r="AJ12" s="2367">
        <f t="shared" si="2"/>
        <v>15.382526881720429</v>
      </c>
      <c r="AK12" s="2367">
        <f t="shared" si="3"/>
        <v>2.2174731182795728</v>
      </c>
      <c r="AL12" s="123" t="str">
        <f t="shared" si="4"/>
        <v>적정함</v>
      </c>
      <c r="AR12" s="123" t="str">
        <v>601~611Bay
/1구역 B열</v>
      </c>
      <c r="AS12" s="123" t="str">
        <v>G4101-G4111</v>
      </c>
      <c r="AT12" t="str">
        <v>Sejong Telecom Inc.</v>
      </c>
      <c r="AU12" s="3084">
        <v>17.600000000000001</v>
      </c>
      <c r="AV12" s="123" t="str">
        <v>4-DaHall 1-PDU-04-100-3</v>
      </c>
      <c r="AW12" s="123" t="str">
        <v>4-DaHall 1-PDU-03-100-3</v>
      </c>
      <c r="AX12" s="3085">
        <v>28.193915464961371</v>
      </c>
      <c r="AY12" s="3086">
        <v>28.077009807419458</v>
      </c>
      <c r="AZ12" s="3087">
        <v>56.270925272380829</v>
      </c>
      <c r="BA12" s="3125">
        <v>4557.3999999999996</v>
      </c>
      <c r="BB12" s="3126">
        <v>4489.5</v>
      </c>
      <c r="BC12" s="3090">
        <v>0</v>
      </c>
      <c r="BD12" s="123">
        <v>9046.9</v>
      </c>
      <c r="BE12">
        <v>0</v>
      </c>
    </row>
    <row r="13" spans="1:57" ht="28.8">
      <c r="A13" s="1127" t="s">
        <v>3771</v>
      </c>
      <c r="B13" s="998" t="s">
        <v>9180</v>
      </c>
      <c r="C13" s="1139" t="s">
        <v>9174</v>
      </c>
      <c r="D13" s="3025">
        <f t="shared" si="7"/>
        <v>17.600000000000001</v>
      </c>
      <c r="E13" s="250" t="s">
        <v>3758</v>
      </c>
      <c r="F13" s="2636" t="s">
        <v>3772</v>
      </c>
      <c r="G13" s="2641" t="s">
        <v>3773</v>
      </c>
      <c r="H13" s="2063" t="str">
        <f t="shared" si="9"/>
        <v>4-DaHall 1-PDU-04-100-2</v>
      </c>
      <c r="I13" s="2049" t="str">
        <f t="shared" si="8"/>
        <v>4-DaHall 1-PDU-03-100-2</v>
      </c>
      <c r="J13" s="2059">
        <v>220</v>
      </c>
      <c r="K13" s="1793">
        <v>100</v>
      </c>
      <c r="L13" s="2369" t="s">
        <v>6496</v>
      </c>
      <c r="M13" s="1452">
        <v>2</v>
      </c>
      <c r="N13" s="2053">
        <v>220</v>
      </c>
      <c r="O13" s="1794">
        <v>100</v>
      </c>
      <c r="P13" s="2370" t="s">
        <v>6500</v>
      </c>
      <c r="Q13" s="1451">
        <v>2</v>
      </c>
      <c r="R13" s="3665" t="s">
        <v>3774</v>
      </c>
      <c r="S13" s="3342" t="s">
        <v>3775</v>
      </c>
      <c r="T13" s="3339" t="s">
        <v>3776</v>
      </c>
      <c r="U13" s="3342" t="s">
        <v>3777</v>
      </c>
      <c r="V13" s="3339" t="s">
        <v>3744</v>
      </c>
      <c r="W13" s="3342" t="s">
        <v>3749</v>
      </c>
      <c r="X13" s="863">
        <f>SUM('4층_부하량(월간_AVG)'!N7:P7)</f>
        <v>39.435236245558251</v>
      </c>
      <c r="Y13" s="260">
        <f>SUM('4층_부하량(월간_AVG)'!D49:F49)</f>
        <v>32.196759763022428</v>
      </c>
      <c r="Z13" s="2452">
        <f t="shared" si="0"/>
        <v>71.631996008580671</v>
      </c>
      <c r="AA13" s="2715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6292.2</v>
      </c>
      <c r="AB13" s="2718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5187.8999999999996</v>
      </c>
      <c r="AC13" s="3214" cm="1">
        <f t="array" ref="AC13">INDEX('각층분기별_유효전력최대(전월)'!C12:C2028,MATCH(1,("4-DaHall 1-PDU-04"='각층분기별_유효전력최대(전월)'!A12:A2028)*("[branch#008] [A] W"='각층분기별_유효전력최대(전월)'!B12:B2028),0))</f>
        <v>4.79</v>
      </c>
      <c r="AD13" s="2477">
        <f t="shared" si="6"/>
        <v>11480.099999999999</v>
      </c>
      <c r="AE13" s="3802"/>
      <c r="AG13">
        <v>73.2</v>
      </c>
      <c r="AH13" s="1366">
        <f t="shared" si="1"/>
        <v>-1.5680039914193316</v>
      </c>
      <c r="AJ13" s="2367">
        <f t="shared" si="2"/>
        <v>15.430241935483869</v>
      </c>
      <c r="AK13" s="2367">
        <f t="shared" si="3"/>
        <v>2.1697580645161327</v>
      </c>
      <c r="AL13" s="123" t="str">
        <f t="shared" si="4"/>
        <v>적정함</v>
      </c>
      <c r="AR13" s="123">
        <v>0</v>
      </c>
      <c r="AS13" s="123" t="str">
        <v>B418</v>
      </c>
      <c r="AT13" t="str">
        <v>Sejong Telecom Inc.</v>
      </c>
      <c r="AU13" s="3084">
        <v>0</v>
      </c>
      <c r="AV13" s="123">
        <v>0</v>
      </c>
      <c r="AW13" s="123">
        <v>0</v>
      </c>
      <c r="AX13" s="3085">
        <v>0</v>
      </c>
      <c r="AY13" s="3086">
        <v>0</v>
      </c>
      <c r="AZ13" s="3087">
        <v>0</v>
      </c>
      <c r="BA13" s="3125">
        <v>0</v>
      </c>
      <c r="BB13" s="3126">
        <v>0</v>
      </c>
      <c r="BC13" s="3090">
        <v>0</v>
      </c>
      <c r="BD13" s="123">
        <v>0</v>
      </c>
      <c r="BE13">
        <v>0</v>
      </c>
    </row>
    <row r="14" spans="1:57" ht="28.8">
      <c r="A14" s="1127" t="s">
        <v>3778</v>
      </c>
      <c r="B14" s="998" t="s">
        <v>9181</v>
      </c>
      <c r="C14" s="1139" t="s">
        <v>9174</v>
      </c>
      <c r="D14" s="3026">
        <f t="shared" si="7"/>
        <v>17.600000000000001</v>
      </c>
      <c r="E14" s="250" t="s">
        <v>3758</v>
      </c>
      <c r="F14" s="2636" t="s">
        <v>3779</v>
      </c>
      <c r="G14" s="2641" t="s">
        <v>3780</v>
      </c>
      <c r="H14" s="2063" t="str">
        <f t="shared" si="9"/>
        <v>4-DaHall 1-PDU-04-100-3</v>
      </c>
      <c r="I14" s="2049" t="str">
        <f t="shared" si="8"/>
        <v>4-DaHall 1-PDU-03-100-3</v>
      </c>
      <c r="J14" s="2059">
        <v>220</v>
      </c>
      <c r="K14" s="1793">
        <v>100</v>
      </c>
      <c r="L14" s="2369" t="s">
        <v>6496</v>
      </c>
      <c r="M14" s="1452">
        <v>3</v>
      </c>
      <c r="N14" s="2053">
        <v>220</v>
      </c>
      <c r="O14" s="1794">
        <v>100</v>
      </c>
      <c r="P14" s="2370" t="s">
        <v>6500</v>
      </c>
      <c r="Q14" s="1451">
        <v>3</v>
      </c>
      <c r="R14" s="3663"/>
      <c r="S14" s="3343"/>
      <c r="T14" s="3340"/>
      <c r="U14" s="3343"/>
      <c r="V14" s="3340"/>
      <c r="W14" s="3343"/>
      <c r="X14" s="824">
        <f>SUM('4층_부하량(월간_AVG)'!N8:P8)</f>
        <v>28.193915464961371</v>
      </c>
      <c r="Y14" s="1403">
        <f>SUM('4층_부하량(월간_AVG)'!D50:F50)</f>
        <v>28.077009807419458</v>
      </c>
      <c r="Z14" s="2459">
        <f t="shared" ref="Z14" si="10">SUM(X14:Y14)</f>
        <v>56.270925272380829</v>
      </c>
      <c r="AA14" s="2720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4557.3999999999996</v>
      </c>
      <c r="AB14" s="2718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4489.5</v>
      </c>
      <c r="AC14" s="3214" cm="1">
        <f t="array" ref="AC14">INDEX('각층분기별_유효전력최대(전월)'!C13:C2029,MATCH(1,("4-DaHall 1-PDU-04"='각층분기별_유효전력최대(전월)'!A13:A2029)*("[branch#009] [A] W"='각층분기별_유효전력최대(전월)'!B13:B2029),0))</f>
        <v>0</v>
      </c>
      <c r="AD14" s="2477">
        <f t="shared" si="6"/>
        <v>9046.9</v>
      </c>
      <c r="AE14" s="3803"/>
      <c r="AG14">
        <v>57.5</v>
      </c>
      <c r="AH14" s="1366">
        <f t="shared" si="1"/>
        <v>-1.2290747276191709</v>
      </c>
      <c r="AJ14" s="2367">
        <f t="shared" si="2"/>
        <v>12.15981182795699</v>
      </c>
      <c r="AK14" s="2367">
        <f t="shared" si="3"/>
        <v>5.4401881720430119</v>
      </c>
      <c r="AL14" s="123" t="str">
        <f t="shared" si="4"/>
        <v>적정함</v>
      </c>
      <c r="AR14" s="123">
        <v>0</v>
      </c>
      <c r="AS14" s="123" t="str">
        <v>B419</v>
      </c>
      <c r="AT14" t="str">
        <v>Sejong Telecom Inc.</v>
      </c>
      <c r="AU14" s="3084">
        <v>0</v>
      </c>
      <c r="AV14" s="123">
        <v>0</v>
      </c>
      <c r="AW14" s="123">
        <v>0</v>
      </c>
      <c r="AX14" s="3085">
        <v>0</v>
      </c>
      <c r="AY14" s="3086">
        <v>0</v>
      </c>
      <c r="AZ14" s="3087">
        <v>0</v>
      </c>
      <c r="BA14" s="3125">
        <v>0</v>
      </c>
      <c r="BB14" s="3126">
        <v>0</v>
      </c>
      <c r="BC14" s="3090">
        <v>0</v>
      </c>
      <c r="BD14" s="123">
        <v>0</v>
      </c>
      <c r="BE14">
        <v>0</v>
      </c>
    </row>
    <row r="15" spans="1:57" ht="27" thickBot="1">
      <c r="A15" s="1128"/>
      <c r="B15" s="1129"/>
      <c r="C15" s="1140"/>
      <c r="D15" s="1140"/>
      <c r="E15" s="2661"/>
      <c r="F15" s="2637"/>
      <c r="G15" s="2643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664"/>
      <c r="S15" s="3344"/>
      <c r="T15" s="3341"/>
      <c r="U15" s="3344"/>
      <c r="V15" s="3341"/>
      <c r="W15" s="3344"/>
      <c r="X15" s="1130"/>
      <c r="Y15" s="2075"/>
      <c r="Z15" s="2460"/>
      <c r="AA15" s="2721"/>
      <c r="AB15" s="2722"/>
      <c r="AC15" s="3214"/>
      <c r="AD15" s="2478"/>
      <c r="AE15" s="2499" t="s">
        <v>3781</v>
      </c>
      <c r="AG15">
        <v>0</v>
      </c>
      <c r="AH15" s="1366">
        <f t="shared" si="1"/>
        <v>0</v>
      </c>
      <c r="AJ15" s="2367">
        <f t="shared" si="2"/>
        <v>0</v>
      </c>
      <c r="AK15" s="2367">
        <f t="shared" si="3"/>
        <v>0</v>
      </c>
      <c r="AL15" s="123" t="str">
        <f t="shared" si="4"/>
        <v>무부하 랙</v>
      </c>
      <c r="AR15" s="123">
        <v>0</v>
      </c>
      <c r="AS15" s="123" t="str">
        <v>C1008</v>
      </c>
      <c r="AT15" t="str">
        <v>Sejong Telecom Inc.</v>
      </c>
      <c r="AU15" s="3084">
        <v>0</v>
      </c>
      <c r="AV15" s="123">
        <v>0</v>
      </c>
      <c r="AW15" s="123">
        <v>0</v>
      </c>
      <c r="AX15" s="3085">
        <v>0</v>
      </c>
      <c r="AY15" s="3086">
        <v>0</v>
      </c>
      <c r="AZ15" s="3087">
        <v>0</v>
      </c>
      <c r="BA15" s="3125">
        <v>0</v>
      </c>
      <c r="BB15" s="3126">
        <v>0</v>
      </c>
      <c r="BC15" s="3090">
        <v>0</v>
      </c>
      <c r="BD15" s="123">
        <v>0</v>
      </c>
      <c r="BE15">
        <v>0</v>
      </c>
    </row>
    <row r="16" spans="1:57" ht="14.25" customHeight="1" thickTop="1">
      <c r="A16" s="3705" t="s">
        <v>4084</v>
      </c>
      <c r="B16" s="1131" t="s">
        <v>2371</v>
      </c>
      <c r="C16" s="1145" t="s">
        <v>9183</v>
      </c>
      <c r="D16" s="3659">
        <f>2.2*6</f>
        <v>13.200000000000001</v>
      </c>
      <c r="E16" s="327" t="s">
        <v>4085</v>
      </c>
      <c r="F16" s="3354" t="s">
        <v>4086</v>
      </c>
      <c r="G16" s="3708" t="s">
        <v>4087</v>
      </c>
      <c r="H16" s="3675" t="str">
        <f>"4-DaHall 1-PDU-"&amp;L16&amp;"-"&amp;K16&amp;"-"&amp;M16</f>
        <v>4-DaHall 1-PDU-08-100-2</v>
      </c>
      <c r="I16" s="3678" t="str">
        <f>"4-DaHall 1-PDU-"&amp;P16&amp;"-"&amp;O16&amp;"-"&amp;Q16</f>
        <v>4-DaHall 1-PDU-07-100-2</v>
      </c>
      <c r="J16" s="3766">
        <v>220</v>
      </c>
      <c r="K16" s="3769">
        <v>100</v>
      </c>
      <c r="L16" s="3687" t="s">
        <v>6505</v>
      </c>
      <c r="M16" s="3689">
        <v>2</v>
      </c>
      <c r="N16" s="3772">
        <v>220</v>
      </c>
      <c r="O16" s="3775">
        <v>100</v>
      </c>
      <c r="P16" s="3698" t="s">
        <v>6492</v>
      </c>
      <c r="Q16" s="3701">
        <v>2</v>
      </c>
      <c r="R16" s="3662" t="s">
        <v>4032</v>
      </c>
      <c r="S16" s="3345" t="s">
        <v>4033</v>
      </c>
      <c r="T16" s="3354" t="s">
        <v>4034</v>
      </c>
      <c r="U16" s="3345" t="s">
        <v>4035</v>
      </c>
      <c r="V16" s="3354" t="s">
        <v>3744</v>
      </c>
      <c r="W16" s="3345" t="s">
        <v>3749</v>
      </c>
      <c r="X16" s="3724">
        <f>SUM('4층_부하량(월간_AVG)'!N20:P20)</f>
        <v>33.292204035950363</v>
      </c>
      <c r="Y16" s="3721">
        <f>SUM('4층_부하량(월간_AVG)'!D65:F65)</f>
        <v>33.58008236793944</v>
      </c>
      <c r="Z16" s="3544">
        <f>SUM(X16:Y16)</f>
        <v>66.872286403889802</v>
      </c>
      <c r="AA16" s="3718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5248.5</v>
      </c>
      <c r="AB16" s="3781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5321.1</v>
      </c>
      <c r="AC16" s="3214" cm="1">
        <f t="array" ref="AC16">INDEX('각층분기별_유효전력최대(전월)'!C15:C2031,MATCH(1,("4-DaHall 1-PDU-02"='각층분기별_유효전력최대(전월)'!A15:A2031)*("[branch#001] [A] W"='각층분기별_유효전력최대(전월)'!B15:B2031),0))</f>
        <v>0.36199999999999999</v>
      </c>
      <c r="AD16" s="3545">
        <f>SUM(AA16:AB21)</f>
        <v>10569.6</v>
      </c>
      <c r="AE16" s="3807" t="s">
        <v>4088</v>
      </c>
      <c r="AG16">
        <v>67.900000000000006</v>
      </c>
      <c r="AH16" s="1366">
        <f t="shared" si="1"/>
        <v>-1.0277135961102033</v>
      </c>
      <c r="AJ16" s="2367">
        <f t="shared" si="2"/>
        <v>14.206451612903226</v>
      </c>
      <c r="AK16" s="2367">
        <f t="shared" si="3"/>
        <v>-1.0064516129032253</v>
      </c>
      <c r="AL16" s="123" t="str">
        <f t="shared" si="4"/>
        <v>사용초과</v>
      </c>
      <c r="AR16" s="123"/>
      <c r="AS16" s="123"/>
      <c r="AU16" s="3084"/>
      <c r="AV16" s="123"/>
      <c r="AW16" s="123"/>
      <c r="AX16" s="3085"/>
      <c r="AY16" s="3086"/>
      <c r="AZ16" s="3087"/>
      <c r="BA16" s="3088"/>
      <c r="BB16" s="3089"/>
      <c r="BC16" s="3090"/>
      <c r="BD16" s="123"/>
    </row>
    <row r="17" spans="1:56">
      <c r="A17" s="3706"/>
      <c r="B17" s="2654" t="s">
        <v>4089</v>
      </c>
      <c r="C17" s="1146" t="s">
        <v>9183</v>
      </c>
      <c r="D17" s="3660"/>
      <c r="E17" s="250" t="s">
        <v>4090</v>
      </c>
      <c r="F17" s="3340"/>
      <c r="G17" s="3709"/>
      <c r="H17" s="3676"/>
      <c r="I17" s="3679"/>
      <c r="J17" s="3767"/>
      <c r="K17" s="3770"/>
      <c r="L17" s="3521"/>
      <c r="M17" s="3690"/>
      <c r="N17" s="3773"/>
      <c r="O17" s="3776"/>
      <c r="P17" s="3699"/>
      <c r="Q17" s="3702"/>
      <c r="R17" s="3663"/>
      <c r="S17" s="3343"/>
      <c r="T17" s="3340"/>
      <c r="U17" s="3343"/>
      <c r="V17" s="3340"/>
      <c r="W17" s="3343"/>
      <c r="X17" s="3725"/>
      <c r="Y17" s="3722"/>
      <c r="Z17" s="3398"/>
      <c r="AA17" s="3719"/>
      <c r="AB17" s="3782"/>
      <c r="AC17" s="3214" cm="1">
        <f t="array" ref="AC17">INDEX('각층분기별_유효전력최대(전월)'!C16:C2032,MATCH(1,("4-DaHall 1-PDU-02"='각층분기별_유효전력최대(전월)'!A16:A2032)*("[branch#001] [A] W"='각층분기별_유효전력최대(전월)'!B16:B2032),0))</f>
        <v>0.36199999999999999</v>
      </c>
      <c r="AD17" s="3535"/>
      <c r="AE17" s="3802"/>
      <c r="AG17">
        <v>0</v>
      </c>
      <c r="AH17" s="1366">
        <f t="shared" si="1"/>
        <v>0</v>
      </c>
      <c r="AJ17" s="2367">
        <f t="shared" si="2"/>
        <v>0</v>
      </c>
      <c r="AK17" s="2367">
        <f t="shared" si="3"/>
        <v>0</v>
      </c>
      <c r="AL17" s="123" t="str">
        <f t="shared" si="4"/>
        <v>무부하 랙</v>
      </c>
      <c r="AR17" s="123"/>
      <c r="AS17" s="123"/>
      <c r="AU17" s="3084"/>
      <c r="AV17" s="123"/>
      <c r="AW17" s="123"/>
      <c r="AX17" s="3085"/>
      <c r="AY17" s="3086"/>
      <c r="AZ17" s="3087"/>
      <c r="BA17" s="3088"/>
      <c r="BB17" s="3089"/>
      <c r="BC17" s="3090"/>
      <c r="BD17" s="123"/>
    </row>
    <row r="18" spans="1:56">
      <c r="A18" s="3706"/>
      <c r="B18" s="2654" t="s">
        <v>4091</v>
      </c>
      <c r="C18" s="1146" t="s">
        <v>9183</v>
      </c>
      <c r="D18" s="3660"/>
      <c r="E18" s="250" t="s">
        <v>4092</v>
      </c>
      <c r="F18" s="3340"/>
      <c r="G18" s="3709"/>
      <c r="H18" s="3676"/>
      <c r="I18" s="3679"/>
      <c r="J18" s="3767"/>
      <c r="K18" s="3770"/>
      <c r="L18" s="3521"/>
      <c r="M18" s="3690"/>
      <c r="N18" s="3773"/>
      <c r="O18" s="3776"/>
      <c r="P18" s="3699"/>
      <c r="Q18" s="3702"/>
      <c r="R18" s="3663"/>
      <c r="S18" s="3343"/>
      <c r="T18" s="3340"/>
      <c r="U18" s="3343"/>
      <c r="V18" s="3340"/>
      <c r="W18" s="3343"/>
      <c r="X18" s="3725"/>
      <c r="Y18" s="3722"/>
      <c r="Z18" s="3398"/>
      <c r="AA18" s="3719"/>
      <c r="AB18" s="3782"/>
      <c r="AC18" s="3214" cm="1">
        <f t="array" ref="AC18">INDEX('각층분기별_유효전력최대(전월)'!C17:C2033,MATCH(1,("4-DaHall 1-PDU-02"='각층분기별_유효전력최대(전월)'!A17:A2033)*("[branch#001] [A] W"='각층분기별_유효전력최대(전월)'!B17:B2033),0))</f>
        <v>0.36199999999999999</v>
      </c>
      <c r="AD18" s="3535"/>
      <c r="AE18" s="3802"/>
      <c r="AG18">
        <v>0</v>
      </c>
      <c r="AH18" s="1366">
        <f t="shared" si="1"/>
        <v>0</v>
      </c>
      <c r="AJ18" s="2367">
        <f t="shared" si="2"/>
        <v>0</v>
      </c>
      <c r="AK18" s="2367">
        <f t="shared" si="3"/>
        <v>0</v>
      </c>
      <c r="AL18" s="123" t="str">
        <f t="shared" si="4"/>
        <v>무부하 랙</v>
      </c>
      <c r="AR18" s="123"/>
      <c r="AS18" s="123"/>
      <c r="AU18" s="3084"/>
      <c r="AV18" s="123"/>
      <c r="AW18" s="123"/>
      <c r="AX18" s="3085"/>
      <c r="AY18" s="3086"/>
      <c r="AZ18" s="3087"/>
      <c r="BA18" s="3088"/>
      <c r="BB18" s="3089"/>
      <c r="BC18" s="3090"/>
      <c r="BD18" s="123"/>
    </row>
    <row r="19" spans="1:56">
      <c r="A19" s="3706"/>
      <c r="B19" s="2654" t="s">
        <v>4093</v>
      </c>
      <c r="C19" s="1146" t="s">
        <v>9183</v>
      </c>
      <c r="D19" s="3660"/>
      <c r="E19" s="250" t="s">
        <v>4094</v>
      </c>
      <c r="F19" s="3340"/>
      <c r="G19" s="3709"/>
      <c r="H19" s="3676"/>
      <c r="I19" s="3679"/>
      <c r="J19" s="3767"/>
      <c r="K19" s="3770"/>
      <c r="L19" s="3521"/>
      <c r="M19" s="3690"/>
      <c r="N19" s="3773"/>
      <c r="O19" s="3776"/>
      <c r="P19" s="3699"/>
      <c r="Q19" s="3702"/>
      <c r="R19" s="3663"/>
      <c r="S19" s="3343"/>
      <c r="T19" s="3340"/>
      <c r="U19" s="3343"/>
      <c r="V19" s="3340"/>
      <c r="W19" s="3343"/>
      <c r="X19" s="3725"/>
      <c r="Y19" s="3722"/>
      <c r="Z19" s="3398"/>
      <c r="AA19" s="3719"/>
      <c r="AB19" s="3782"/>
      <c r="AC19" s="3214" cm="1">
        <f t="array" ref="AC19">INDEX('각층분기별_유효전력최대(전월)'!C18:C2034,MATCH(1,("4-DaHall 1-PDU-02"='각층분기별_유효전력최대(전월)'!A18:A2034)*("[branch#001] [A] W"='각층분기별_유효전력최대(전월)'!B18:B2034),0))</f>
        <v>0.36199999999999999</v>
      </c>
      <c r="AD19" s="3535"/>
      <c r="AE19" s="3802"/>
      <c r="AG19">
        <v>0</v>
      </c>
      <c r="AH19" s="1366">
        <f t="shared" si="1"/>
        <v>0</v>
      </c>
      <c r="AJ19" s="2367">
        <f t="shared" si="2"/>
        <v>0</v>
      </c>
      <c r="AK19" s="2367">
        <f t="shared" si="3"/>
        <v>0</v>
      </c>
      <c r="AL19" s="123" t="str">
        <f t="shared" si="4"/>
        <v>무부하 랙</v>
      </c>
      <c r="AR19" s="123"/>
      <c r="AS19" s="123"/>
      <c r="AU19" s="3084"/>
      <c r="AV19" s="123"/>
      <c r="AW19" s="123"/>
      <c r="AX19" s="3085"/>
      <c r="AY19" s="3086"/>
      <c r="AZ19" s="3087"/>
      <c r="BA19" s="3088"/>
      <c r="BB19" s="3089"/>
      <c r="BC19" s="3090"/>
      <c r="BD19" s="123"/>
    </row>
    <row r="20" spans="1:56">
      <c r="A20" s="3706"/>
      <c r="B20" s="2654" t="s">
        <v>4095</v>
      </c>
      <c r="C20" s="1146" t="s">
        <v>9183</v>
      </c>
      <c r="D20" s="3660"/>
      <c r="E20" s="250" t="s">
        <v>4096</v>
      </c>
      <c r="F20" s="3340"/>
      <c r="G20" s="3709"/>
      <c r="H20" s="3676"/>
      <c r="I20" s="3679"/>
      <c r="J20" s="3767"/>
      <c r="K20" s="3770"/>
      <c r="L20" s="3521"/>
      <c r="M20" s="3690"/>
      <c r="N20" s="3773"/>
      <c r="O20" s="3776"/>
      <c r="P20" s="3699"/>
      <c r="Q20" s="3702"/>
      <c r="R20" s="3663"/>
      <c r="S20" s="3343"/>
      <c r="T20" s="3340"/>
      <c r="U20" s="3343"/>
      <c r="V20" s="3340"/>
      <c r="W20" s="3343"/>
      <c r="X20" s="3725"/>
      <c r="Y20" s="3722"/>
      <c r="Z20" s="3398"/>
      <c r="AA20" s="3719"/>
      <c r="AB20" s="3782"/>
      <c r="AC20" s="3214" cm="1">
        <f t="array" ref="AC20">INDEX('각층분기별_유효전력최대(전월)'!C19:C2035,MATCH(1,("4-DaHall 1-PDU-02"='각층분기별_유효전력최대(전월)'!A19:A2035)*("[branch#001] [A] W"='각층분기별_유효전력최대(전월)'!B19:B2035),0))</f>
        <v>0.36199999999999999</v>
      </c>
      <c r="AD20" s="3535"/>
      <c r="AE20" s="3802"/>
      <c r="AG20">
        <v>0</v>
      </c>
      <c r="AH20" s="1366">
        <f t="shared" si="1"/>
        <v>0</v>
      </c>
      <c r="AJ20" s="2367">
        <f t="shared" si="2"/>
        <v>0</v>
      </c>
      <c r="AK20" s="2367">
        <f t="shared" si="3"/>
        <v>0</v>
      </c>
      <c r="AL20" s="123" t="str">
        <f t="shared" si="4"/>
        <v>무부하 랙</v>
      </c>
      <c r="AR20" s="123"/>
      <c r="AS20" s="123"/>
      <c r="AU20" s="3084"/>
      <c r="AV20" s="123"/>
      <c r="AW20" s="123"/>
      <c r="AX20" s="3085"/>
      <c r="AY20" s="3086"/>
      <c r="AZ20" s="3087"/>
      <c r="BA20" s="3088"/>
      <c r="BB20" s="3089"/>
      <c r="BC20" s="3090"/>
      <c r="BD20" s="123"/>
    </row>
    <row r="21" spans="1:56" ht="15" thickBot="1">
      <c r="A21" s="3707"/>
      <c r="B21" s="1132" t="s">
        <v>4097</v>
      </c>
      <c r="C21" s="1143" t="s">
        <v>9183</v>
      </c>
      <c r="D21" s="3661"/>
      <c r="E21" s="2661" t="s">
        <v>4098</v>
      </c>
      <c r="F21" s="3341"/>
      <c r="G21" s="3710"/>
      <c r="H21" s="3677"/>
      <c r="I21" s="3680"/>
      <c r="J21" s="3768"/>
      <c r="K21" s="3771"/>
      <c r="L21" s="3688"/>
      <c r="M21" s="3691"/>
      <c r="N21" s="3774"/>
      <c r="O21" s="3777"/>
      <c r="P21" s="3700"/>
      <c r="Q21" s="3703"/>
      <c r="R21" s="3664"/>
      <c r="S21" s="3344"/>
      <c r="T21" s="3341"/>
      <c r="U21" s="3344"/>
      <c r="V21" s="3341"/>
      <c r="W21" s="3344"/>
      <c r="X21" s="3726"/>
      <c r="Y21" s="3723"/>
      <c r="Z21" s="3497"/>
      <c r="AA21" s="3720"/>
      <c r="AB21" s="3783"/>
      <c r="AC21" s="3214" cm="1">
        <f t="array" ref="AC21">INDEX('각층분기별_유효전력최대(전월)'!C20:C2036,MATCH(1,("4-DaHall 1-PDU-02"='각층분기별_유효전력최대(전월)'!A20:A2036)*("[branch#001] [A] W"='각층분기별_유효전력최대(전월)'!B20:B2036),0))</f>
        <v>0.36199999999999999</v>
      </c>
      <c r="AD21" s="3543"/>
      <c r="AE21" s="3808"/>
      <c r="AG21">
        <v>0</v>
      </c>
      <c r="AH21" s="1366">
        <f t="shared" si="1"/>
        <v>0</v>
      </c>
      <c r="AJ21" s="2367">
        <f t="shared" si="2"/>
        <v>0</v>
      </c>
      <c r="AK21" s="2367">
        <f t="shared" si="3"/>
        <v>0</v>
      </c>
      <c r="AL21" s="123" t="str">
        <f t="shared" si="4"/>
        <v>무부하 랙</v>
      </c>
      <c r="AR21" s="123"/>
      <c r="AS21" s="123"/>
      <c r="AU21" s="3084"/>
      <c r="AV21" s="123"/>
      <c r="AW21" s="123"/>
      <c r="AX21" s="3085"/>
      <c r="AY21" s="3086"/>
      <c r="AZ21" s="3087"/>
      <c r="BA21" s="3088"/>
      <c r="BB21" s="3089"/>
      <c r="BC21" s="3090"/>
      <c r="BD21" s="123"/>
    </row>
    <row r="22" spans="1:56" ht="14.25" customHeight="1" thickTop="1">
      <c r="A22" s="3705" t="s">
        <v>4110</v>
      </c>
      <c r="B22" s="1131" t="s">
        <v>3209</v>
      </c>
      <c r="C22" s="1145" t="s">
        <v>9183</v>
      </c>
      <c r="D22" s="3659">
        <v>6.6</v>
      </c>
      <c r="E22" s="327" t="s">
        <v>4111</v>
      </c>
      <c r="F22" s="3354" t="s">
        <v>4112</v>
      </c>
      <c r="G22" s="3708" t="s">
        <v>4113</v>
      </c>
      <c r="H22" s="3675" t="str">
        <f>"4-DaHall 1-PDU-"&amp;L22&amp;"-"&amp;K22&amp;"-"&amp;M22</f>
        <v>4-DaHall 1-PDU-08-100-6</v>
      </c>
      <c r="I22" s="3678" t="str">
        <f>"4-DaHall 1-PDU-"&amp;P22&amp;"-"&amp;O22&amp;"-"&amp;Q22</f>
        <v>4-DaHall 1-PDU-07-100-6</v>
      </c>
      <c r="J22" s="3766">
        <v>220</v>
      </c>
      <c r="K22" s="3769">
        <v>100</v>
      </c>
      <c r="L22" s="3687" t="s">
        <v>6505</v>
      </c>
      <c r="M22" s="3689">
        <v>6</v>
      </c>
      <c r="N22" s="3772">
        <v>220</v>
      </c>
      <c r="O22" s="3775">
        <v>100</v>
      </c>
      <c r="P22" s="3698" t="s">
        <v>6492</v>
      </c>
      <c r="Q22" s="3701">
        <v>6</v>
      </c>
      <c r="R22" s="3662" t="s">
        <v>4032</v>
      </c>
      <c r="S22" s="3345" t="s">
        <v>4033</v>
      </c>
      <c r="T22" s="3354" t="s">
        <v>4034</v>
      </c>
      <c r="U22" s="3345" t="s">
        <v>4035</v>
      </c>
      <c r="V22" s="3354" t="s">
        <v>3744</v>
      </c>
      <c r="W22" s="3345" t="s">
        <v>3749</v>
      </c>
      <c r="X22" s="3724">
        <f>SUM('4층_부하량(월간_AVG)'!N24:P24)</f>
        <v>12.016159416708657</v>
      </c>
      <c r="Y22" s="3721">
        <f>SUM('4층_부하량(월간_AVG)'!D69:F69)</f>
        <v>15.958598084731264</v>
      </c>
      <c r="Z22" s="3544">
        <f>SUM(X22:Y22)</f>
        <v>27.974757501439921</v>
      </c>
      <c r="AA22" s="3718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1690</v>
      </c>
      <c r="AB22" s="3781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2292.5</v>
      </c>
      <c r="AC22" s="3214" cm="1">
        <f t="array" ref="AC22">INDEX('각층분기별_유효전력최대(전월)'!C21:C2037,MATCH(1,("4-DaHall 1-PDU-02"='각층분기별_유효전력최대(전월)'!A21:A2037)*("[branch#001] [A] W"='각층분기별_유효전력최대(전월)'!B21:B2037),0))</f>
        <v>0.36199999999999999</v>
      </c>
      <c r="AD22" s="3545">
        <f>SUM(AA22:AB24)</f>
        <v>3982.5</v>
      </c>
      <c r="AE22" s="3807" t="s">
        <v>4088</v>
      </c>
      <c r="AG22">
        <v>28.200000000000003</v>
      </c>
      <c r="AH22" s="1366">
        <f t="shared" si="1"/>
        <v>-0.22524249856008183</v>
      </c>
      <c r="AJ22" s="2367">
        <f t="shared" si="2"/>
        <v>5.352822580645161</v>
      </c>
      <c r="AK22" s="2367">
        <f t="shared" si="3"/>
        <v>1.2471774193548386</v>
      </c>
      <c r="AL22" s="123" t="str">
        <f t="shared" si="4"/>
        <v>적정함</v>
      </c>
      <c r="AR22" s="123"/>
      <c r="AS22" s="123"/>
      <c r="AU22" s="3084"/>
      <c r="AV22" s="123"/>
      <c r="AW22" s="123"/>
      <c r="AX22" s="3085"/>
      <c r="AY22" s="3086"/>
      <c r="AZ22" s="3087"/>
      <c r="BA22" s="3088"/>
      <c r="BB22" s="3089"/>
      <c r="BC22" s="3090"/>
      <c r="BD22" s="123"/>
    </row>
    <row r="23" spans="1:56">
      <c r="A23" s="3706"/>
      <c r="B23" s="2654" t="s">
        <v>3215</v>
      </c>
      <c r="C23" s="1146" t="s">
        <v>9183</v>
      </c>
      <c r="D23" s="3660"/>
      <c r="E23" s="250" t="s">
        <v>4114</v>
      </c>
      <c r="F23" s="3340"/>
      <c r="G23" s="3709"/>
      <c r="H23" s="3676"/>
      <c r="I23" s="3679"/>
      <c r="J23" s="3767"/>
      <c r="K23" s="3770"/>
      <c r="L23" s="3521"/>
      <c r="M23" s="3690"/>
      <c r="N23" s="3773"/>
      <c r="O23" s="3776"/>
      <c r="P23" s="3699"/>
      <c r="Q23" s="3702"/>
      <c r="R23" s="3663"/>
      <c r="S23" s="3343"/>
      <c r="T23" s="3340"/>
      <c r="U23" s="3343"/>
      <c r="V23" s="3340"/>
      <c r="W23" s="3343"/>
      <c r="X23" s="3725"/>
      <c r="Y23" s="3722"/>
      <c r="Z23" s="3398"/>
      <c r="AA23" s="3719"/>
      <c r="AB23" s="3782"/>
      <c r="AC23" s="3214" cm="1">
        <f t="array" ref="AC23">INDEX('각층분기별_유효전력최대(전월)'!C22:C2038,MATCH(1,("4-DaHall 1-PDU-02"='각층분기별_유효전력최대(전월)'!A22:A2038)*("[branch#001] [A] W"='각층분기별_유효전력최대(전월)'!B22:B2038),0))</f>
        <v>0.36199999999999999</v>
      </c>
      <c r="AD23" s="3535"/>
      <c r="AE23" s="3802"/>
      <c r="AG23">
        <v>0</v>
      </c>
      <c r="AH23" s="1366">
        <f t="shared" si="1"/>
        <v>0</v>
      </c>
      <c r="AJ23" s="2367">
        <f t="shared" si="2"/>
        <v>0</v>
      </c>
      <c r="AK23" s="2367">
        <f t="shared" si="3"/>
        <v>0</v>
      </c>
      <c r="AL23" s="123" t="str">
        <f t="shared" si="4"/>
        <v>무부하 랙</v>
      </c>
      <c r="AR23" s="123"/>
      <c r="AS23" s="123"/>
      <c r="AU23" s="3084"/>
      <c r="AV23" s="123"/>
      <c r="AW23" s="123"/>
      <c r="AX23" s="3085"/>
      <c r="AY23" s="3086"/>
      <c r="AZ23" s="3087"/>
      <c r="BA23" s="3088"/>
      <c r="BB23" s="3089"/>
      <c r="BC23" s="3090"/>
      <c r="BD23" s="123"/>
    </row>
    <row r="24" spans="1:56" ht="15" thickBot="1">
      <c r="A24" s="3707"/>
      <c r="B24" s="2659" t="s">
        <v>4115</v>
      </c>
      <c r="C24" s="1143" t="s">
        <v>9183</v>
      </c>
      <c r="D24" s="3661"/>
      <c r="E24" s="1136" t="s">
        <v>4116</v>
      </c>
      <c r="F24" s="3341"/>
      <c r="G24" s="3710"/>
      <c r="H24" s="3677"/>
      <c r="I24" s="3680"/>
      <c r="J24" s="3768"/>
      <c r="K24" s="3771"/>
      <c r="L24" s="3688"/>
      <c r="M24" s="3691"/>
      <c r="N24" s="3774"/>
      <c r="O24" s="3777"/>
      <c r="P24" s="3700"/>
      <c r="Q24" s="3703"/>
      <c r="R24" s="3664"/>
      <c r="S24" s="3344"/>
      <c r="T24" s="3341"/>
      <c r="U24" s="3344"/>
      <c r="V24" s="3341"/>
      <c r="W24" s="3344"/>
      <c r="X24" s="3726"/>
      <c r="Y24" s="3723"/>
      <c r="Z24" s="3497"/>
      <c r="AA24" s="3720"/>
      <c r="AB24" s="3783"/>
      <c r="AC24" s="3214" cm="1">
        <f t="array" ref="AC24">INDEX('각층분기별_유효전력최대(전월)'!C23:C2039,MATCH(1,("4-DaHall 1-PDU-02"='각층분기별_유효전력최대(전월)'!A23:A2039)*("[branch#001] [A] W"='각층분기별_유효전력최대(전월)'!B23:B2039),0))</f>
        <v>0.36199999999999999</v>
      </c>
      <c r="AD24" s="3543"/>
      <c r="AE24" s="3808"/>
      <c r="AG24">
        <v>0</v>
      </c>
      <c r="AH24" s="1366">
        <f t="shared" si="1"/>
        <v>0</v>
      </c>
      <c r="AJ24" s="2367">
        <f t="shared" si="2"/>
        <v>0</v>
      </c>
      <c r="AK24" s="2367">
        <f t="shared" si="3"/>
        <v>0</v>
      </c>
      <c r="AL24" s="123" t="str">
        <f t="shared" si="4"/>
        <v>무부하 랙</v>
      </c>
      <c r="AR24" s="123"/>
      <c r="AS24" s="123"/>
      <c r="AU24" s="3084"/>
      <c r="AV24" s="123"/>
      <c r="AW24" s="123"/>
      <c r="AX24" s="3085"/>
      <c r="AY24" s="3086"/>
      <c r="AZ24" s="3087"/>
      <c r="BA24" s="3088"/>
      <c r="BB24" s="3089"/>
      <c r="BC24" s="3090"/>
      <c r="BD24" s="123"/>
    </row>
    <row r="25" spans="1:56" ht="14.25" customHeight="1" thickTop="1">
      <c r="A25" s="3705" t="s">
        <v>4099</v>
      </c>
      <c r="B25" s="1131" t="s">
        <v>4100</v>
      </c>
      <c r="C25" s="1145" t="s">
        <v>9183</v>
      </c>
      <c r="D25" s="3659">
        <v>11</v>
      </c>
      <c r="E25" s="327" t="s">
        <v>4101</v>
      </c>
      <c r="F25" s="3354" t="s">
        <v>4102</v>
      </c>
      <c r="G25" s="3708" t="s">
        <v>4103</v>
      </c>
      <c r="H25" s="3675" t="str">
        <f>"4-DaHall 1-PDU-"&amp;L25&amp;"-"&amp;K25&amp;"-"&amp;M25</f>
        <v>4-DaHall 1-PDU-08-100-4</v>
      </c>
      <c r="I25" s="3678" t="str">
        <f>"4-DaHall 1-PDU-"&amp;P25&amp;"-"&amp;O25&amp;"-"&amp;Q25</f>
        <v>4-DaHall 1-PDU-07-100-4</v>
      </c>
      <c r="J25" s="3766">
        <v>220</v>
      </c>
      <c r="K25" s="3769">
        <v>100</v>
      </c>
      <c r="L25" s="3687" t="s">
        <v>6505</v>
      </c>
      <c r="M25" s="3689">
        <v>4</v>
      </c>
      <c r="N25" s="3772">
        <v>220</v>
      </c>
      <c r="O25" s="3775">
        <v>100</v>
      </c>
      <c r="P25" s="3698" t="s">
        <v>6492</v>
      </c>
      <c r="Q25" s="3701">
        <v>4</v>
      </c>
      <c r="R25" s="3662" t="s">
        <v>4032</v>
      </c>
      <c r="S25" s="3345" t="s">
        <v>4033</v>
      </c>
      <c r="T25" s="3354" t="s">
        <v>4034</v>
      </c>
      <c r="U25" s="3345" t="s">
        <v>4035</v>
      </c>
      <c r="V25" s="3354" t="s">
        <v>3744</v>
      </c>
      <c r="W25" s="3345" t="s">
        <v>3749</v>
      </c>
      <c r="X25" s="3724">
        <f>SUM('4층_부하량(월간_AVG)'!N22:P22)</f>
        <v>9.4764818599094038</v>
      </c>
      <c r="Y25" s="3721">
        <f>SUM('4층_부하량(월간_AVG)'!D67:F67)</f>
        <v>10.362030431576024</v>
      </c>
      <c r="Z25" s="3544">
        <f>SUM(X25:Y25)</f>
        <v>19.838512291485429</v>
      </c>
      <c r="AA25" s="3718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1483.3</v>
      </c>
      <c r="AB25" s="3781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1562.8</v>
      </c>
      <c r="AC25" s="3214" cm="1">
        <f t="array" ref="AC25">INDEX('각층분기별_유효전력최대(전월)'!C24:C2040,MATCH(1,("4-DaHall 1-PDU-02"='각층분기별_유효전력최대(전월)'!A24:A2040)*("[branch#001] [A] W"='각층분기별_유효전력최대(전월)'!B24:B2040),0))</f>
        <v>0.36199999999999999</v>
      </c>
      <c r="AD25" s="3545">
        <f>SUM(AA25:AB29)</f>
        <v>3046.1</v>
      </c>
      <c r="AE25" s="3807" t="s">
        <v>4088</v>
      </c>
      <c r="AG25">
        <v>20.2</v>
      </c>
      <c r="AH25" s="1366">
        <f t="shared" si="1"/>
        <v>-0.36148770851457002</v>
      </c>
      <c r="AJ25" s="2367">
        <f t="shared" si="2"/>
        <v>4.0942204301075265</v>
      </c>
      <c r="AK25" s="2367">
        <f t="shared" si="3"/>
        <v>6.9057795698924735</v>
      </c>
      <c r="AL25" s="123" t="str">
        <f t="shared" si="4"/>
        <v>적정함</v>
      </c>
      <c r="AR25" s="123"/>
      <c r="AS25" s="123"/>
      <c r="AU25" s="3084"/>
      <c r="AV25" s="123"/>
      <c r="AW25" s="123"/>
      <c r="AX25" s="3085"/>
      <c r="AY25" s="3086"/>
      <c r="AZ25" s="3087"/>
      <c r="BA25" s="3088"/>
      <c r="BB25" s="3089"/>
      <c r="BC25" s="3090"/>
      <c r="BD25" s="123"/>
    </row>
    <row r="26" spans="1:56">
      <c r="A26" s="3706"/>
      <c r="B26" s="2654" t="s">
        <v>3227</v>
      </c>
      <c r="C26" s="1146" t="s">
        <v>9183</v>
      </c>
      <c r="D26" s="3660"/>
      <c r="E26" s="250" t="s">
        <v>4104</v>
      </c>
      <c r="F26" s="3340"/>
      <c r="G26" s="3709"/>
      <c r="H26" s="3676"/>
      <c r="I26" s="3679"/>
      <c r="J26" s="3767"/>
      <c r="K26" s="3770"/>
      <c r="L26" s="3521"/>
      <c r="M26" s="3690"/>
      <c r="N26" s="3773"/>
      <c r="O26" s="3776"/>
      <c r="P26" s="3699"/>
      <c r="Q26" s="3702"/>
      <c r="R26" s="3663"/>
      <c r="S26" s="3343"/>
      <c r="T26" s="3340"/>
      <c r="U26" s="3343"/>
      <c r="V26" s="3340"/>
      <c r="W26" s="3343"/>
      <c r="X26" s="3725"/>
      <c r="Y26" s="3722"/>
      <c r="Z26" s="3398"/>
      <c r="AA26" s="3719"/>
      <c r="AB26" s="3782"/>
      <c r="AC26" s="3214" cm="1">
        <f t="array" ref="AC26">INDEX('각층분기별_유효전력최대(전월)'!C25:C2041,MATCH(1,("4-DaHall 1-PDU-02"='각층분기별_유효전력최대(전월)'!A25:A2041)*("[branch#001] [A] W"='각층분기별_유효전력최대(전월)'!B25:B2041),0))</f>
        <v>0.36199999999999999</v>
      </c>
      <c r="AD26" s="3535"/>
      <c r="AE26" s="3802"/>
      <c r="AG26">
        <v>0</v>
      </c>
      <c r="AH26" s="1366">
        <f t="shared" si="1"/>
        <v>0</v>
      </c>
      <c r="AJ26" s="2367">
        <f t="shared" si="2"/>
        <v>0</v>
      </c>
      <c r="AK26" s="2367">
        <f t="shared" si="3"/>
        <v>0</v>
      </c>
      <c r="AL26" s="123" t="str">
        <f t="shared" si="4"/>
        <v>무부하 랙</v>
      </c>
      <c r="AR26" s="123"/>
      <c r="AS26" s="123"/>
      <c r="AU26" s="3084"/>
      <c r="AV26" s="123"/>
      <c r="AW26" s="123"/>
      <c r="AX26" s="3085"/>
      <c r="AY26" s="3086"/>
      <c r="AZ26" s="3087"/>
      <c r="BA26" s="3088"/>
      <c r="BB26" s="3089"/>
      <c r="BC26" s="3090"/>
      <c r="BD26" s="123"/>
    </row>
    <row r="27" spans="1:56">
      <c r="A27" s="3706"/>
      <c r="B27" s="2654" t="s">
        <v>3233</v>
      </c>
      <c r="C27" s="1146" t="s">
        <v>9183</v>
      </c>
      <c r="D27" s="3660"/>
      <c r="E27" s="250" t="s">
        <v>4105</v>
      </c>
      <c r="F27" s="3340"/>
      <c r="G27" s="3709"/>
      <c r="H27" s="3676"/>
      <c r="I27" s="3679"/>
      <c r="J27" s="3767"/>
      <c r="K27" s="3770"/>
      <c r="L27" s="3521"/>
      <c r="M27" s="3690"/>
      <c r="N27" s="3773"/>
      <c r="O27" s="3776"/>
      <c r="P27" s="3699"/>
      <c r="Q27" s="3702"/>
      <c r="R27" s="3663"/>
      <c r="S27" s="3343"/>
      <c r="T27" s="3340"/>
      <c r="U27" s="3343"/>
      <c r="V27" s="3340"/>
      <c r="W27" s="3343"/>
      <c r="X27" s="3725"/>
      <c r="Y27" s="3722"/>
      <c r="Z27" s="3398"/>
      <c r="AA27" s="3719"/>
      <c r="AB27" s="3782"/>
      <c r="AC27" s="3214" cm="1">
        <f t="array" ref="AC27">INDEX('각층분기별_유효전력최대(전월)'!C26:C2042,MATCH(1,("4-DaHall 1-PDU-02"='각층분기별_유효전력최대(전월)'!A26:A2042)*("[branch#001] [A] W"='각층분기별_유효전력최대(전월)'!B26:B2042),0))</f>
        <v>0.36199999999999999</v>
      </c>
      <c r="AD27" s="3535"/>
      <c r="AE27" s="3802"/>
      <c r="AG27">
        <v>0</v>
      </c>
      <c r="AH27" s="1366">
        <f t="shared" si="1"/>
        <v>0</v>
      </c>
      <c r="AJ27" s="2367">
        <f t="shared" si="2"/>
        <v>0</v>
      </c>
      <c r="AK27" s="2367">
        <f t="shared" si="3"/>
        <v>0</v>
      </c>
      <c r="AL27" s="123" t="str">
        <f t="shared" si="4"/>
        <v>무부하 랙</v>
      </c>
      <c r="AR27" s="123"/>
      <c r="AS27" s="123"/>
      <c r="AU27" s="3084"/>
      <c r="AV27" s="123"/>
      <c r="AW27" s="123"/>
      <c r="AX27" s="3085"/>
      <c r="AY27" s="3086"/>
      <c r="AZ27" s="3087"/>
      <c r="BA27" s="3088"/>
      <c r="BB27" s="3089"/>
      <c r="BC27" s="3090"/>
      <c r="BD27" s="123"/>
    </row>
    <row r="28" spans="1:56">
      <c r="A28" s="3706"/>
      <c r="B28" s="2654" t="s">
        <v>4106</v>
      </c>
      <c r="C28" s="1146" t="s">
        <v>9183</v>
      </c>
      <c r="D28" s="3660"/>
      <c r="E28" s="250" t="s">
        <v>4107</v>
      </c>
      <c r="F28" s="3340"/>
      <c r="G28" s="3709"/>
      <c r="H28" s="3676"/>
      <c r="I28" s="3679"/>
      <c r="J28" s="3767"/>
      <c r="K28" s="3770"/>
      <c r="L28" s="3521"/>
      <c r="M28" s="3690"/>
      <c r="N28" s="3773"/>
      <c r="O28" s="3776"/>
      <c r="P28" s="3699"/>
      <c r="Q28" s="3702"/>
      <c r="R28" s="3663"/>
      <c r="S28" s="3343"/>
      <c r="T28" s="3340"/>
      <c r="U28" s="3343"/>
      <c r="V28" s="3340"/>
      <c r="W28" s="3343"/>
      <c r="X28" s="3725"/>
      <c r="Y28" s="3722"/>
      <c r="Z28" s="3398"/>
      <c r="AA28" s="3719"/>
      <c r="AB28" s="3782"/>
      <c r="AC28" s="3214" cm="1">
        <f t="array" ref="AC28">INDEX('각층분기별_유효전력최대(전월)'!C27:C2043,MATCH(1,("4-DaHall 1-PDU-02"='각층분기별_유효전력최대(전월)'!A27:A2043)*("[branch#001] [A] W"='각층분기별_유효전력최대(전월)'!B27:B2043),0))</f>
        <v>0.36199999999999999</v>
      </c>
      <c r="AD28" s="3535"/>
      <c r="AE28" s="3802"/>
      <c r="AG28">
        <v>0</v>
      </c>
      <c r="AH28" s="1366">
        <f t="shared" si="1"/>
        <v>0</v>
      </c>
      <c r="AJ28" s="2367">
        <f t="shared" si="2"/>
        <v>0</v>
      </c>
      <c r="AK28" s="2367">
        <f t="shared" si="3"/>
        <v>0</v>
      </c>
      <c r="AL28" s="123" t="str">
        <f t="shared" si="4"/>
        <v>무부하 랙</v>
      </c>
      <c r="AR28" s="123"/>
      <c r="AS28" s="123"/>
      <c r="AU28" s="3084"/>
      <c r="AV28" s="123"/>
      <c r="AW28" s="123"/>
      <c r="AX28" s="3085"/>
      <c r="AY28" s="3086"/>
      <c r="AZ28" s="3087"/>
      <c r="BA28" s="3088"/>
      <c r="BB28" s="3089"/>
      <c r="BC28" s="3090"/>
      <c r="BD28" s="123"/>
    </row>
    <row r="29" spans="1:56" ht="15" thickBot="1">
      <c r="A29" s="3707"/>
      <c r="B29" s="1132" t="s">
        <v>4108</v>
      </c>
      <c r="C29" s="1143" t="s">
        <v>9183</v>
      </c>
      <c r="D29" s="3661"/>
      <c r="E29" s="2661" t="s">
        <v>4109</v>
      </c>
      <c r="F29" s="3341"/>
      <c r="G29" s="3710"/>
      <c r="H29" s="3677"/>
      <c r="I29" s="3680"/>
      <c r="J29" s="3768"/>
      <c r="K29" s="3771"/>
      <c r="L29" s="3688"/>
      <c r="M29" s="3691"/>
      <c r="N29" s="3774"/>
      <c r="O29" s="3777"/>
      <c r="P29" s="3700"/>
      <c r="Q29" s="3703"/>
      <c r="R29" s="3664"/>
      <c r="S29" s="3344"/>
      <c r="T29" s="3341"/>
      <c r="U29" s="3344"/>
      <c r="V29" s="3341"/>
      <c r="W29" s="3344"/>
      <c r="X29" s="3726"/>
      <c r="Y29" s="3723"/>
      <c r="Z29" s="3497"/>
      <c r="AA29" s="3720"/>
      <c r="AB29" s="3783"/>
      <c r="AC29" s="3214" cm="1">
        <f t="array" ref="AC29">INDEX('각층분기별_유효전력최대(전월)'!C28:C2044,MATCH(1,("4-DaHall 1-PDU-02"='각층분기별_유효전력최대(전월)'!A28:A2044)*("[branch#001] [A] W"='각층분기별_유효전력최대(전월)'!B28:B2044),0))</f>
        <v>0.36199999999999999</v>
      </c>
      <c r="AD29" s="3543"/>
      <c r="AE29" s="3808"/>
      <c r="AG29">
        <v>0</v>
      </c>
      <c r="AH29" s="1366">
        <f t="shared" si="1"/>
        <v>0</v>
      </c>
      <c r="AJ29" s="2367">
        <f t="shared" si="2"/>
        <v>0</v>
      </c>
      <c r="AK29" s="2367">
        <f t="shared" si="3"/>
        <v>0</v>
      </c>
      <c r="AL29" s="123" t="str">
        <f t="shared" si="4"/>
        <v>무부하 랙</v>
      </c>
      <c r="AR29" s="123"/>
      <c r="AS29" s="123"/>
      <c r="AU29" s="3084"/>
      <c r="AV29" s="123"/>
      <c r="AW29" s="123"/>
      <c r="AX29" s="3085"/>
      <c r="AY29" s="3086"/>
      <c r="AZ29" s="3087"/>
      <c r="BA29" s="3088"/>
      <c r="BB29" s="3089"/>
      <c r="BC29" s="3090"/>
      <c r="BD29" s="123"/>
    </row>
    <row r="30" spans="1:56" ht="14.25" customHeight="1" thickTop="1">
      <c r="A30" s="3705" t="s">
        <v>4117</v>
      </c>
      <c r="B30" s="1131" t="s">
        <v>4118</v>
      </c>
      <c r="C30" s="1145" t="s">
        <v>9183</v>
      </c>
      <c r="D30" s="3659">
        <v>13.2</v>
      </c>
      <c r="E30" s="327" t="s">
        <v>4119</v>
      </c>
      <c r="F30" s="3354" t="s">
        <v>4120</v>
      </c>
      <c r="G30" s="3708" t="s">
        <v>4121</v>
      </c>
      <c r="H30" s="3675" t="str">
        <f>"4-DaHall 1-PDU-"&amp;L30&amp;"-"&amp;K30&amp;"-"&amp;M30</f>
        <v>4-DaHall 1-PDU-08-100-8</v>
      </c>
      <c r="I30" s="3678" t="str">
        <f>"4-DaHall 1-PDU-"&amp;P30&amp;"-"&amp;O30&amp;"-"&amp;Q30</f>
        <v>4-DaHall 1-PDU-07-100-8</v>
      </c>
      <c r="J30" s="3766">
        <v>220</v>
      </c>
      <c r="K30" s="3769">
        <v>100</v>
      </c>
      <c r="L30" s="3687" t="s">
        <v>6505</v>
      </c>
      <c r="M30" s="3689">
        <v>8</v>
      </c>
      <c r="N30" s="3772">
        <v>220</v>
      </c>
      <c r="O30" s="3775">
        <v>100</v>
      </c>
      <c r="P30" s="3698" t="s">
        <v>6492</v>
      </c>
      <c r="Q30" s="3701">
        <v>8</v>
      </c>
      <c r="R30" s="3662" t="s">
        <v>4032</v>
      </c>
      <c r="S30" s="3345" t="s">
        <v>4033</v>
      </c>
      <c r="T30" s="3354" t="s">
        <v>4034</v>
      </c>
      <c r="U30" s="3345" t="s">
        <v>4035</v>
      </c>
      <c r="V30" s="3354" t="s">
        <v>3744</v>
      </c>
      <c r="W30" s="3345" t="s">
        <v>3749</v>
      </c>
      <c r="X30" s="3724">
        <f>SUM('4층_부하량(월간_AVG)'!N26:P26)</f>
        <v>27.290510605881128</v>
      </c>
      <c r="Y30" s="3721">
        <f>SUM('4층_부하량(월간_AVG)'!D71:F71)</f>
        <v>33.917271821155126</v>
      </c>
      <c r="Z30" s="3544">
        <f>SUM(X30:Y30)</f>
        <v>61.20778242703625</v>
      </c>
      <c r="AA30" s="3718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4095.9</v>
      </c>
      <c r="AB30" s="3781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5245.7</v>
      </c>
      <c r="AC30" s="3214" cm="1">
        <f t="array" ref="AC30">INDEX('각층분기별_유효전력최대(전월)'!C29:C2045,MATCH(1,("4-DaHall 1-PDU-02"='각층분기별_유효전력최대(전월)'!A29:A2045)*("[branch#001] [A] W"='각층분기별_유효전력최대(전월)'!B29:B2045),0))</f>
        <v>0.36199999999999999</v>
      </c>
      <c r="AD30" s="3545">
        <f>SUM(AA30:AB35)</f>
        <v>9341.6</v>
      </c>
      <c r="AE30" s="3807" t="s">
        <v>4122</v>
      </c>
      <c r="AG30">
        <v>61.3</v>
      </c>
      <c r="AH30" s="1366">
        <f t="shared" si="1"/>
        <v>-9.221757296374733E-2</v>
      </c>
      <c r="AJ30" s="2367">
        <f t="shared" si="2"/>
        <v>12.555913978494624</v>
      </c>
      <c r="AK30" s="2367">
        <f t="shared" si="3"/>
        <v>0.64408602150537497</v>
      </c>
      <c r="AL30" s="123" t="str">
        <f t="shared" si="4"/>
        <v>적정함</v>
      </c>
      <c r="AR30" s="123"/>
      <c r="AS30" s="123"/>
      <c r="AU30" s="3084"/>
      <c r="AV30" s="123"/>
      <c r="AW30" s="123"/>
      <c r="AX30" s="3085"/>
      <c r="AY30" s="3086"/>
      <c r="AZ30" s="3087"/>
      <c r="BA30" s="3088"/>
      <c r="BB30" s="3089"/>
      <c r="BC30" s="3090"/>
      <c r="BD30" s="123"/>
    </row>
    <row r="31" spans="1:56">
      <c r="A31" s="3706"/>
      <c r="B31" s="2655" t="s">
        <v>4123</v>
      </c>
      <c r="C31" s="1146" t="s">
        <v>9183</v>
      </c>
      <c r="D31" s="3660"/>
      <c r="E31" s="250" t="s">
        <v>4124</v>
      </c>
      <c r="F31" s="3340"/>
      <c r="G31" s="3709"/>
      <c r="H31" s="3676"/>
      <c r="I31" s="3679"/>
      <c r="J31" s="3767"/>
      <c r="K31" s="3770"/>
      <c r="L31" s="3521"/>
      <c r="M31" s="3690"/>
      <c r="N31" s="3773"/>
      <c r="O31" s="3776"/>
      <c r="P31" s="3699"/>
      <c r="Q31" s="3702"/>
      <c r="R31" s="3663"/>
      <c r="S31" s="3343"/>
      <c r="T31" s="3340"/>
      <c r="U31" s="3343"/>
      <c r="V31" s="3340"/>
      <c r="W31" s="3343"/>
      <c r="X31" s="3725"/>
      <c r="Y31" s="3722"/>
      <c r="Z31" s="3398"/>
      <c r="AA31" s="3719"/>
      <c r="AB31" s="3782"/>
      <c r="AC31" s="3214" cm="1">
        <f t="array" ref="AC31">INDEX('각층분기별_유효전력최대(전월)'!C30:C2046,MATCH(1,("4-DaHall 1-PDU-02"='각층분기별_유효전력최대(전월)'!A30:A2046)*("[branch#001] [A] W"='각층분기별_유효전력최대(전월)'!B30:B2046),0))</f>
        <v>0.36199999999999999</v>
      </c>
      <c r="AD31" s="3535"/>
      <c r="AE31" s="3802"/>
      <c r="AG31">
        <v>0</v>
      </c>
      <c r="AH31" s="1366">
        <f t="shared" si="1"/>
        <v>0</v>
      </c>
      <c r="AJ31" s="2367">
        <f t="shared" si="2"/>
        <v>0</v>
      </c>
      <c r="AK31" s="2367">
        <f t="shared" si="3"/>
        <v>0</v>
      </c>
      <c r="AL31" s="123" t="str">
        <f t="shared" si="4"/>
        <v>무부하 랙</v>
      </c>
      <c r="AR31" s="123"/>
      <c r="AS31" s="123"/>
      <c r="AU31" s="3084"/>
      <c r="AV31" s="123"/>
      <c r="AW31" s="123"/>
      <c r="AX31" s="3085"/>
      <c r="AY31" s="3086"/>
      <c r="AZ31" s="3087"/>
      <c r="BA31" s="3088"/>
      <c r="BB31" s="3089"/>
      <c r="BC31" s="3090"/>
      <c r="BD31" s="123"/>
    </row>
    <row r="32" spans="1:56">
      <c r="A32" s="3706"/>
      <c r="B32" s="2655" t="s">
        <v>4125</v>
      </c>
      <c r="C32" s="1146" t="s">
        <v>9183</v>
      </c>
      <c r="D32" s="3660"/>
      <c r="E32" s="250" t="s">
        <v>4126</v>
      </c>
      <c r="F32" s="3340"/>
      <c r="G32" s="3709"/>
      <c r="H32" s="3676"/>
      <c r="I32" s="3679"/>
      <c r="J32" s="3767"/>
      <c r="K32" s="3770"/>
      <c r="L32" s="3521"/>
      <c r="M32" s="3690"/>
      <c r="N32" s="3773"/>
      <c r="O32" s="3776"/>
      <c r="P32" s="3699"/>
      <c r="Q32" s="3702"/>
      <c r="R32" s="3663"/>
      <c r="S32" s="3343"/>
      <c r="T32" s="3340"/>
      <c r="U32" s="3343"/>
      <c r="V32" s="3340"/>
      <c r="W32" s="3343"/>
      <c r="X32" s="3725"/>
      <c r="Y32" s="3722"/>
      <c r="Z32" s="3398"/>
      <c r="AA32" s="3719"/>
      <c r="AB32" s="3782"/>
      <c r="AC32" s="3214" cm="1">
        <f t="array" ref="AC32">INDEX('각층분기별_유효전력최대(전월)'!C31:C2047,MATCH(1,("4-DaHall 1-PDU-02"='각층분기별_유효전력최대(전월)'!A31:A2047)*("[branch#001] [A] W"='각층분기별_유효전력최대(전월)'!B31:B2047),0))</f>
        <v>0.36199999999999999</v>
      </c>
      <c r="AD32" s="3535"/>
      <c r="AE32" s="3802"/>
      <c r="AG32">
        <v>0</v>
      </c>
      <c r="AH32" s="1366">
        <f t="shared" si="1"/>
        <v>0</v>
      </c>
      <c r="AJ32" s="2367">
        <f t="shared" si="2"/>
        <v>0</v>
      </c>
      <c r="AK32" s="2367">
        <f t="shared" si="3"/>
        <v>0</v>
      </c>
      <c r="AL32" s="123" t="str">
        <f t="shared" si="4"/>
        <v>무부하 랙</v>
      </c>
      <c r="AR32" s="123"/>
      <c r="AS32" s="123"/>
      <c r="AU32" s="3084"/>
      <c r="AV32" s="123"/>
      <c r="AW32" s="123"/>
      <c r="AX32" s="3085"/>
      <c r="AY32" s="3086"/>
      <c r="AZ32" s="3087"/>
      <c r="BA32" s="3088"/>
      <c r="BB32" s="3089"/>
      <c r="BC32" s="3090"/>
      <c r="BD32" s="123"/>
    </row>
    <row r="33" spans="1:56">
      <c r="A33" s="3706"/>
      <c r="B33" s="2655" t="s">
        <v>4127</v>
      </c>
      <c r="C33" s="1146" t="s">
        <v>9183</v>
      </c>
      <c r="D33" s="3660"/>
      <c r="E33" s="250" t="s">
        <v>4128</v>
      </c>
      <c r="F33" s="3340"/>
      <c r="G33" s="3709"/>
      <c r="H33" s="3676"/>
      <c r="I33" s="3679"/>
      <c r="J33" s="3767"/>
      <c r="K33" s="3770"/>
      <c r="L33" s="3521"/>
      <c r="M33" s="3690"/>
      <c r="N33" s="3773"/>
      <c r="O33" s="3776"/>
      <c r="P33" s="3699"/>
      <c r="Q33" s="3702"/>
      <c r="R33" s="3663"/>
      <c r="S33" s="3343"/>
      <c r="T33" s="3340"/>
      <c r="U33" s="3343"/>
      <c r="V33" s="3340"/>
      <c r="W33" s="3343"/>
      <c r="X33" s="3725"/>
      <c r="Y33" s="3722"/>
      <c r="Z33" s="3398"/>
      <c r="AA33" s="3719"/>
      <c r="AB33" s="3782"/>
      <c r="AC33" s="3214" cm="1">
        <f t="array" ref="AC33">INDEX('각층분기별_유효전력최대(전월)'!C32:C2048,MATCH(1,("4-DaHall 1-PDU-02"='각층분기별_유효전력최대(전월)'!A32:A2048)*("[branch#001] [A] W"='각층분기별_유효전력최대(전월)'!B32:B2048),0))</f>
        <v>0.36199999999999999</v>
      </c>
      <c r="AD33" s="3535"/>
      <c r="AE33" s="3802"/>
      <c r="AG33">
        <v>0</v>
      </c>
      <c r="AH33" s="1366">
        <f t="shared" si="1"/>
        <v>0</v>
      </c>
      <c r="AJ33" s="2367">
        <f t="shared" si="2"/>
        <v>0</v>
      </c>
      <c r="AK33" s="2367">
        <f t="shared" si="3"/>
        <v>0</v>
      </c>
      <c r="AL33" s="123" t="str">
        <f t="shared" si="4"/>
        <v>무부하 랙</v>
      </c>
      <c r="AR33" s="123"/>
      <c r="AS33" s="123"/>
      <c r="AU33" s="3084"/>
      <c r="AV33" s="123"/>
      <c r="AW33" s="123"/>
      <c r="AX33" s="3085"/>
      <c r="AY33" s="3086"/>
      <c r="AZ33" s="3087"/>
      <c r="BA33" s="3088"/>
      <c r="BB33" s="3089"/>
      <c r="BC33" s="3090"/>
      <c r="BD33" s="123"/>
    </row>
    <row r="34" spans="1:56">
      <c r="A34" s="3706"/>
      <c r="B34" s="2655" t="s">
        <v>4129</v>
      </c>
      <c r="C34" s="1146" t="s">
        <v>9183</v>
      </c>
      <c r="D34" s="3660"/>
      <c r="E34" s="250" t="s">
        <v>4130</v>
      </c>
      <c r="F34" s="3340"/>
      <c r="G34" s="3709"/>
      <c r="H34" s="3676"/>
      <c r="I34" s="3679"/>
      <c r="J34" s="3767"/>
      <c r="K34" s="3770"/>
      <c r="L34" s="3521"/>
      <c r="M34" s="3690"/>
      <c r="N34" s="3773"/>
      <c r="O34" s="3776"/>
      <c r="P34" s="3699"/>
      <c r="Q34" s="3702"/>
      <c r="R34" s="3663"/>
      <c r="S34" s="3343"/>
      <c r="T34" s="3340"/>
      <c r="U34" s="3343"/>
      <c r="V34" s="3340"/>
      <c r="W34" s="3343"/>
      <c r="X34" s="3725"/>
      <c r="Y34" s="3722"/>
      <c r="Z34" s="3398"/>
      <c r="AA34" s="3719"/>
      <c r="AB34" s="3782"/>
      <c r="AC34" s="3214" cm="1">
        <f t="array" ref="AC34">INDEX('각층분기별_유효전력최대(전월)'!C33:C2049,MATCH(1,("4-DaHall 1-PDU-02"='각층분기별_유효전력최대(전월)'!A33:A2049)*("[branch#001] [A] W"='각층분기별_유효전력최대(전월)'!B33:B2049),0))</f>
        <v>0.36199999999999999</v>
      </c>
      <c r="AD34" s="3535"/>
      <c r="AE34" s="3802"/>
      <c r="AG34">
        <v>0</v>
      </c>
      <c r="AH34" s="1366">
        <f t="shared" si="1"/>
        <v>0</v>
      </c>
      <c r="AJ34" s="2367">
        <f t="shared" si="2"/>
        <v>0</v>
      </c>
      <c r="AK34" s="2367">
        <f t="shared" si="3"/>
        <v>0</v>
      </c>
      <c r="AL34" s="123" t="str">
        <f t="shared" si="4"/>
        <v>무부하 랙</v>
      </c>
      <c r="AR34" s="123"/>
      <c r="AS34" s="123"/>
      <c r="AU34" s="3084"/>
      <c r="AV34" s="123"/>
      <c r="AW34" s="123"/>
      <c r="AX34" s="3085"/>
      <c r="AY34" s="3086"/>
      <c r="AZ34" s="3087"/>
      <c r="BA34" s="3088"/>
      <c r="BB34" s="3089"/>
      <c r="BC34" s="3090"/>
      <c r="BD34" s="123"/>
    </row>
    <row r="35" spans="1:56" ht="15" thickBot="1">
      <c r="A35" s="3707"/>
      <c r="B35" s="2659" t="s">
        <v>4131</v>
      </c>
      <c r="C35" s="1143" t="s">
        <v>9183</v>
      </c>
      <c r="D35" s="3661"/>
      <c r="E35" s="2661" t="s">
        <v>4132</v>
      </c>
      <c r="F35" s="3341"/>
      <c r="G35" s="3710"/>
      <c r="H35" s="3784"/>
      <c r="I35" s="3785"/>
      <c r="J35" s="3786"/>
      <c r="K35" s="3787"/>
      <c r="L35" s="3788"/>
      <c r="M35" s="3789"/>
      <c r="N35" s="3790"/>
      <c r="O35" s="3791"/>
      <c r="P35" s="3792"/>
      <c r="Q35" s="3793"/>
      <c r="R35" s="3664"/>
      <c r="S35" s="3344"/>
      <c r="T35" s="3341"/>
      <c r="U35" s="3344"/>
      <c r="V35" s="3341"/>
      <c r="W35" s="3344"/>
      <c r="X35" s="3726"/>
      <c r="Y35" s="3723"/>
      <c r="Z35" s="3497"/>
      <c r="AA35" s="3720"/>
      <c r="AB35" s="3783"/>
      <c r="AC35" s="3214" t="e" cm="1">
        <f t="array" ref="AC35">INDEX('각층분기별_유효전력최대(전월)'!C34:C2050,MATCH(1,("4-DaHall 1-PDU-02"='각층분기별_유효전력최대(전월)'!A34:A2050)*("[branch#001] [A] W"='각층분기별_유효전력최대(전월)'!B34:B2050),0))</f>
        <v>#N/A</v>
      </c>
      <c r="AD35" s="3809"/>
      <c r="AE35" s="3808"/>
      <c r="AG35">
        <v>0</v>
      </c>
      <c r="AH35" s="1366">
        <f t="shared" si="1"/>
        <v>0</v>
      </c>
      <c r="AJ35" s="2367">
        <f t="shared" si="2"/>
        <v>0</v>
      </c>
      <c r="AK35" s="2367">
        <f t="shared" si="3"/>
        <v>0</v>
      </c>
      <c r="AL35" s="123" t="str">
        <f t="shared" si="4"/>
        <v>무부하 랙</v>
      </c>
      <c r="AR35" s="123"/>
      <c r="AS35" s="123"/>
      <c r="AU35" s="3084"/>
      <c r="AV35" s="123"/>
      <c r="AW35" s="123"/>
      <c r="AX35" s="3085"/>
      <c r="AY35" s="3086"/>
      <c r="AZ35" s="3087"/>
      <c r="BA35" s="3088"/>
      <c r="BB35" s="3089"/>
      <c r="BC35" s="3090"/>
      <c r="BD35" s="123"/>
    </row>
    <row r="36" spans="1:56" ht="22.2" thickTop="1">
      <c r="A36" s="3705" t="s">
        <v>4073</v>
      </c>
      <c r="B36" s="1133" t="s">
        <v>4082</v>
      </c>
      <c r="C36" s="1141" t="s">
        <v>9182</v>
      </c>
      <c r="D36" s="3659">
        <v>8.8000000000000007</v>
      </c>
      <c r="E36" s="2990" t="s">
        <v>4083</v>
      </c>
      <c r="F36" s="3354" t="s">
        <v>4076</v>
      </c>
      <c r="G36" s="3708" t="s">
        <v>4077</v>
      </c>
      <c r="H36" s="3675" t="str">
        <f>"4-DaHall 1-PDU-"&amp;L36&amp;"-"&amp;K36&amp;"-"&amp;M36</f>
        <v>4-DaHall 1-PDU-08-100-7</v>
      </c>
      <c r="I36" s="3678" t="str">
        <f>"4-DaHall 1-PDU-"&amp;P36&amp;"-"&amp;O36&amp;"-"&amp;Q36</f>
        <v>4-DaHall 1-PDU-07-100-7</v>
      </c>
      <c r="J36" s="3766">
        <v>220</v>
      </c>
      <c r="K36" s="3769">
        <v>100</v>
      </c>
      <c r="L36" s="3687" t="s">
        <v>6505</v>
      </c>
      <c r="M36" s="3689">
        <v>7</v>
      </c>
      <c r="N36" s="3772">
        <v>220</v>
      </c>
      <c r="O36" s="3775">
        <v>100</v>
      </c>
      <c r="P36" s="3698" t="s">
        <v>6492</v>
      </c>
      <c r="Q36" s="3701">
        <v>7</v>
      </c>
      <c r="R36" s="3662" t="s">
        <v>4032</v>
      </c>
      <c r="S36" s="3345" t="s">
        <v>4033</v>
      </c>
      <c r="T36" s="3354" t="s">
        <v>4034</v>
      </c>
      <c r="U36" s="3345" t="s">
        <v>4035</v>
      </c>
      <c r="V36" s="3354" t="s">
        <v>3744</v>
      </c>
      <c r="W36" s="3345" t="s">
        <v>3749</v>
      </c>
      <c r="X36" s="3724">
        <f>SUM('4층_부하량(월간_AVG)'!N25:P25)</f>
        <v>13.02966962640018</v>
      </c>
      <c r="Y36" s="3721">
        <f>SUM('4층_부하량(월간_AVG)'!D70:F70)</f>
        <v>13.809094358016063</v>
      </c>
      <c r="Z36" s="3544">
        <f>SUM(X36:Y36)</f>
        <v>26.838763984416243</v>
      </c>
      <c r="AA36" s="3718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1806.6</v>
      </c>
      <c r="AB36" s="3781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1918.1</v>
      </c>
      <c r="AC36" s="3214" t="e" cm="1">
        <f t="array" ref="AC36">INDEX('각층분기별_유효전력최대(전월)'!C35:C2051,MATCH(1,("4-DaHall 1-PDU-02"='각층분기별_유효전력최대(전월)'!A35:A2051)*("[branch#001] [A] W"='각층분기별_유효전력최대(전월)'!B35:B2051),0))</f>
        <v>#N/A</v>
      </c>
      <c r="AD36" s="3545">
        <f>SUM(AA36:AB39)</f>
        <v>3724.7</v>
      </c>
      <c r="AE36" s="3807" t="s">
        <v>3826</v>
      </c>
      <c r="AG36">
        <v>27.4</v>
      </c>
      <c r="AH36" s="1366">
        <f t="shared" si="1"/>
        <v>-0.56123601558375569</v>
      </c>
      <c r="AJ36" s="2367">
        <f t="shared" si="2"/>
        <v>5.0063172043010749</v>
      </c>
      <c r="AK36" s="2367">
        <f t="shared" si="3"/>
        <v>3.7936827956989259</v>
      </c>
      <c r="AL36" s="123" t="str">
        <f t="shared" si="4"/>
        <v>적정함</v>
      </c>
      <c r="AR36" s="123"/>
      <c r="AS36" s="123"/>
      <c r="AU36" s="3084"/>
      <c r="AV36" s="123"/>
      <c r="AW36" s="123"/>
      <c r="AX36" s="3085"/>
      <c r="AY36" s="3086"/>
      <c r="AZ36" s="3087"/>
      <c r="BA36" s="3088"/>
      <c r="BB36" s="3089"/>
      <c r="BC36" s="3090"/>
      <c r="BD36" s="123"/>
    </row>
    <row r="37" spans="1:56" ht="21.6">
      <c r="A37" s="3706"/>
      <c r="B37" s="1134" t="s">
        <v>4080</v>
      </c>
      <c r="C37" s="1142" t="s">
        <v>9182</v>
      </c>
      <c r="D37" s="3660"/>
      <c r="E37" s="2977" t="s">
        <v>4081</v>
      </c>
      <c r="F37" s="3340"/>
      <c r="G37" s="3709"/>
      <c r="H37" s="3676"/>
      <c r="I37" s="3679"/>
      <c r="J37" s="3767"/>
      <c r="K37" s="3770"/>
      <c r="L37" s="3521"/>
      <c r="M37" s="3690"/>
      <c r="N37" s="3773"/>
      <c r="O37" s="3776"/>
      <c r="P37" s="3699"/>
      <c r="Q37" s="3702"/>
      <c r="R37" s="3663"/>
      <c r="S37" s="3343"/>
      <c r="T37" s="3340"/>
      <c r="U37" s="3343"/>
      <c r="V37" s="3340"/>
      <c r="W37" s="3343"/>
      <c r="X37" s="3725"/>
      <c r="Y37" s="3722"/>
      <c r="Z37" s="3398"/>
      <c r="AA37" s="3719"/>
      <c r="AB37" s="3782"/>
      <c r="AC37" s="3214" t="e" cm="1">
        <f t="array" ref="AC37">INDEX('각층분기별_유효전력최대(전월)'!C36:C2052,MATCH(1,("4-DaHall 1-PDU-02"='각층분기별_유효전력최대(전월)'!A36:A2052)*("[branch#001] [A] W"='각층분기별_유효전력최대(전월)'!B36:B2052),0))</f>
        <v>#N/A</v>
      </c>
      <c r="AD37" s="3535"/>
      <c r="AE37" s="3802"/>
      <c r="AG37">
        <v>0</v>
      </c>
      <c r="AH37" s="1366">
        <f t="shared" si="1"/>
        <v>0</v>
      </c>
      <c r="AJ37" s="2367">
        <f t="shared" si="2"/>
        <v>0</v>
      </c>
      <c r="AK37" s="2367">
        <f t="shared" si="3"/>
        <v>0</v>
      </c>
      <c r="AL37" s="123" t="str">
        <f t="shared" si="4"/>
        <v>무부하 랙</v>
      </c>
      <c r="AR37" s="123"/>
      <c r="AS37" s="123"/>
      <c r="AU37" s="3084"/>
      <c r="AV37" s="123"/>
      <c r="AW37" s="123"/>
      <c r="AX37" s="3085"/>
      <c r="AY37" s="3086"/>
      <c r="AZ37" s="3087"/>
      <c r="BA37" s="3088"/>
      <c r="BB37" s="3089"/>
      <c r="BC37" s="3090"/>
      <c r="BD37" s="123"/>
    </row>
    <row r="38" spans="1:56" ht="21.6">
      <c r="A38" s="3706"/>
      <c r="B38" s="1134" t="s">
        <v>4078</v>
      </c>
      <c r="C38" s="1142" t="s">
        <v>9182</v>
      </c>
      <c r="D38" s="3660"/>
      <c r="E38" s="2977" t="s">
        <v>4079</v>
      </c>
      <c r="F38" s="3340"/>
      <c r="G38" s="3709"/>
      <c r="H38" s="3676"/>
      <c r="I38" s="3679"/>
      <c r="J38" s="3767"/>
      <c r="K38" s="3770"/>
      <c r="L38" s="3521"/>
      <c r="M38" s="3690"/>
      <c r="N38" s="3773"/>
      <c r="O38" s="3776"/>
      <c r="P38" s="3699"/>
      <c r="Q38" s="3702"/>
      <c r="R38" s="3663"/>
      <c r="S38" s="3343"/>
      <c r="T38" s="3340"/>
      <c r="U38" s="3343"/>
      <c r="V38" s="3340"/>
      <c r="W38" s="3343"/>
      <c r="X38" s="3725"/>
      <c r="Y38" s="3722"/>
      <c r="Z38" s="3398"/>
      <c r="AA38" s="3719"/>
      <c r="AB38" s="3782"/>
      <c r="AC38" s="3214" t="e" cm="1">
        <f t="array" ref="AC38">INDEX('각층분기별_유효전력최대(전월)'!C37:C2053,MATCH(1,("4-DaHall 1-PDU-02"='각층분기별_유효전력최대(전월)'!A37:A2053)*("[branch#001] [A] W"='각층분기별_유효전력최대(전월)'!B37:B2053),0))</f>
        <v>#N/A</v>
      </c>
      <c r="AD38" s="3535"/>
      <c r="AE38" s="3802"/>
      <c r="AG38">
        <v>0</v>
      </c>
      <c r="AH38" s="1366">
        <f t="shared" si="1"/>
        <v>0</v>
      </c>
      <c r="AJ38" s="2367">
        <f t="shared" si="2"/>
        <v>0</v>
      </c>
      <c r="AK38" s="2367">
        <f t="shared" si="3"/>
        <v>0</v>
      </c>
      <c r="AL38" s="123" t="str">
        <f t="shared" si="4"/>
        <v>무부하 랙</v>
      </c>
      <c r="AR38" s="123"/>
      <c r="AS38" s="123"/>
      <c r="AU38" s="3084"/>
      <c r="AV38" s="123"/>
      <c r="AW38" s="123"/>
      <c r="AX38" s="3085"/>
      <c r="AY38" s="3086"/>
      <c r="AZ38" s="3087"/>
      <c r="BA38" s="3088"/>
      <c r="BB38" s="3089"/>
      <c r="BC38" s="3090"/>
      <c r="BD38" s="123"/>
    </row>
    <row r="39" spans="1:56" ht="22.2" thickBot="1">
      <c r="A39" s="3707"/>
      <c r="B39" s="1132" t="s">
        <v>4074</v>
      </c>
      <c r="C39" s="1143" t="s">
        <v>9182</v>
      </c>
      <c r="D39" s="3661"/>
      <c r="E39" s="2991" t="s">
        <v>4075</v>
      </c>
      <c r="F39" s="3341"/>
      <c r="G39" s="3710"/>
      <c r="H39" s="3677"/>
      <c r="I39" s="3680"/>
      <c r="J39" s="3768"/>
      <c r="K39" s="3771"/>
      <c r="L39" s="3688"/>
      <c r="M39" s="3691"/>
      <c r="N39" s="3774"/>
      <c r="O39" s="3777"/>
      <c r="P39" s="3700"/>
      <c r="Q39" s="3703"/>
      <c r="R39" s="3664"/>
      <c r="S39" s="3344"/>
      <c r="T39" s="3341"/>
      <c r="U39" s="3344"/>
      <c r="V39" s="3341"/>
      <c r="W39" s="3344"/>
      <c r="X39" s="3726"/>
      <c r="Y39" s="3723"/>
      <c r="Z39" s="3497"/>
      <c r="AA39" s="3720"/>
      <c r="AB39" s="3783"/>
      <c r="AC39" s="3214" t="e" cm="1">
        <f t="array" ref="AC39">INDEX('각층분기별_유효전력최대(전월)'!C38:C2054,MATCH(1,("4-DaHall 1-PDU-02"='각층분기별_유효전력최대(전월)'!A38:A2054)*("[branch#001] [A] W"='각층분기별_유효전력최대(전월)'!B38:B2054),0))</f>
        <v>#N/A</v>
      </c>
      <c r="AD39" s="3543"/>
      <c r="AE39" s="3808"/>
      <c r="AG39">
        <v>0</v>
      </c>
      <c r="AH39" s="1366">
        <f t="shared" si="1"/>
        <v>0</v>
      </c>
      <c r="AJ39" s="2367">
        <f t="shared" si="2"/>
        <v>0</v>
      </c>
      <c r="AK39" s="2367">
        <f t="shared" si="3"/>
        <v>0</v>
      </c>
      <c r="AL39" s="123" t="str">
        <f t="shared" si="4"/>
        <v>무부하 랙</v>
      </c>
      <c r="AR39" s="123"/>
      <c r="AS39" s="123"/>
      <c r="AU39" s="3084"/>
      <c r="AV39" s="123"/>
      <c r="AW39" s="123"/>
      <c r="AX39" s="3085"/>
      <c r="AY39" s="3086"/>
      <c r="AZ39" s="3087"/>
      <c r="BA39" s="3088"/>
      <c r="BB39" s="3089"/>
      <c r="BC39" s="3090"/>
      <c r="BD39" s="123"/>
    </row>
    <row r="40" spans="1:56" ht="22.2" thickTop="1">
      <c r="A40" s="3705" t="s">
        <v>4056</v>
      </c>
      <c r="B40" s="1133" t="s">
        <v>4062</v>
      </c>
      <c r="C40" s="1141" t="s">
        <v>9182</v>
      </c>
      <c r="D40" s="3659">
        <v>6.6</v>
      </c>
      <c r="E40" s="2990" t="s">
        <v>4063</v>
      </c>
      <c r="F40" s="3354" t="s">
        <v>4059</v>
      </c>
      <c r="G40" s="3708" t="s">
        <v>4060</v>
      </c>
      <c r="H40" s="3675" t="str">
        <f>"4-DaHall 1-PDU-"&amp;L40&amp;"-"&amp;K40&amp;"-"&amp;M40</f>
        <v>4-DaHall 1-PDU-08-100-3</v>
      </c>
      <c r="I40" s="3678" t="str">
        <f>"4-DaHall 1-PDU-"&amp;P40&amp;"-"&amp;O40&amp;"-"&amp;Q40</f>
        <v>4-DaHall 1-PDU-07-100-3</v>
      </c>
      <c r="J40" s="3766">
        <v>220</v>
      </c>
      <c r="K40" s="3769">
        <v>100</v>
      </c>
      <c r="L40" s="3687" t="s">
        <v>6505</v>
      </c>
      <c r="M40" s="3689">
        <v>3</v>
      </c>
      <c r="N40" s="3772">
        <v>220</v>
      </c>
      <c r="O40" s="3775">
        <v>100</v>
      </c>
      <c r="P40" s="3698" t="s">
        <v>6492</v>
      </c>
      <c r="Q40" s="3701">
        <v>3</v>
      </c>
      <c r="R40" s="3662" t="s">
        <v>4032</v>
      </c>
      <c r="S40" s="3345" t="s">
        <v>4033</v>
      </c>
      <c r="T40" s="3354" t="s">
        <v>4034</v>
      </c>
      <c r="U40" s="3345" t="s">
        <v>4035</v>
      </c>
      <c r="V40" s="3354" t="s">
        <v>3744</v>
      </c>
      <c r="W40" s="3345" t="s">
        <v>3749</v>
      </c>
      <c r="X40" s="3724">
        <f>SUM('4층_부하량(월간_AVG)'!N21:P21)</f>
        <v>5.3890276747567327</v>
      </c>
      <c r="Y40" s="3721">
        <f>SUM('4층_부하량(월간_AVG)'!D66:F66)</f>
        <v>5.2875749616125036</v>
      </c>
      <c r="Z40" s="3544">
        <f>SUM(X40:Y40)</f>
        <v>10.676602636369235</v>
      </c>
      <c r="AA40" s="3718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825.6</v>
      </c>
      <c r="AB40" s="3781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214" t="e" cm="1">
        <f t="array" ref="AC40">INDEX('각층분기별_유효전력최대(전월)'!C39:C2055,MATCH(1,("4-DaHall 1-PDU-02"='각층분기별_유효전력최대(전월)'!A39:A2055)*("[branch#001] [A] W"='각층분기별_유효전력최대(전월)'!B39:B2055),0))</f>
        <v>#N/A</v>
      </c>
      <c r="AD40" s="3545">
        <f>SUM(AA40:AB42)</f>
        <v>1627.1</v>
      </c>
      <c r="AE40" s="3807" t="s">
        <v>3826</v>
      </c>
      <c r="AG40">
        <v>10.8</v>
      </c>
      <c r="AH40" s="1366">
        <f t="shared" si="1"/>
        <v>-0.12339736363076526</v>
      </c>
      <c r="AJ40" s="2367">
        <f t="shared" si="2"/>
        <v>2.1869623655913979</v>
      </c>
      <c r="AK40" s="2367">
        <f t="shared" si="3"/>
        <v>4.4130376344086013</v>
      </c>
      <c r="AL40" s="123" t="str">
        <f t="shared" si="4"/>
        <v>적정함</v>
      </c>
      <c r="AR40" s="123"/>
      <c r="AS40" s="123"/>
      <c r="AU40" s="3084"/>
      <c r="AV40" s="123"/>
      <c r="AW40" s="123"/>
      <c r="AX40" s="3085"/>
      <c r="AY40" s="3086"/>
      <c r="AZ40" s="3087"/>
      <c r="BA40" s="3088"/>
      <c r="BB40" s="3089"/>
      <c r="BC40" s="3090"/>
      <c r="BD40" s="123"/>
    </row>
    <row r="41" spans="1:56" ht="21.6">
      <c r="A41" s="3706"/>
      <c r="B41" s="1134" t="s">
        <v>3291</v>
      </c>
      <c r="C41" s="1142" t="s">
        <v>9182</v>
      </c>
      <c r="D41" s="3660"/>
      <c r="E41" s="2977" t="s">
        <v>4061</v>
      </c>
      <c r="F41" s="3340"/>
      <c r="G41" s="3709"/>
      <c r="H41" s="3676"/>
      <c r="I41" s="3679"/>
      <c r="J41" s="3767"/>
      <c r="K41" s="3770"/>
      <c r="L41" s="3521"/>
      <c r="M41" s="3690"/>
      <c r="N41" s="3773"/>
      <c r="O41" s="3776"/>
      <c r="P41" s="3699"/>
      <c r="Q41" s="3702"/>
      <c r="R41" s="3663"/>
      <c r="S41" s="3343"/>
      <c r="T41" s="3340"/>
      <c r="U41" s="3343"/>
      <c r="V41" s="3340"/>
      <c r="W41" s="3343"/>
      <c r="X41" s="3725"/>
      <c r="Y41" s="3722"/>
      <c r="Z41" s="3398"/>
      <c r="AA41" s="3719"/>
      <c r="AB41" s="3782"/>
      <c r="AC41" s="3214"/>
      <c r="AD41" s="3535"/>
      <c r="AE41" s="3802"/>
      <c r="AG41">
        <v>0</v>
      </c>
      <c r="AH41" s="1366">
        <f t="shared" si="1"/>
        <v>0</v>
      </c>
      <c r="AJ41" s="2367">
        <f t="shared" si="2"/>
        <v>0</v>
      </c>
      <c r="AK41" s="2367">
        <f t="shared" si="3"/>
        <v>0</v>
      </c>
      <c r="AL41" s="123" t="str">
        <f t="shared" si="4"/>
        <v>무부하 랙</v>
      </c>
      <c r="AR41" s="123"/>
      <c r="AS41" s="123"/>
      <c r="AU41" s="3084"/>
      <c r="AV41" s="123"/>
      <c r="AW41" s="123"/>
      <c r="AX41" s="3085"/>
      <c r="AY41" s="3086"/>
      <c r="AZ41" s="3087"/>
      <c r="BA41" s="3088"/>
      <c r="BB41" s="3089"/>
      <c r="BC41" s="3090"/>
      <c r="BD41" s="123"/>
    </row>
    <row r="42" spans="1:56" ht="22.2" thickBot="1">
      <c r="A42" s="3707"/>
      <c r="B42" s="1132" t="s">
        <v>4057</v>
      </c>
      <c r="C42" s="1143" t="s">
        <v>9182</v>
      </c>
      <c r="D42" s="3661"/>
      <c r="E42" s="2991" t="s">
        <v>4058</v>
      </c>
      <c r="F42" s="3341"/>
      <c r="G42" s="3710"/>
      <c r="H42" s="3677"/>
      <c r="I42" s="3680"/>
      <c r="J42" s="3768"/>
      <c r="K42" s="3771"/>
      <c r="L42" s="3688"/>
      <c r="M42" s="3691"/>
      <c r="N42" s="3774"/>
      <c r="O42" s="3777"/>
      <c r="P42" s="3700"/>
      <c r="Q42" s="3703"/>
      <c r="R42" s="3664"/>
      <c r="S42" s="3344"/>
      <c r="T42" s="3341"/>
      <c r="U42" s="3344"/>
      <c r="V42" s="3341"/>
      <c r="W42" s="3344"/>
      <c r="X42" s="3726"/>
      <c r="Y42" s="3723"/>
      <c r="Z42" s="3497"/>
      <c r="AA42" s="3720"/>
      <c r="AB42" s="3783"/>
      <c r="AC42" s="3214"/>
      <c r="AD42" s="3543"/>
      <c r="AE42" s="3808"/>
      <c r="AG42">
        <v>0</v>
      </c>
      <c r="AH42" s="1366">
        <f t="shared" si="1"/>
        <v>0</v>
      </c>
      <c r="AJ42" s="2367">
        <f t="shared" si="2"/>
        <v>0</v>
      </c>
      <c r="AK42" s="2367">
        <f t="shared" si="3"/>
        <v>0</v>
      </c>
      <c r="AL42" s="123" t="str">
        <f t="shared" si="4"/>
        <v>무부하 랙</v>
      </c>
      <c r="AR42" s="123"/>
      <c r="AS42" s="123"/>
      <c r="AU42" s="3084"/>
      <c r="AV42" s="123"/>
      <c r="AW42" s="123"/>
      <c r="AX42" s="3085"/>
      <c r="AY42" s="3086"/>
      <c r="AZ42" s="3087"/>
      <c r="BA42" s="3088"/>
      <c r="BB42" s="3089"/>
      <c r="BC42" s="3090"/>
      <c r="BD42" s="123"/>
    </row>
    <row r="43" spans="1:56" ht="22.2" thickTop="1">
      <c r="A43" s="3705" t="s">
        <v>4064</v>
      </c>
      <c r="B43" s="1133" t="s">
        <v>4071</v>
      </c>
      <c r="C43" s="1141" t="s">
        <v>9182</v>
      </c>
      <c r="D43" s="3659">
        <v>6.6</v>
      </c>
      <c r="E43" s="2990" t="s">
        <v>4072</v>
      </c>
      <c r="F43" s="3354" t="s">
        <v>4067</v>
      </c>
      <c r="G43" s="3708" t="s">
        <v>4068</v>
      </c>
      <c r="H43" s="3675" t="str">
        <f>"4-DaHall 1-PDU-"&amp;L43&amp;"-"&amp;K43&amp;"-"&amp;M43</f>
        <v>4-DaHall 1-PDU-08-100-5</v>
      </c>
      <c r="I43" s="3678" t="str">
        <f>"4-DaHall 1-PDU-"&amp;P43&amp;"-"&amp;O43&amp;"-"&amp;Q43</f>
        <v>4-DaHall 1-PDU-07-100-5</v>
      </c>
      <c r="J43" s="3766">
        <v>220</v>
      </c>
      <c r="K43" s="3769">
        <v>100</v>
      </c>
      <c r="L43" s="3687" t="s">
        <v>6505</v>
      </c>
      <c r="M43" s="3689">
        <v>5</v>
      </c>
      <c r="N43" s="3772">
        <v>220</v>
      </c>
      <c r="O43" s="3775">
        <v>100</v>
      </c>
      <c r="P43" s="3698" t="s">
        <v>6492</v>
      </c>
      <c r="Q43" s="3701">
        <v>5</v>
      </c>
      <c r="R43" s="3662" t="s">
        <v>4032</v>
      </c>
      <c r="S43" s="3345" t="s">
        <v>4033</v>
      </c>
      <c r="T43" s="3354" t="s">
        <v>4034</v>
      </c>
      <c r="U43" s="3345" t="s">
        <v>4035</v>
      </c>
      <c r="V43" s="3354" t="s">
        <v>3744</v>
      </c>
      <c r="W43" s="3345" t="s">
        <v>3749</v>
      </c>
      <c r="X43" s="3724">
        <f>SUM('4층_부하량(월간_AVG)'!N23:P23)</f>
        <v>7.4156375125905507</v>
      </c>
      <c r="Y43" s="3721">
        <f>SUM('4층_부하량(월간_AVG)'!D68:F68)</f>
        <v>5.9983034401830526</v>
      </c>
      <c r="Z43" s="3544">
        <f>SUM(X43:Y43)</f>
        <v>13.413940952773604</v>
      </c>
      <c r="AA43" s="3718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1131.9000000000001</v>
      </c>
      <c r="AB43" s="3781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890.9</v>
      </c>
      <c r="AC43" s="3214" t="e" cm="1">
        <f t="array" ref="AC43">INDEX('각층분기별_유효전력최대(전월)'!A40:A2058,MATCH(1,("4-DaHall 1-PDU-02"='각층분기별_유효전력최대(전월)'!B42:B2058)*("[branch#001] [A] kWh last month"='각층분기별_유효전력최대(전월)'!C42:C2058),0))</f>
        <v>#N/A</v>
      </c>
      <c r="AD43" s="3545">
        <f>SUM(AA43:AB45)</f>
        <v>2022.8000000000002</v>
      </c>
      <c r="AE43" s="3807" t="s">
        <v>3826</v>
      </c>
      <c r="AG43">
        <v>13.5</v>
      </c>
      <c r="AH43" s="1366">
        <f t="shared" si="1"/>
        <v>-8.6059047226395791E-2</v>
      </c>
      <c r="AJ43" s="2367">
        <f t="shared" si="2"/>
        <v>2.7188172043010757</v>
      </c>
      <c r="AK43" s="2367">
        <f t="shared" si="3"/>
        <v>3.881182795698924</v>
      </c>
      <c r="AL43" s="123" t="str">
        <f t="shared" si="4"/>
        <v>적정함</v>
      </c>
      <c r="AR43" s="123"/>
      <c r="AS43" s="123"/>
      <c r="AU43" s="3084"/>
      <c r="AV43" s="123"/>
      <c r="AW43" s="123"/>
      <c r="AX43" s="3085"/>
      <c r="AY43" s="3086"/>
      <c r="AZ43" s="3087"/>
      <c r="BA43" s="3088"/>
      <c r="BB43" s="3089"/>
      <c r="BC43" s="3090"/>
      <c r="BD43" s="123"/>
    </row>
    <row r="44" spans="1:56" ht="21.6">
      <c r="A44" s="3706"/>
      <c r="B44" s="1134" t="s">
        <v>4069</v>
      </c>
      <c r="C44" s="1142" t="s">
        <v>9182</v>
      </c>
      <c r="D44" s="3660"/>
      <c r="E44" s="2977" t="s">
        <v>4070</v>
      </c>
      <c r="F44" s="3340"/>
      <c r="G44" s="3709"/>
      <c r="H44" s="3676"/>
      <c r="I44" s="3679"/>
      <c r="J44" s="3767"/>
      <c r="K44" s="3770"/>
      <c r="L44" s="3521"/>
      <c r="M44" s="3690"/>
      <c r="N44" s="3773"/>
      <c r="O44" s="3776"/>
      <c r="P44" s="3699"/>
      <c r="Q44" s="3702"/>
      <c r="R44" s="3663"/>
      <c r="S44" s="3343"/>
      <c r="T44" s="3340"/>
      <c r="U44" s="3343"/>
      <c r="V44" s="3340"/>
      <c r="W44" s="3343"/>
      <c r="X44" s="3725"/>
      <c r="Y44" s="3722"/>
      <c r="Z44" s="3398"/>
      <c r="AA44" s="3719"/>
      <c r="AB44" s="3782"/>
      <c r="AC44" s="3214"/>
      <c r="AD44" s="3535"/>
      <c r="AE44" s="3802"/>
      <c r="AG44">
        <v>0</v>
      </c>
      <c r="AH44" s="1366">
        <f t="shared" si="1"/>
        <v>0</v>
      </c>
      <c r="AJ44" s="2367">
        <f t="shared" si="2"/>
        <v>0</v>
      </c>
      <c r="AK44" s="2367">
        <f t="shared" si="3"/>
        <v>0</v>
      </c>
      <c r="AL44" s="123" t="str">
        <f t="shared" si="4"/>
        <v>무부하 랙</v>
      </c>
      <c r="AR44" s="123"/>
      <c r="AS44" s="123"/>
      <c r="AU44" s="3084"/>
      <c r="AV44" s="123"/>
      <c r="AW44" s="123"/>
      <c r="AX44" s="3085"/>
      <c r="AY44" s="3086"/>
      <c r="AZ44" s="3087"/>
      <c r="BA44" s="3088"/>
      <c r="BB44" s="3089"/>
      <c r="BC44" s="3090"/>
      <c r="BD44" s="123"/>
    </row>
    <row r="45" spans="1:56" ht="22.2" thickBot="1">
      <c r="A45" s="3707"/>
      <c r="B45" s="1132" t="s">
        <v>4065</v>
      </c>
      <c r="C45" s="1143" t="s">
        <v>9182</v>
      </c>
      <c r="D45" s="3661"/>
      <c r="E45" s="2991" t="s">
        <v>4066</v>
      </c>
      <c r="F45" s="3341"/>
      <c r="G45" s="3710"/>
      <c r="H45" s="3677"/>
      <c r="I45" s="3680"/>
      <c r="J45" s="3768"/>
      <c r="K45" s="3771"/>
      <c r="L45" s="3688"/>
      <c r="M45" s="3691"/>
      <c r="N45" s="3774"/>
      <c r="O45" s="3777"/>
      <c r="P45" s="3700"/>
      <c r="Q45" s="3703"/>
      <c r="R45" s="3664"/>
      <c r="S45" s="3344"/>
      <c r="T45" s="3341"/>
      <c r="U45" s="3344"/>
      <c r="V45" s="3341"/>
      <c r="W45" s="3344"/>
      <c r="X45" s="3726"/>
      <c r="Y45" s="3723"/>
      <c r="Z45" s="3497"/>
      <c r="AA45" s="3720"/>
      <c r="AB45" s="3783"/>
      <c r="AC45" s="3214"/>
      <c r="AD45" s="3543"/>
      <c r="AE45" s="3808"/>
      <c r="AG45">
        <v>0</v>
      </c>
      <c r="AH45" s="1366">
        <f t="shared" si="1"/>
        <v>0</v>
      </c>
      <c r="AJ45" s="2367">
        <f t="shared" si="2"/>
        <v>0</v>
      </c>
      <c r="AK45" s="2367">
        <f t="shared" si="3"/>
        <v>0</v>
      </c>
      <c r="AL45" s="123" t="str">
        <f t="shared" si="4"/>
        <v>무부하 랙</v>
      </c>
      <c r="AR45" s="123"/>
      <c r="AS45" s="123"/>
      <c r="AU45" s="3084"/>
      <c r="AV45" s="123"/>
      <c r="AW45" s="123"/>
      <c r="AX45" s="3085"/>
      <c r="AY45" s="3086"/>
      <c r="AZ45" s="3087"/>
      <c r="BA45" s="3088"/>
      <c r="BB45" s="3089"/>
      <c r="BC45" s="3090"/>
      <c r="BD45" s="123"/>
    </row>
    <row r="46" spans="1:56" ht="22.2" thickTop="1">
      <c r="A46" s="3705" t="s">
        <v>4041</v>
      </c>
      <c r="B46" s="1133" t="s">
        <v>4054</v>
      </c>
      <c r="C46" s="1141" t="s">
        <v>9182</v>
      </c>
      <c r="D46" s="3659">
        <v>13.2</v>
      </c>
      <c r="E46" s="2990" t="s">
        <v>4055</v>
      </c>
      <c r="F46" s="3354" t="s">
        <v>4044</v>
      </c>
      <c r="G46" s="3708" t="s">
        <v>4045</v>
      </c>
      <c r="H46" s="3675" t="str">
        <f>"4-DaHall 1-PDU-"&amp;L46&amp;"-"&amp;K46&amp;"-"&amp;M46</f>
        <v>4-DaHall 1-PDU-08-100-1</v>
      </c>
      <c r="I46" s="3678" t="str">
        <f>"4-DaHall 1-PDU-"&amp;P46&amp;"-"&amp;O46&amp;"-"&amp;Q46</f>
        <v>4-DaHall 1-PDU-07-100-1</v>
      </c>
      <c r="J46" s="3766">
        <v>220</v>
      </c>
      <c r="K46" s="3769">
        <v>100</v>
      </c>
      <c r="L46" s="3687" t="s">
        <v>6505</v>
      </c>
      <c r="M46" s="3689">
        <v>1</v>
      </c>
      <c r="N46" s="3772">
        <v>220</v>
      </c>
      <c r="O46" s="3775">
        <v>100</v>
      </c>
      <c r="P46" s="3698" t="s">
        <v>6492</v>
      </c>
      <c r="Q46" s="3701">
        <v>1</v>
      </c>
      <c r="R46" s="3662" t="s">
        <v>4032</v>
      </c>
      <c r="S46" s="3345" t="s">
        <v>4033</v>
      </c>
      <c r="T46" s="3354" t="s">
        <v>4034</v>
      </c>
      <c r="U46" s="3345" t="s">
        <v>4035</v>
      </c>
      <c r="V46" s="3354" t="s">
        <v>3744</v>
      </c>
      <c r="W46" s="3345" t="s">
        <v>3749</v>
      </c>
      <c r="X46" s="3724">
        <f>SUM('4층_부하량(월간_AVG)'!N19:P19)</f>
        <v>22.848984809768154</v>
      </c>
      <c r="Y46" s="3721">
        <f>SUM('4층_부하량(월간_AVG)'!D64:F64)</f>
        <v>20.543573975435553</v>
      </c>
      <c r="Z46" s="3544">
        <f>SUM(X46:Y46)</f>
        <v>43.392558785203704</v>
      </c>
      <c r="AA46" s="3718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3577.9</v>
      </c>
      <c r="AB46" s="3781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3189</v>
      </c>
      <c r="AC46" s="3214" t="e" cm="1">
        <f t="array" ref="AC46">INDEX('각층분기별_유효전력최대(전월)'!A43:A2061,MATCH(1,("4-DaHall 1-PDU-02"='각층분기별_유효전력최대(전월)'!B45:B2061)*("[branch#001] [A] kWh last month"='각층분기별_유효전력최대(전월)'!C45:C2061),0))</f>
        <v>#N/A</v>
      </c>
      <c r="AD46" s="3545">
        <f>SUM(AA46:AB51)</f>
        <v>6766.9</v>
      </c>
      <c r="AE46" s="3807" t="s">
        <v>3826</v>
      </c>
      <c r="AG46">
        <v>44.2</v>
      </c>
      <c r="AH46" s="1366">
        <f t="shared" si="1"/>
        <v>-0.80744121479629882</v>
      </c>
      <c r="AJ46" s="2367">
        <f t="shared" si="2"/>
        <v>9.0952956989247316</v>
      </c>
      <c r="AK46" s="2367">
        <f t="shared" si="3"/>
        <v>4.1047043010752677</v>
      </c>
      <c r="AL46" s="123" t="str">
        <f t="shared" si="4"/>
        <v>적정함</v>
      </c>
      <c r="AR46" s="123"/>
      <c r="AS46" s="123"/>
      <c r="AU46" s="3084"/>
      <c r="AV46" s="123"/>
      <c r="AW46" s="123"/>
      <c r="AX46" s="3085"/>
      <c r="AY46" s="3086"/>
      <c r="AZ46" s="3087"/>
      <c r="BA46" s="3088"/>
      <c r="BB46" s="3089"/>
      <c r="BC46" s="3090"/>
      <c r="BD46" s="123"/>
    </row>
    <row r="47" spans="1:56" ht="21.6">
      <c r="A47" s="3706"/>
      <c r="B47" s="1134" t="s">
        <v>4052</v>
      </c>
      <c r="C47" s="1142" t="s">
        <v>9182</v>
      </c>
      <c r="D47" s="3660"/>
      <c r="E47" s="2977" t="s">
        <v>4053</v>
      </c>
      <c r="F47" s="3340"/>
      <c r="G47" s="3709"/>
      <c r="H47" s="3676"/>
      <c r="I47" s="3679"/>
      <c r="J47" s="3767"/>
      <c r="K47" s="3770"/>
      <c r="L47" s="3521"/>
      <c r="M47" s="3690"/>
      <c r="N47" s="3773"/>
      <c r="O47" s="3776"/>
      <c r="P47" s="3699"/>
      <c r="Q47" s="3702"/>
      <c r="R47" s="3663"/>
      <c r="S47" s="3343"/>
      <c r="T47" s="3340"/>
      <c r="U47" s="3343"/>
      <c r="V47" s="3340"/>
      <c r="W47" s="3343"/>
      <c r="X47" s="3725"/>
      <c r="Y47" s="3722"/>
      <c r="Z47" s="3398"/>
      <c r="AA47" s="3719"/>
      <c r="AB47" s="3782"/>
      <c r="AC47" s="3214"/>
      <c r="AD47" s="3535"/>
      <c r="AE47" s="3802"/>
      <c r="AG47">
        <v>0</v>
      </c>
      <c r="AH47" s="1366">
        <f t="shared" si="1"/>
        <v>0</v>
      </c>
      <c r="AJ47" s="2367">
        <f t="shared" si="2"/>
        <v>0</v>
      </c>
      <c r="AK47" s="2367">
        <f t="shared" si="3"/>
        <v>0</v>
      </c>
      <c r="AL47" s="123" t="str">
        <f t="shared" si="4"/>
        <v>무부하 랙</v>
      </c>
      <c r="AR47" s="123"/>
      <c r="AS47" s="123"/>
      <c r="AU47" s="3084"/>
      <c r="AV47" s="123"/>
      <c r="AW47" s="123"/>
      <c r="AX47" s="3085"/>
      <c r="AY47" s="3086"/>
      <c r="AZ47" s="3087"/>
      <c r="BA47" s="3088"/>
      <c r="BB47" s="3089"/>
      <c r="BC47" s="3090"/>
      <c r="BD47" s="123"/>
    </row>
    <row r="48" spans="1:56" ht="21.6">
      <c r="A48" s="3706"/>
      <c r="B48" s="1134" t="s">
        <v>4050</v>
      </c>
      <c r="C48" s="1142" t="s">
        <v>9182</v>
      </c>
      <c r="D48" s="3660"/>
      <c r="E48" s="2977" t="s">
        <v>4051</v>
      </c>
      <c r="F48" s="3340"/>
      <c r="G48" s="3709"/>
      <c r="H48" s="3676"/>
      <c r="I48" s="3679"/>
      <c r="J48" s="3767"/>
      <c r="K48" s="3770"/>
      <c r="L48" s="3521"/>
      <c r="M48" s="3690"/>
      <c r="N48" s="3773"/>
      <c r="O48" s="3776"/>
      <c r="P48" s="3699"/>
      <c r="Q48" s="3702"/>
      <c r="R48" s="3663"/>
      <c r="S48" s="3343"/>
      <c r="T48" s="3340"/>
      <c r="U48" s="3343"/>
      <c r="V48" s="3340"/>
      <c r="W48" s="3343"/>
      <c r="X48" s="3725"/>
      <c r="Y48" s="3722"/>
      <c r="Z48" s="3398"/>
      <c r="AA48" s="3719"/>
      <c r="AB48" s="3782"/>
      <c r="AC48" s="3214"/>
      <c r="AD48" s="3535"/>
      <c r="AE48" s="3802"/>
      <c r="AG48">
        <v>0</v>
      </c>
      <c r="AH48" s="1366">
        <f t="shared" si="1"/>
        <v>0</v>
      </c>
      <c r="AJ48" s="2367">
        <f t="shared" si="2"/>
        <v>0</v>
      </c>
      <c r="AK48" s="2367">
        <f t="shared" si="3"/>
        <v>0</v>
      </c>
      <c r="AL48" s="123" t="str">
        <f t="shared" si="4"/>
        <v>무부하 랙</v>
      </c>
      <c r="AR48" s="123"/>
      <c r="AS48" s="123"/>
      <c r="AU48" s="3084"/>
      <c r="AV48" s="123"/>
      <c r="AW48" s="123"/>
      <c r="AX48" s="3085"/>
      <c r="AY48" s="3086"/>
      <c r="AZ48" s="3087"/>
      <c r="BA48" s="3088"/>
      <c r="BB48" s="3089"/>
      <c r="BC48" s="3090"/>
      <c r="BD48" s="123"/>
    </row>
    <row r="49" spans="1:56" ht="21.6">
      <c r="A49" s="3706"/>
      <c r="B49" s="1134" t="s">
        <v>4048</v>
      </c>
      <c r="C49" s="1142" t="s">
        <v>9182</v>
      </c>
      <c r="D49" s="3660"/>
      <c r="E49" s="2977" t="s">
        <v>4049</v>
      </c>
      <c r="F49" s="3340"/>
      <c r="G49" s="3709"/>
      <c r="H49" s="3676"/>
      <c r="I49" s="3679"/>
      <c r="J49" s="3767"/>
      <c r="K49" s="3770"/>
      <c r="L49" s="3521"/>
      <c r="M49" s="3690"/>
      <c r="N49" s="3773"/>
      <c r="O49" s="3776"/>
      <c r="P49" s="3699"/>
      <c r="Q49" s="3702"/>
      <c r="R49" s="3663"/>
      <c r="S49" s="3343"/>
      <c r="T49" s="3340"/>
      <c r="U49" s="3343"/>
      <c r="V49" s="3340"/>
      <c r="W49" s="3343"/>
      <c r="X49" s="3725"/>
      <c r="Y49" s="3722"/>
      <c r="Z49" s="3398"/>
      <c r="AA49" s="3719"/>
      <c r="AB49" s="3782"/>
      <c r="AC49" s="3214"/>
      <c r="AD49" s="3535"/>
      <c r="AE49" s="3802"/>
      <c r="AG49">
        <v>0</v>
      </c>
      <c r="AH49" s="1366">
        <f t="shared" si="1"/>
        <v>0</v>
      </c>
      <c r="AJ49" s="2367">
        <f t="shared" si="2"/>
        <v>0</v>
      </c>
      <c r="AK49" s="2367">
        <f t="shared" si="3"/>
        <v>0</v>
      </c>
      <c r="AL49" s="123" t="str">
        <f t="shared" si="4"/>
        <v>무부하 랙</v>
      </c>
      <c r="AR49" s="123"/>
      <c r="AS49" s="123"/>
      <c r="AU49" s="3084"/>
      <c r="AV49" s="123"/>
      <c r="AW49" s="123"/>
      <c r="AX49" s="3085"/>
      <c r="AY49" s="3086"/>
      <c r="AZ49" s="3087"/>
      <c r="BA49" s="3088"/>
      <c r="BB49" s="3089"/>
      <c r="BC49" s="3090"/>
      <c r="BD49" s="123"/>
    </row>
    <row r="50" spans="1:56" ht="21.6">
      <c r="A50" s="3706"/>
      <c r="B50" s="1134" t="s">
        <v>4046</v>
      </c>
      <c r="C50" s="1142" t="s">
        <v>9182</v>
      </c>
      <c r="D50" s="3660"/>
      <c r="E50" s="2977" t="s">
        <v>4047</v>
      </c>
      <c r="F50" s="3340"/>
      <c r="G50" s="3709"/>
      <c r="H50" s="3676"/>
      <c r="I50" s="3679"/>
      <c r="J50" s="3767"/>
      <c r="K50" s="3770"/>
      <c r="L50" s="3521"/>
      <c r="M50" s="3690"/>
      <c r="N50" s="3773"/>
      <c r="O50" s="3776"/>
      <c r="P50" s="3699"/>
      <c r="Q50" s="3702"/>
      <c r="R50" s="3663"/>
      <c r="S50" s="3343"/>
      <c r="T50" s="3340"/>
      <c r="U50" s="3343"/>
      <c r="V50" s="3340"/>
      <c r="W50" s="3343"/>
      <c r="X50" s="3725"/>
      <c r="Y50" s="3722"/>
      <c r="Z50" s="3398"/>
      <c r="AA50" s="3719"/>
      <c r="AB50" s="3782"/>
      <c r="AC50" s="3214"/>
      <c r="AD50" s="3535"/>
      <c r="AE50" s="3802"/>
      <c r="AG50">
        <v>0</v>
      </c>
      <c r="AH50" s="1366">
        <f t="shared" si="1"/>
        <v>0</v>
      </c>
      <c r="AJ50" s="2367">
        <f t="shared" si="2"/>
        <v>0</v>
      </c>
      <c r="AK50" s="2367">
        <f t="shared" si="3"/>
        <v>0</v>
      </c>
      <c r="AL50" s="123" t="str">
        <f t="shared" si="4"/>
        <v>무부하 랙</v>
      </c>
      <c r="AR50" s="123"/>
      <c r="AS50" s="123"/>
      <c r="AU50" s="3084"/>
      <c r="AV50" s="123"/>
      <c r="AW50" s="123"/>
      <c r="AX50" s="3085"/>
      <c r="AY50" s="3086"/>
      <c r="AZ50" s="3087"/>
      <c r="BA50" s="3088"/>
      <c r="BB50" s="3089"/>
      <c r="BC50" s="3090"/>
      <c r="BD50" s="123"/>
    </row>
    <row r="51" spans="1:56" ht="22.2" thickBot="1">
      <c r="A51" s="3707"/>
      <c r="B51" s="1132" t="s">
        <v>4042</v>
      </c>
      <c r="C51" s="1143" t="s">
        <v>9182</v>
      </c>
      <c r="D51" s="3661"/>
      <c r="E51" s="2991" t="s">
        <v>4043</v>
      </c>
      <c r="F51" s="3341"/>
      <c r="G51" s="3710"/>
      <c r="H51" s="3677"/>
      <c r="I51" s="3680"/>
      <c r="J51" s="3768"/>
      <c r="K51" s="3771"/>
      <c r="L51" s="3688"/>
      <c r="M51" s="3691"/>
      <c r="N51" s="3774"/>
      <c r="O51" s="3777"/>
      <c r="P51" s="3700"/>
      <c r="Q51" s="3703"/>
      <c r="R51" s="3664"/>
      <c r="S51" s="3344"/>
      <c r="T51" s="3341"/>
      <c r="U51" s="3344"/>
      <c r="V51" s="3341"/>
      <c r="W51" s="3344"/>
      <c r="X51" s="3726"/>
      <c r="Y51" s="3723"/>
      <c r="Z51" s="3497"/>
      <c r="AA51" s="3720"/>
      <c r="AB51" s="3783"/>
      <c r="AC51" s="3214"/>
      <c r="AD51" s="3543"/>
      <c r="AE51" s="3808"/>
      <c r="AG51">
        <v>0</v>
      </c>
      <c r="AH51" s="1366">
        <f t="shared" si="1"/>
        <v>0</v>
      </c>
      <c r="AJ51" s="2367">
        <f t="shared" si="2"/>
        <v>0</v>
      </c>
      <c r="AK51" s="2367">
        <f t="shared" si="3"/>
        <v>0</v>
      </c>
      <c r="AL51" s="123" t="str">
        <f t="shared" si="4"/>
        <v>무부하 랙</v>
      </c>
      <c r="AR51" s="123"/>
      <c r="AS51" s="123"/>
      <c r="AU51" s="3084"/>
      <c r="AV51" s="123"/>
      <c r="AW51" s="123"/>
      <c r="AX51" s="3085"/>
      <c r="AY51" s="3086"/>
      <c r="AZ51" s="3087"/>
      <c r="BA51" s="3088"/>
      <c r="BB51" s="3089"/>
      <c r="BC51" s="3090"/>
      <c r="BD51" s="123"/>
    </row>
    <row r="52" spans="1:56" ht="15" thickTop="1">
      <c r="A52" s="3705" t="s">
        <v>4038</v>
      </c>
      <c r="B52" s="1133"/>
      <c r="C52" s="1141"/>
      <c r="D52" s="3659"/>
      <c r="E52" s="327"/>
      <c r="F52" s="3354" t="s">
        <v>4039</v>
      </c>
      <c r="G52" s="3708" t="s">
        <v>4040</v>
      </c>
      <c r="H52" s="3675" t="str">
        <f>"4-DaHall 1-PDU-"&amp;L52&amp;"-"&amp;K52&amp;"-"&amp;M52</f>
        <v>4-DaHall 1-PDU-08-100-10</v>
      </c>
      <c r="I52" s="3678" t="str">
        <f>"4-DaHall 1-PDU-"&amp;P52&amp;"-"&amp;O52&amp;"-"&amp;Q52</f>
        <v>4-DaHall 1-PDU-07-100-10</v>
      </c>
      <c r="J52" s="3766">
        <v>220</v>
      </c>
      <c r="K52" s="3769">
        <v>100</v>
      </c>
      <c r="L52" s="3687" t="s">
        <v>6505</v>
      </c>
      <c r="M52" s="3689">
        <v>10</v>
      </c>
      <c r="N52" s="3772">
        <v>220</v>
      </c>
      <c r="O52" s="3775">
        <v>100</v>
      </c>
      <c r="P52" s="3698" t="s">
        <v>6492</v>
      </c>
      <c r="Q52" s="3701">
        <v>10</v>
      </c>
      <c r="R52" s="3662" t="s">
        <v>4032</v>
      </c>
      <c r="S52" s="3345" t="s">
        <v>4033</v>
      </c>
      <c r="T52" s="3354" t="s">
        <v>4034</v>
      </c>
      <c r="U52" s="3345" t="s">
        <v>4035</v>
      </c>
      <c r="V52" s="3354" t="s">
        <v>3744</v>
      </c>
      <c r="W52" s="3345" t="s">
        <v>3749</v>
      </c>
      <c r="X52" s="3724">
        <f>SUM('4층_부하량(월간_AVG)'!N28:P28)</f>
        <v>0</v>
      </c>
      <c r="Y52" s="3721">
        <f>SUM('4층_부하량(월간_AVG)'!D73:F73)</f>
        <v>0</v>
      </c>
      <c r="Z52" s="3544">
        <f>SUM(X52:Y52)</f>
        <v>0</v>
      </c>
      <c r="AA52" s="3718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781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214" t="e" cm="1">
        <f t="array" ref="AC52">INDEX('각층분기별_유효전력최대(전월)'!A49:A2067,MATCH(1,("4-DaHall 1-PDU-02"='각층분기별_유효전력최대(전월)'!B51:B2067)*("[branch#001] [A] kWh last month"='각층분기별_유효전력최대(전월)'!C51:C2067),0))</f>
        <v>#N/A</v>
      </c>
      <c r="AD52" s="3545">
        <f>SUM(AA52:AB54)</f>
        <v>0</v>
      </c>
      <c r="AE52" s="3807"/>
      <c r="AG52">
        <v>0</v>
      </c>
      <c r="AH52" s="1366">
        <f t="shared" si="1"/>
        <v>0</v>
      </c>
      <c r="AJ52" s="2367">
        <f t="shared" si="2"/>
        <v>0</v>
      </c>
      <c r="AK52" s="2367">
        <f t="shared" si="3"/>
        <v>0</v>
      </c>
      <c r="AL52" s="123" t="str">
        <f t="shared" si="4"/>
        <v>무부하 랙</v>
      </c>
      <c r="AR52" s="123"/>
      <c r="AS52" s="123"/>
      <c r="AU52" s="3084"/>
      <c r="AV52" s="123"/>
      <c r="AW52" s="123"/>
      <c r="AX52" s="3085"/>
      <c r="AY52" s="3086"/>
      <c r="AZ52" s="3087"/>
      <c r="BA52" s="3088"/>
      <c r="BB52" s="3089"/>
      <c r="BC52" s="3090"/>
      <c r="BD52" s="123"/>
    </row>
    <row r="53" spans="1:56">
      <c r="A53" s="3706"/>
      <c r="B53" s="1134"/>
      <c r="C53" s="1142"/>
      <c r="D53" s="3660"/>
      <c r="E53" s="250"/>
      <c r="F53" s="3340"/>
      <c r="G53" s="3709"/>
      <c r="H53" s="3676"/>
      <c r="I53" s="3679"/>
      <c r="J53" s="3767"/>
      <c r="K53" s="3770"/>
      <c r="L53" s="3521"/>
      <c r="M53" s="3690"/>
      <c r="N53" s="3773"/>
      <c r="O53" s="3776"/>
      <c r="P53" s="3699"/>
      <c r="Q53" s="3702"/>
      <c r="R53" s="3663"/>
      <c r="S53" s="3343"/>
      <c r="T53" s="3340"/>
      <c r="U53" s="3343"/>
      <c r="V53" s="3340"/>
      <c r="W53" s="3343"/>
      <c r="X53" s="3725"/>
      <c r="Y53" s="3722"/>
      <c r="Z53" s="3398"/>
      <c r="AA53" s="3719"/>
      <c r="AB53" s="3782"/>
      <c r="AC53" s="3214"/>
      <c r="AD53" s="3535"/>
      <c r="AE53" s="3802"/>
      <c r="AG53">
        <v>0</v>
      </c>
      <c r="AH53" s="1366">
        <f t="shared" si="1"/>
        <v>0</v>
      </c>
      <c r="AJ53" s="2367">
        <f t="shared" si="2"/>
        <v>0</v>
      </c>
      <c r="AK53" s="2367">
        <f t="shared" si="3"/>
        <v>0</v>
      </c>
      <c r="AL53" s="123" t="str">
        <f t="shared" si="4"/>
        <v>무부하 랙</v>
      </c>
      <c r="AR53" s="123"/>
      <c r="AS53" s="123"/>
      <c r="AU53" s="3084"/>
      <c r="AV53" s="123"/>
      <c r="AW53" s="123"/>
      <c r="AX53" s="3085"/>
      <c r="AY53" s="3086"/>
      <c r="AZ53" s="3087"/>
      <c r="BA53" s="3088"/>
      <c r="BB53" s="3089"/>
      <c r="BC53" s="3090"/>
      <c r="BD53" s="123"/>
    </row>
    <row r="54" spans="1:56" ht="15" thickBot="1">
      <c r="A54" s="3707"/>
      <c r="B54" s="1132"/>
      <c r="C54" s="1143"/>
      <c r="D54" s="3661"/>
      <c r="E54" s="2661"/>
      <c r="F54" s="3341"/>
      <c r="G54" s="3710"/>
      <c r="H54" s="3677"/>
      <c r="I54" s="3680"/>
      <c r="J54" s="3768"/>
      <c r="K54" s="3771"/>
      <c r="L54" s="3688"/>
      <c r="M54" s="3691"/>
      <c r="N54" s="3774"/>
      <c r="O54" s="3777"/>
      <c r="P54" s="3700"/>
      <c r="Q54" s="3703"/>
      <c r="R54" s="3664"/>
      <c r="S54" s="3344"/>
      <c r="T54" s="3341"/>
      <c r="U54" s="3344"/>
      <c r="V54" s="3341"/>
      <c r="W54" s="3344"/>
      <c r="X54" s="3726"/>
      <c r="Y54" s="3723"/>
      <c r="Z54" s="3497"/>
      <c r="AA54" s="3720"/>
      <c r="AB54" s="3783"/>
      <c r="AC54" s="3214"/>
      <c r="AD54" s="3543"/>
      <c r="AE54" s="3808"/>
      <c r="AG54">
        <v>0</v>
      </c>
      <c r="AH54" s="1366">
        <f t="shared" si="1"/>
        <v>0</v>
      </c>
      <c r="AJ54" s="2367">
        <f t="shared" si="2"/>
        <v>0</v>
      </c>
      <c r="AK54" s="2367">
        <f t="shared" si="3"/>
        <v>0</v>
      </c>
      <c r="AL54" s="123" t="str">
        <f t="shared" si="4"/>
        <v>무부하 랙</v>
      </c>
      <c r="AR54" s="123"/>
      <c r="AS54" s="123"/>
      <c r="AU54" s="3084"/>
      <c r="AV54" s="123"/>
      <c r="AW54" s="123"/>
      <c r="AX54" s="3085"/>
      <c r="AY54" s="3086"/>
      <c r="AZ54" s="3087"/>
      <c r="BA54" s="3088"/>
      <c r="BB54" s="3089"/>
      <c r="BC54" s="3090"/>
      <c r="BD54" s="123"/>
    </row>
    <row r="55" spans="1:56" ht="33" thickTop="1">
      <c r="A55" s="3705" t="s">
        <v>4028</v>
      </c>
      <c r="B55" s="1133" t="s">
        <v>4029</v>
      </c>
      <c r="C55" s="1141"/>
      <c r="D55" s="3656"/>
      <c r="E55" s="2684"/>
      <c r="F55" s="3354" t="s">
        <v>4030</v>
      </c>
      <c r="G55" s="3708" t="s">
        <v>4031</v>
      </c>
      <c r="H55" s="3675" t="str">
        <f>"4-DaHall 1-PDU-"&amp;L55&amp;"-"&amp;K55&amp;"-"&amp;M55</f>
        <v>4-DaHall 1-PDU-08-100-9</v>
      </c>
      <c r="I55" s="3678" t="str">
        <f>"4-DaHall 1-PDU-"&amp;P55&amp;"-"&amp;O55&amp;"-"&amp;Q55</f>
        <v>4-DaHall 1-PDU-07-100-9</v>
      </c>
      <c r="J55" s="3681">
        <v>220</v>
      </c>
      <c r="K55" s="3684">
        <v>100</v>
      </c>
      <c r="L55" s="3687" t="s">
        <v>6505</v>
      </c>
      <c r="M55" s="3689">
        <v>9</v>
      </c>
      <c r="N55" s="3692">
        <v>220</v>
      </c>
      <c r="O55" s="3695">
        <v>100</v>
      </c>
      <c r="P55" s="3698" t="s">
        <v>6492</v>
      </c>
      <c r="Q55" s="3701">
        <v>9</v>
      </c>
      <c r="R55" s="3662" t="s">
        <v>4032</v>
      </c>
      <c r="S55" s="3345" t="s">
        <v>4033</v>
      </c>
      <c r="T55" s="3354" t="s">
        <v>4034</v>
      </c>
      <c r="U55" s="3345" t="s">
        <v>4035</v>
      </c>
      <c r="V55" s="3354" t="s">
        <v>3744</v>
      </c>
      <c r="W55" s="3345" t="s">
        <v>3749</v>
      </c>
      <c r="X55" s="3733">
        <f>SUM('4층_부하량(월간_AVG)'!N27:P27)</f>
        <v>0</v>
      </c>
      <c r="Y55" s="3715">
        <f>SUM('4층_부하량(월간_AVG)'!D72:F72)</f>
        <v>0</v>
      </c>
      <c r="Z55" s="3714">
        <f>SUM(X55:Y55)</f>
        <v>0</v>
      </c>
      <c r="AA55" s="3711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781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214" t="e" cm="1">
        <f t="array" ref="AC55">INDEX('각층분기별_유효전력최대(전월)'!A52:A2070,MATCH(1,("4-DaHall 1-PDU-02"='각층분기별_유효전력최대(전월)'!B54:B2070)*("[branch#001] [A] kWh last month"='각층분기별_유효전력최대(전월)'!C54:C2070),0))</f>
        <v>#N/A</v>
      </c>
      <c r="AD55" s="3545">
        <f>SUM(AA55:AB56)</f>
        <v>0</v>
      </c>
      <c r="AE55" s="2510" t="s">
        <v>4036</v>
      </c>
      <c r="AG55">
        <v>1.4</v>
      </c>
      <c r="AH55" s="1366">
        <f t="shared" si="1"/>
        <v>-1.4</v>
      </c>
      <c r="AJ55" s="2367">
        <f t="shared" si="2"/>
        <v>0</v>
      </c>
      <c r="AK55" s="2367">
        <f t="shared" si="3"/>
        <v>0</v>
      </c>
      <c r="AL55" s="123" t="str">
        <f t="shared" si="4"/>
        <v>무부하 랙</v>
      </c>
      <c r="AR55" s="123"/>
      <c r="AS55" s="123"/>
      <c r="AU55" s="3084"/>
      <c r="AV55" s="123"/>
      <c r="AW55" s="123"/>
      <c r="AX55" s="3085"/>
      <c r="AY55" s="3086"/>
      <c r="AZ55" s="3087"/>
      <c r="BA55" s="3088"/>
      <c r="BB55" s="3089"/>
      <c r="BC55" s="3090"/>
      <c r="BD55" s="123"/>
    </row>
    <row r="56" spans="1:56" ht="21.6">
      <c r="A56" s="3706"/>
      <c r="B56" s="1134" t="s">
        <v>3951</v>
      </c>
      <c r="C56" s="1142"/>
      <c r="D56" s="3657"/>
      <c r="E56" s="992"/>
      <c r="F56" s="3340"/>
      <c r="G56" s="3709"/>
      <c r="H56" s="3676"/>
      <c r="I56" s="3679"/>
      <c r="J56" s="3682"/>
      <c r="K56" s="3685"/>
      <c r="L56" s="3521"/>
      <c r="M56" s="3690"/>
      <c r="N56" s="3693"/>
      <c r="O56" s="3696"/>
      <c r="P56" s="3699"/>
      <c r="Q56" s="3702"/>
      <c r="R56" s="3663"/>
      <c r="S56" s="3343"/>
      <c r="T56" s="3340"/>
      <c r="U56" s="3343"/>
      <c r="V56" s="3340"/>
      <c r="W56" s="3343"/>
      <c r="X56" s="3763"/>
      <c r="Y56" s="3764"/>
      <c r="Z56" s="3508"/>
      <c r="AA56" s="3765"/>
      <c r="AB56" s="3794"/>
      <c r="AC56" s="3214"/>
      <c r="AD56" s="3534"/>
      <c r="AE56" s="2511" t="s">
        <v>4037</v>
      </c>
      <c r="AG56">
        <v>0</v>
      </c>
      <c r="AH56" s="1366">
        <f t="shared" si="1"/>
        <v>0</v>
      </c>
      <c r="AJ56" s="2367">
        <f t="shared" si="2"/>
        <v>0</v>
      </c>
      <c r="AK56" s="2367">
        <f t="shared" si="3"/>
        <v>0</v>
      </c>
      <c r="AL56" s="123" t="str">
        <f t="shared" si="4"/>
        <v>무부하 랙</v>
      </c>
      <c r="AR56" s="123"/>
      <c r="AS56" s="123"/>
      <c r="AU56" s="3084"/>
      <c r="AV56" s="123"/>
      <c r="AW56" s="123"/>
      <c r="AX56" s="3085"/>
      <c r="AY56" s="3086"/>
      <c r="AZ56" s="3087"/>
      <c r="BA56" s="3088"/>
      <c r="BB56" s="3089"/>
      <c r="BC56" s="3090"/>
      <c r="BD56" s="123"/>
    </row>
    <row r="57" spans="1:56">
      <c r="A57" s="3706"/>
      <c r="B57" s="1134"/>
      <c r="C57" s="1142"/>
      <c r="D57" s="3657"/>
      <c r="E57" s="250"/>
      <c r="F57" s="3340"/>
      <c r="G57" s="3709"/>
      <c r="H57" s="3676"/>
      <c r="I57" s="3679"/>
      <c r="J57" s="3682"/>
      <c r="K57" s="3685"/>
      <c r="L57" s="3521"/>
      <c r="M57" s="3690"/>
      <c r="N57" s="3693"/>
      <c r="O57" s="3696"/>
      <c r="P57" s="3699"/>
      <c r="Q57" s="3702"/>
      <c r="R57" s="3663"/>
      <c r="S57" s="3343"/>
      <c r="T57" s="3340"/>
      <c r="U57" s="3343"/>
      <c r="V57" s="3340"/>
      <c r="W57" s="3343"/>
      <c r="X57" s="3748"/>
      <c r="Y57" s="3751"/>
      <c r="Z57" s="3754"/>
      <c r="AA57" s="3757"/>
      <c r="AB57" s="3795"/>
      <c r="AC57" s="3214" t="e" cm="1">
        <f t="array" ref="AC57">INDEX('각층분기별_유효전력최대(전월)'!A54:A2072,MATCH(1,("4-DaHall 1-PDU-02"='각층분기별_유효전력최대(전월)'!B56:B2072)*("[branch#001] [A] kWh last month"='각층분기별_유효전력최대(전월)'!C56:C2072),0))</f>
        <v>#N/A</v>
      </c>
      <c r="AD57" s="3760"/>
      <c r="AE57" s="3801"/>
      <c r="AG57">
        <v>0</v>
      </c>
      <c r="AH57" s="1366">
        <f t="shared" si="1"/>
        <v>0</v>
      </c>
      <c r="AJ57" s="2367">
        <f t="shared" si="2"/>
        <v>0</v>
      </c>
      <c r="AK57" s="2367">
        <f t="shared" si="3"/>
        <v>0</v>
      </c>
      <c r="AL57" s="123" t="str">
        <f t="shared" si="4"/>
        <v>무부하 랙</v>
      </c>
      <c r="AR57" s="123"/>
      <c r="AS57" s="123"/>
      <c r="AU57" s="3084"/>
      <c r="AV57" s="123"/>
      <c r="AW57" s="123"/>
      <c r="AX57" s="3085"/>
      <c r="AY57" s="3086"/>
      <c r="AZ57" s="3087"/>
      <c r="BA57" s="3088"/>
      <c r="BB57" s="3089"/>
      <c r="BC57" s="3090"/>
      <c r="BD57" s="123"/>
    </row>
    <row r="58" spans="1:56">
      <c r="A58" s="3706"/>
      <c r="B58" s="1134"/>
      <c r="C58" s="1142"/>
      <c r="D58" s="3657"/>
      <c r="E58" s="250"/>
      <c r="F58" s="3340"/>
      <c r="G58" s="3709"/>
      <c r="H58" s="3676"/>
      <c r="I58" s="3679"/>
      <c r="J58" s="3682"/>
      <c r="K58" s="3685"/>
      <c r="L58" s="3521"/>
      <c r="M58" s="3690"/>
      <c r="N58" s="3693"/>
      <c r="O58" s="3696"/>
      <c r="P58" s="3699"/>
      <c r="Q58" s="3702"/>
      <c r="R58" s="3663"/>
      <c r="S58" s="3343"/>
      <c r="T58" s="3340"/>
      <c r="U58" s="3343"/>
      <c r="V58" s="3340"/>
      <c r="W58" s="3343"/>
      <c r="X58" s="3749"/>
      <c r="Y58" s="3752"/>
      <c r="Z58" s="3755"/>
      <c r="AA58" s="3758"/>
      <c r="AB58" s="3796"/>
      <c r="AC58" s="3214"/>
      <c r="AD58" s="3761"/>
      <c r="AE58" s="3802"/>
      <c r="AG58">
        <v>0</v>
      </c>
      <c r="AH58" s="1366">
        <f t="shared" si="1"/>
        <v>0</v>
      </c>
      <c r="AJ58" s="2367">
        <f t="shared" si="2"/>
        <v>0</v>
      </c>
      <c r="AK58" s="2367">
        <f t="shared" si="3"/>
        <v>0</v>
      </c>
      <c r="AL58" s="123" t="str">
        <f t="shared" si="4"/>
        <v>무부하 랙</v>
      </c>
      <c r="AR58" s="123"/>
      <c r="AS58" s="123"/>
      <c r="AU58" s="3084"/>
      <c r="AV58" s="123"/>
      <c r="AW58" s="123"/>
      <c r="AX58" s="3085"/>
      <c r="AY58" s="3086"/>
      <c r="AZ58" s="3087"/>
      <c r="BA58" s="3088"/>
      <c r="BB58" s="3089"/>
      <c r="BC58" s="3090"/>
      <c r="BD58" s="123"/>
    </row>
    <row r="59" spans="1:56">
      <c r="A59" s="3706"/>
      <c r="B59" s="1134"/>
      <c r="C59" s="1142"/>
      <c r="D59" s="3657"/>
      <c r="E59" s="250"/>
      <c r="F59" s="3340"/>
      <c r="G59" s="3709"/>
      <c r="H59" s="3676"/>
      <c r="I59" s="3679"/>
      <c r="J59" s="3682"/>
      <c r="K59" s="3685"/>
      <c r="L59" s="3521"/>
      <c r="M59" s="3690"/>
      <c r="N59" s="3693"/>
      <c r="O59" s="3696"/>
      <c r="P59" s="3699"/>
      <c r="Q59" s="3702"/>
      <c r="R59" s="3663"/>
      <c r="S59" s="3343"/>
      <c r="T59" s="3340"/>
      <c r="U59" s="3343"/>
      <c r="V59" s="3340"/>
      <c r="W59" s="3343"/>
      <c r="X59" s="3749"/>
      <c r="Y59" s="3752"/>
      <c r="Z59" s="3755"/>
      <c r="AA59" s="3758"/>
      <c r="AB59" s="3796"/>
      <c r="AC59" s="3214"/>
      <c r="AD59" s="3761"/>
      <c r="AE59" s="3802"/>
      <c r="AG59">
        <v>0</v>
      </c>
      <c r="AH59" s="1366">
        <f t="shared" si="1"/>
        <v>0</v>
      </c>
      <c r="AJ59" s="2367">
        <f t="shared" si="2"/>
        <v>0</v>
      </c>
      <c r="AK59" s="2367">
        <f t="shared" si="3"/>
        <v>0</v>
      </c>
      <c r="AL59" s="123" t="str">
        <f t="shared" si="4"/>
        <v>무부하 랙</v>
      </c>
      <c r="AR59" s="123"/>
      <c r="AS59" s="123"/>
      <c r="AU59" s="3084"/>
      <c r="AV59" s="123"/>
      <c r="AW59" s="123"/>
      <c r="AX59" s="3085"/>
      <c r="AY59" s="3086"/>
      <c r="AZ59" s="3087"/>
      <c r="BA59" s="3088"/>
      <c r="BB59" s="3089"/>
      <c r="BC59" s="3090"/>
      <c r="BD59" s="123"/>
    </row>
    <row r="60" spans="1:56">
      <c r="A60" s="3706"/>
      <c r="B60" s="1134"/>
      <c r="C60" s="1142"/>
      <c r="D60" s="3657"/>
      <c r="E60" s="250"/>
      <c r="F60" s="3340"/>
      <c r="G60" s="3709"/>
      <c r="H60" s="3676"/>
      <c r="I60" s="3679"/>
      <c r="J60" s="3682"/>
      <c r="K60" s="3685"/>
      <c r="L60" s="3521"/>
      <c r="M60" s="3690"/>
      <c r="N60" s="3693"/>
      <c r="O60" s="3696"/>
      <c r="P60" s="3699"/>
      <c r="Q60" s="3702"/>
      <c r="R60" s="3663"/>
      <c r="S60" s="3343"/>
      <c r="T60" s="3340"/>
      <c r="U60" s="3343"/>
      <c r="V60" s="3340"/>
      <c r="W60" s="3343"/>
      <c r="X60" s="3749"/>
      <c r="Y60" s="3752"/>
      <c r="Z60" s="3755"/>
      <c r="AA60" s="3758"/>
      <c r="AB60" s="3796"/>
      <c r="AC60" s="3214"/>
      <c r="AD60" s="3761"/>
      <c r="AE60" s="3802"/>
      <c r="AG60">
        <v>0</v>
      </c>
      <c r="AH60" s="1366">
        <f t="shared" si="1"/>
        <v>0</v>
      </c>
      <c r="AJ60" s="2367">
        <f t="shared" si="2"/>
        <v>0</v>
      </c>
      <c r="AK60" s="2367">
        <f t="shared" si="3"/>
        <v>0</v>
      </c>
      <c r="AL60" s="123" t="str">
        <f t="shared" si="4"/>
        <v>무부하 랙</v>
      </c>
      <c r="AR60" s="123"/>
      <c r="AS60" s="123"/>
      <c r="AU60" s="3084"/>
      <c r="AV60" s="123"/>
      <c r="AW60" s="123"/>
      <c r="AX60" s="3085"/>
      <c r="AY60" s="3086"/>
      <c r="AZ60" s="3087"/>
      <c r="BA60" s="3088"/>
      <c r="BB60" s="3089"/>
      <c r="BC60" s="3090"/>
      <c r="BD60" s="123"/>
    </row>
    <row r="61" spans="1:56">
      <c r="A61" s="3706"/>
      <c r="B61" s="1134"/>
      <c r="C61" s="1142"/>
      <c r="D61" s="3657"/>
      <c r="E61" s="250"/>
      <c r="F61" s="3340"/>
      <c r="G61" s="3709"/>
      <c r="H61" s="3676"/>
      <c r="I61" s="3679"/>
      <c r="J61" s="3682"/>
      <c r="K61" s="3685"/>
      <c r="L61" s="3521"/>
      <c r="M61" s="3690"/>
      <c r="N61" s="3693"/>
      <c r="O61" s="3696"/>
      <c r="P61" s="3699"/>
      <c r="Q61" s="3702"/>
      <c r="R61" s="3663"/>
      <c r="S61" s="3343"/>
      <c r="T61" s="3340"/>
      <c r="U61" s="3343"/>
      <c r="V61" s="3340"/>
      <c r="W61" s="3343"/>
      <c r="X61" s="3749"/>
      <c r="Y61" s="3752"/>
      <c r="Z61" s="3755"/>
      <c r="AA61" s="3758"/>
      <c r="AB61" s="3796"/>
      <c r="AC61" s="3214"/>
      <c r="AD61" s="3761"/>
      <c r="AE61" s="3802"/>
      <c r="AG61">
        <v>0</v>
      </c>
      <c r="AH61" s="1366">
        <f t="shared" si="1"/>
        <v>0</v>
      </c>
      <c r="AJ61" s="2367">
        <f t="shared" si="2"/>
        <v>0</v>
      </c>
      <c r="AK61" s="2367">
        <f t="shared" si="3"/>
        <v>0</v>
      </c>
      <c r="AL61" s="123" t="str">
        <f t="shared" si="4"/>
        <v>무부하 랙</v>
      </c>
      <c r="AR61" s="123"/>
      <c r="AS61" s="123"/>
      <c r="AU61" s="3084"/>
      <c r="AV61" s="123"/>
      <c r="AW61" s="123"/>
      <c r="AX61" s="3085"/>
      <c r="AY61" s="3086"/>
      <c r="AZ61" s="3087"/>
      <c r="BA61" s="3088"/>
      <c r="BB61" s="3089"/>
      <c r="BC61" s="3090"/>
      <c r="BD61" s="123"/>
    </row>
    <row r="62" spans="1:56" ht="15" thickBot="1">
      <c r="A62" s="3707"/>
      <c r="B62" s="1132"/>
      <c r="C62" s="1143"/>
      <c r="D62" s="3658"/>
      <c r="E62" s="2661"/>
      <c r="F62" s="3341"/>
      <c r="G62" s="3710"/>
      <c r="H62" s="3677"/>
      <c r="I62" s="3680"/>
      <c r="J62" s="3683"/>
      <c r="K62" s="3686"/>
      <c r="L62" s="3688"/>
      <c r="M62" s="3691"/>
      <c r="N62" s="3694"/>
      <c r="O62" s="3697"/>
      <c r="P62" s="3700"/>
      <c r="Q62" s="3703"/>
      <c r="R62" s="3664"/>
      <c r="S62" s="3344"/>
      <c r="T62" s="3341"/>
      <c r="U62" s="3344"/>
      <c r="V62" s="3341"/>
      <c r="W62" s="3344"/>
      <c r="X62" s="3750"/>
      <c r="Y62" s="3753"/>
      <c r="Z62" s="3756"/>
      <c r="AA62" s="3759"/>
      <c r="AB62" s="3797"/>
      <c r="AC62" s="3214"/>
      <c r="AD62" s="3762"/>
      <c r="AE62" s="3808"/>
      <c r="AG62">
        <v>0</v>
      </c>
      <c r="AH62" s="1366">
        <f t="shared" si="1"/>
        <v>0</v>
      </c>
      <c r="AJ62" s="2367">
        <f t="shared" si="2"/>
        <v>0</v>
      </c>
      <c r="AK62" s="2367">
        <f t="shared" si="3"/>
        <v>0</v>
      </c>
      <c r="AL62" s="123" t="str">
        <f t="shared" si="4"/>
        <v>무부하 랙</v>
      </c>
      <c r="AR62" s="123"/>
      <c r="AS62" s="123"/>
      <c r="AU62" s="3084"/>
      <c r="AV62" s="123"/>
      <c r="AW62" s="123"/>
      <c r="AX62" s="3085"/>
      <c r="AY62" s="3086"/>
      <c r="AZ62" s="3087"/>
      <c r="BA62" s="3088"/>
      <c r="BB62" s="3089"/>
      <c r="BC62" s="3090"/>
      <c r="BD62" s="123"/>
    </row>
    <row r="63" spans="1:56" ht="15" thickTop="1">
      <c r="A63" s="3705" t="s">
        <v>4015</v>
      </c>
      <c r="B63" s="1133" t="s">
        <v>9193</v>
      </c>
      <c r="C63" s="1141" t="s">
        <v>9183</v>
      </c>
      <c r="D63" s="3656">
        <f>1.1+2.2*9</f>
        <v>20.900000000000002</v>
      </c>
      <c r="E63" s="996" t="s">
        <v>4016</v>
      </c>
      <c r="F63" s="3354" t="s">
        <v>4017</v>
      </c>
      <c r="G63" s="3708" t="s">
        <v>4018</v>
      </c>
      <c r="H63" s="3675" t="str">
        <f>"4-DaHall 1-PDU-"&amp;L63&amp;"-"&amp;K63&amp;"-"&amp;M63</f>
        <v>4-DaHall 1-PDU-06-100-10</v>
      </c>
      <c r="I63" s="3678" t="str">
        <f>"4-DaHall 1-PDU-"&amp;P63&amp;"-"&amp;O63&amp;"-"&amp;Q63</f>
        <v>4-DaHall 1-PDU-05-100-10</v>
      </c>
      <c r="J63" s="3681">
        <v>220</v>
      </c>
      <c r="K63" s="3684">
        <v>100</v>
      </c>
      <c r="L63" s="3687" t="s">
        <v>6502</v>
      </c>
      <c r="M63" s="3689">
        <v>10</v>
      </c>
      <c r="N63" s="3692">
        <v>220</v>
      </c>
      <c r="O63" s="3695">
        <v>100</v>
      </c>
      <c r="P63" s="3698" t="s">
        <v>6491</v>
      </c>
      <c r="Q63" s="3701">
        <v>10</v>
      </c>
      <c r="R63" s="3662" t="s">
        <v>3886</v>
      </c>
      <c r="S63" s="3345" t="s">
        <v>3887</v>
      </c>
      <c r="T63" s="3354" t="s">
        <v>3888</v>
      </c>
      <c r="U63" s="3345" t="s">
        <v>3889</v>
      </c>
      <c r="V63" s="3354" t="s">
        <v>3744</v>
      </c>
      <c r="W63" s="3345" t="s">
        <v>3749</v>
      </c>
      <c r="X63" s="3733">
        <f>SUM('4층_부하량(월간_AVG)'!D28:F28)</f>
        <v>38.390952111068763</v>
      </c>
      <c r="Y63" s="3715">
        <f>SUM('4층_부하량(월간_AVG)'!N57:P57)</f>
        <v>31.920548973884557</v>
      </c>
      <c r="Z63" s="3714">
        <f t="shared" ref="Z63" si="11">SUM(X63:Y63)</f>
        <v>70.311501084953321</v>
      </c>
      <c r="AA63" s="3711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5978.6</v>
      </c>
      <c r="AB63" s="3781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4921.3999999999996</v>
      </c>
      <c r="AC63" s="3214" t="e" cm="1">
        <f t="array" ref="AC63">INDEX('각층분기별_유효전력최대(전월)'!A60:A2078,MATCH(1,("4-DaHall 1-PDU-02"='각층분기별_유효전력최대(전월)'!B62:B2078)*("[branch#001] [A] kWh last month"='각층분기별_유효전력최대(전월)'!C62:C2078),0))</f>
        <v>#N/A</v>
      </c>
      <c r="AD63" s="3545">
        <f>SUM(AA63:AB72)</f>
        <v>10900</v>
      </c>
      <c r="AE63" s="2500"/>
      <c r="AG63">
        <v>70.2</v>
      </c>
      <c r="AH63" s="1366">
        <f t="shared" si="1"/>
        <v>0.11150108495331779</v>
      </c>
      <c r="AJ63" s="2367">
        <f t="shared" si="2"/>
        <v>14.650537634408602</v>
      </c>
      <c r="AK63" s="2367">
        <f t="shared" si="3"/>
        <v>6.2494623655914001</v>
      </c>
      <c r="AL63" s="123" t="str">
        <f t="shared" si="4"/>
        <v>적정함</v>
      </c>
      <c r="AR63" s="123"/>
      <c r="AS63" s="123"/>
      <c r="AU63" s="3084"/>
      <c r="AV63" s="123"/>
      <c r="AW63" s="123"/>
      <c r="AX63" s="3085"/>
      <c r="AY63" s="3086"/>
      <c r="AZ63" s="3087"/>
      <c r="BA63" s="3088"/>
      <c r="BB63" s="3089"/>
      <c r="BC63" s="3090"/>
      <c r="BD63" s="123"/>
    </row>
    <row r="64" spans="1:56">
      <c r="A64" s="3706"/>
      <c r="B64" s="1134" t="s">
        <v>4019</v>
      </c>
      <c r="C64" s="1142"/>
      <c r="D64" s="3657"/>
      <c r="E64" s="2653" t="s">
        <v>9194</v>
      </c>
      <c r="F64" s="3340"/>
      <c r="G64" s="3709"/>
      <c r="H64" s="3676"/>
      <c r="I64" s="3679"/>
      <c r="J64" s="3682"/>
      <c r="K64" s="3685"/>
      <c r="L64" s="3521"/>
      <c r="M64" s="3690"/>
      <c r="N64" s="3693"/>
      <c r="O64" s="3696"/>
      <c r="P64" s="3699"/>
      <c r="Q64" s="3702"/>
      <c r="R64" s="3663"/>
      <c r="S64" s="3343"/>
      <c r="T64" s="3340"/>
      <c r="U64" s="3343"/>
      <c r="V64" s="3340"/>
      <c r="W64" s="3343"/>
      <c r="X64" s="3734"/>
      <c r="Y64" s="3716"/>
      <c r="Z64" s="3507"/>
      <c r="AA64" s="3712"/>
      <c r="AB64" s="3782"/>
      <c r="AC64" s="3214"/>
      <c r="AD64" s="3535"/>
      <c r="AE64" s="2501"/>
      <c r="AG64">
        <v>0</v>
      </c>
      <c r="AH64" s="1366">
        <f t="shared" si="1"/>
        <v>0</v>
      </c>
      <c r="AJ64" s="2367">
        <f t="shared" si="2"/>
        <v>0</v>
      </c>
      <c r="AK64" s="2367">
        <f t="shared" si="3"/>
        <v>0</v>
      </c>
      <c r="AL64" s="123" t="str">
        <f t="shared" si="4"/>
        <v>무부하 랙</v>
      </c>
      <c r="AR64" s="123"/>
      <c r="AS64" s="123"/>
      <c r="AU64" s="3084"/>
      <c r="AV64" s="123"/>
      <c r="AW64" s="123"/>
      <c r="AX64" s="3085"/>
      <c r="AY64" s="3086"/>
      <c r="AZ64" s="3087"/>
      <c r="BA64" s="3088"/>
      <c r="BB64" s="3089"/>
      <c r="BC64" s="3090"/>
      <c r="BD64" s="123"/>
    </row>
    <row r="65" spans="1:56" ht="21.6">
      <c r="A65" s="3706"/>
      <c r="B65" s="1134" t="s">
        <v>1756</v>
      </c>
      <c r="C65" s="1142" t="s">
        <v>9184</v>
      </c>
      <c r="D65" s="3657"/>
      <c r="E65" s="2653" t="s">
        <v>4020</v>
      </c>
      <c r="F65" s="3340"/>
      <c r="G65" s="3709"/>
      <c r="H65" s="3676"/>
      <c r="I65" s="3679"/>
      <c r="J65" s="3682"/>
      <c r="K65" s="3685"/>
      <c r="L65" s="3521"/>
      <c r="M65" s="3690"/>
      <c r="N65" s="3693"/>
      <c r="O65" s="3696"/>
      <c r="P65" s="3699"/>
      <c r="Q65" s="3702"/>
      <c r="R65" s="3663"/>
      <c r="S65" s="3343"/>
      <c r="T65" s="3340"/>
      <c r="U65" s="3343"/>
      <c r="V65" s="3340"/>
      <c r="W65" s="3343"/>
      <c r="X65" s="3734"/>
      <c r="Y65" s="3716"/>
      <c r="Z65" s="3507"/>
      <c r="AA65" s="3712"/>
      <c r="AB65" s="3782"/>
      <c r="AC65" s="3214"/>
      <c r="AD65" s="3535"/>
      <c r="AE65" s="2501"/>
      <c r="AG65">
        <v>0</v>
      </c>
      <c r="AH65" s="1366">
        <f t="shared" si="1"/>
        <v>0</v>
      </c>
      <c r="AJ65" s="2367">
        <f t="shared" si="2"/>
        <v>0</v>
      </c>
      <c r="AK65" s="2367">
        <f t="shared" si="3"/>
        <v>0</v>
      </c>
      <c r="AL65" s="123" t="str">
        <f t="shared" si="4"/>
        <v>무부하 랙</v>
      </c>
      <c r="AR65" s="123"/>
      <c r="AS65" s="123"/>
      <c r="AU65" s="3084"/>
      <c r="AV65" s="123"/>
      <c r="AW65" s="123"/>
      <c r="AX65" s="3085"/>
      <c r="AY65" s="3086"/>
      <c r="AZ65" s="3087"/>
      <c r="BA65" s="3088"/>
      <c r="BB65" s="3089"/>
      <c r="BC65" s="3090"/>
      <c r="BD65" s="123"/>
    </row>
    <row r="66" spans="1:56" ht="21.6">
      <c r="A66" s="3706"/>
      <c r="B66" s="1134" t="s">
        <v>1762</v>
      </c>
      <c r="C66" s="1142" t="s">
        <v>9184</v>
      </c>
      <c r="D66" s="3657"/>
      <c r="E66" s="2653" t="s">
        <v>4021</v>
      </c>
      <c r="F66" s="3340"/>
      <c r="G66" s="3709"/>
      <c r="H66" s="3676"/>
      <c r="I66" s="3679"/>
      <c r="J66" s="3682"/>
      <c r="K66" s="3685"/>
      <c r="L66" s="3521"/>
      <c r="M66" s="3690"/>
      <c r="N66" s="3693"/>
      <c r="O66" s="3696"/>
      <c r="P66" s="3699"/>
      <c r="Q66" s="3702"/>
      <c r="R66" s="3663"/>
      <c r="S66" s="3343"/>
      <c r="T66" s="3340"/>
      <c r="U66" s="3343"/>
      <c r="V66" s="3340"/>
      <c r="W66" s="3343"/>
      <c r="X66" s="3734"/>
      <c r="Y66" s="3716"/>
      <c r="Z66" s="3507"/>
      <c r="AA66" s="3712"/>
      <c r="AB66" s="3782"/>
      <c r="AC66" s="3214"/>
      <c r="AD66" s="3535"/>
      <c r="AE66" s="2501"/>
      <c r="AG66">
        <v>0</v>
      </c>
      <c r="AH66" s="1366">
        <f t="shared" si="1"/>
        <v>0</v>
      </c>
      <c r="AJ66" s="2367">
        <f t="shared" si="2"/>
        <v>0</v>
      </c>
      <c r="AK66" s="2367">
        <f t="shared" si="3"/>
        <v>0</v>
      </c>
      <c r="AL66" s="123" t="str">
        <f t="shared" si="4"/>
        <v>무부하 랙</v>
      </c>
      <c r="AR66" s="123"/>
      <c r="AS66" s="123"/>
      <c r="AU66" s="3084"/>
      <c r="AV66" s="123"/>
      <c r="AW66" s="123"/>
      <c r="AX66" s="3085"/>
      <c r="AY66" s="3086"/>
      <c r="AZ66" s="3087"/>
      <c r="BA66" s="3088"/>
      <c r="BB66" s="3089"/>
      <c r="BC66" s="3090"/>
      <c r="BD66" s="123"/>
    </row>
    <row r="67" spans="1:56" ht="21.6">
      <c r="A67" s="3706"/>
      <c r="B67" s="1134" t="s">
        <v>2839</v>
      </c>
      <c r="C67" s="1142" t="s">
        <v>9184</v>
      </c>
      <c r="D67" s="3657"/>
      <c r="E67" s="2653" t="s">
        <v>4022</v>
      </c>
      <c r="F67" s="3340"/>
      <c r="G67" s="3709"/>
      <c r="H67" s="3676"/>
      <c r="I67" s="3679"/>
      <c r="J67" s="3682"/>
      <c r="K67" s="3685"/>
      <c r="L67" s="3521"/>
      <c r="M67" s="3690"/>
      <c r="N67" s="3693"/>
      <c r="O67" s="3696"/>
      <c r="P67" s="3699"/>
      <c r="Q67" s="3702"/>
      <c r="R67" s="3663"/>
      <c r="S67" s="3343"/>
      <c r="T67" s="3340"/>
      <c r="U67" s="3343"/>
      <c r="V67" s="3340"/>
      <c r="W67" s="3343"/>
      <c r="X67" s="3734"/>
      <c r="Y67" s="3716"/>
      <c r="Z67" s="3507"/>
      <c r="AA67" s="3712"/>
      <c r="AB67" s="3782"/>
      <c r="AC67" s="3214"/>
      <c r="AD67" s="3535"/>
      <c r="AE67" s="2501"/>
      <c r="AG67">
        <v>0</v>
      </c>
      <c r="AH67" s="1366">
        <f t="shared" si="1"/>
        <v>0</v>
      </c>
      <c r="AJ67" s="2367">
        <f t="shared" si="2"/>
        <v>0</v>
      </c>
      <c r="AK67" s="2367">
        <f t="shared" si="3"/>
        <v>0</v>
      </c>
      <c r="AL67" s="123" t="str">
        <f t="shared" si="4"/>
        <v>무부하 랙</v>
      </c>
      <c r="AR67" s="123"/>
      <c r="AS67" s="123"/>
      <c r="AU67" s="3084"/>
      <c r="AV67" s="123"/>
      <c r="AW67" s="123"/>
      <c r="AX67" s="3085"/>
      <c r="AY67" s="3086"/>
      <c r="AZ67" s="3087"/>
      <c r="BA67" s="3088"/>
      <c r="BB67" s="3089"/>
      <c r="BC67" s="3090"/>
      <c r="BD67" s="123"/>
    </row>
    <row r="68" spans="1:56" ht="21.6">
      <c r="A68" s="3706"/>
      <c r="B68" s="1134" t="s">
        <v>2841</v>
      </c>
      <c r="C68" s="1142" t="s">
        <v>9184</v>
      </c>
      <c r="D68" s="3657"/>
      <c r="E68" s="2653" t="s">
        <v>4023</v>
      </c>
      <c r="F68" s="3340"/>
      <c r="G68" s="3709"/>
      <c r="H68" s="3676"/>
      <c r="I68" s="3679"/>
      <c r="J68" s="3682"/>
      <c r="K68" s="3685"/>
      <c r="L68" s="3521"/>
      <c r="M68" s="3690"/>
      <c r="N68" s="3693"/>
      <c r="O68" s="3696"/>
      <c r="P68" s="3699"/>
      <c r="Q68" s="3702"/>
      <c r="R68" s="3663"/>
      <c r="S68" s="3343"/>
      <c r="T68" s="3340"/>
      <c r="U68" s="3343"/>
      <c r="V68" s="3340"/>
      <c r="W68" s="3343"/>
      <c r="X68" s="3734"/>
      <c r="Y68" s="3716"/>
      <c r="Z68" s="3507"/>
      <c r="AA68" s="3712"/>
      <c r="AB68" s="3782"/>
      <c r="AC68" s="3214"/>
      <c r="AD68" s="3535"/>
      <c r="AE68" s="2501"/>
      <c r="AG68">
        <v>0</v>
      </c>
      <c r="AH68" s="1366">
        <f t="shared" si="1"/>
        <v>0</v>
      </c>
      <c r="AJ68" s="2367">
        <f t="shared" si="2"/>
        <v>0</v>
      </c>
      <c r="AK68" s="2367">
        <f t="shared" si="3"/>
        <v>0</v>
      </c>
      <c r="AL68" s="123" t="str">
        <f t="shared" si="4"/>
        <v>무부하 랙</v>
      </c>
      <c r="AR68" s="123"/>
      <c r="AS68" s="123"/>
      <c r="AU68" s="3084"/>
      <c r="AV68" s="123"/>
      <c r="AW68" s="123"/>
      <c r="AX68" s="3085"/>
      <c r="AY68" s="3086"/>
      <c r="AZ68" s="3087"/>
      <c r="BA68" s="3088"/>
      <c r="BB68" s="3089"/>
      <c r="BC68" s="3090"/>
      <c r="BD68" s="123"/>
    </row>
    <row r="69" spans="1:56" ht="21.6">
      <c r="A69" s="3706"/>
      <c r="B69" s="1134" t="s">
        <v>2843</v>
      </c>
      <c r="C69" s="1142" t="s">
        <v>9184</v>
      </c>
      <c r="D69" s="3657"/>
      <c r="E69" s="2653" t="s">
        <v>4024</v>
      </c>
      <c r="F69" s="3340"/>
      <c r="G69" s="3709"/>
      <c r="H69" s="3676"/>
      <c r="I69" s="3679"/>
      <c r="J69" s="3682"/>
      <c r="K69" s="3685"/>
      <c r="L69" s="3521"/>
      <c r="M69" s="3690"/>
      <c r="N69" s="3693"/>
      <c r="O69" s="3696"/>
      <c r="P69" s="3699"/>
      <c r="Q69" s="3702"/>
      <c r="R69" s="3663"/>
      <c r="S69" s="3343"/>
      <c r="T69" s="3340"/>
      <c r="U69" s="3343"/>
      <c r="V69" s="3340"/>
      <c r="W69" s="3343"/>
      <c r="X69" s="3734"/>
      <c r="Y69" s="3716"/>
      <c r="Z69" s="3507"/>
      <c r="AA69" s="3712"/>
      <c r="AB69" s="3782"/>
      <c r="AC69" s="3214"/>
      <c r="AD69" s="3535"/>
      <c r="AE69" s="2501"/>
      <c r="AG69">
        <v>0</v>
      </c>
      <c r="AH69" s="1366">
        <f t="shared" ref="AH69:AH132" si="12">Z69-AG69</f>
        <v>0</v>
      </c>
      <c r="AJ69" s="2367">
        <f t="shared" ref="AJ69:AJ132" si="13">AD69/(24*31)</f>
        <v>0</v>
      </c>
      <c r="AK69" s="2367">
        <f t="shared" ref="AK69:AK132" si="14">D69-AJ69</f>
        <v>0</v>
      </c>
      <c r="AL69" s="123" t="str">
        <f t="shared" ref="AL69:AL132" si="15">IF(SIGN(AK69)&gt;=0,IF(AD69=0,"무부하 랙","적정함"),"사용초과")</f>
        <v>무부하 랙</v>
      </c>
      <c r="AR69" s="123"/>
      <c r="AS69" s="123"/>
      <c r="AU69" s="3084"/>
      <c r="AV69" s="123"/>
      <c r="AW69" s="123"/>
      <c r="AX69" s="3085"/>
      <c r="AY69" s="3086"/>
      <c r="AZ69" s="3087"/>
      <c r="BA69" s="3088"/>
      <c r="BB69" s="3089"/>
      <c r="BC69" s="3090"/>
      <c r="BD69" s="123"/>
    </row>
    <row r="70" spans="1:56" ht="21.6">
      <c r="A70" s="3706"/>
      <c r="B70" s="1134" t="s">
        <v>1794</v>
      </c>
      <c r="C70" s="1142" t="s">
        <v>9184</v>
      </c>
      <c r="D70" s="3657"/>
      <c r="E70" s="2653" t="s">
        <v>4025</v>
      </c>
      <c r="F70" s="3340"/>
      <c r="G70" s="3709"/>
      <c r="H70" s="3676"/>
      <c r="I70" s="3679"/>
      <c r="J70" s="3682"/>
      <c r="K70" s="3685"/>
      <c r="L70" s="3521"/>
      <c r="M70" s="3690"/>
      <c r="N70" s="3693"/>
      <c r="O70" s="3696"/>
      <c r="P70" s="3699"/>
      <c r="Q70" s="3702"/>
      <c r="R70" s="3663"/>
      <c r="S70" s="3343"/>
      <c r="T70" s="3340"/>
      <c r="U70" s="3343"/>
      <c r="V70" s="3340"/>
      <c r="W70" s="3343"/>
      <c r="X70" s="3734"/>
      <c r="Y70" s="3716"/>
      <c r="Z70" s="3507"/>
      <c r="AA70" s="3712"/>
      <c r="AB70" s="3782"/>
      <c r="AC70" s="3214"/>
      <c r="AD70" s="3535"/>
      <c r="AE70" s="2501"/>
      <c r="AG70">
        <v>0</v>
      </c>
      <c r="AH70" s="1366">
        <f t="shared" si="12"/>
        <v>0</v>
      </c>
      <c r="AJ70" s="2367">
        <f t="shared" si="13"/>
        <v>0</v>
      </c>
      <c r="AK70" s="2367">
        <f t="shared" si="14"/>
        <v>0</v>
      </c>
      <c r="AL70" s="123" t="str">
        <f t="shared" si="15"/>
        <v>무부하 랙</v>
      </c>
      <c r="AR70" s="123"/>
      <c r="AS70" s="123"/>
      <c r="AU70" s="3084"/>
      <c r="AV70" s="123"/>
      <c r="AW70" s="123"/>
      <c r="AX70" s="3085"/>
      <c r="AY70" s="3086"/>
      <c r="AZ70" s="3087"/>
      <c r="BA70" s="3088"/>
      <c r="BB70" s="3089"/>
      <c r="BC70" s="3090"/>
      <c r="BD70" s="123"/>
    </row>
    <row r="71" spans="1:56" ht="21.6">
      <c r="A71" s="3706"/>
      <c r="B71" s="1134" t="s">
        <v>1796</v>
      </c>
      <c r="C71" s="1142" t="s">
        <v>9184</v>
      </c>
      <c r="D71" s="3657"/>
      <c r="E71" s="2653" t="s">
        <v>4026</v>
      </c>
      <c r="F71" s="3340"/>
      <c r="G71" s="3709"/>
      <c r="H71" s="3676"/>
      <c r="I71" s="3679"/>
      <c r="J71" s="3682"/>
      <c r="K71" s="3685"/>
      <c r="L71" s="3521"/>
      <c r="M71" s="3690"/>
      <c r="N71" s="3693"/>
      <c r="O71" s="3696"/>
      <c r="P71" s="3699"/>
      <c r="Q71" s="3702"/>
      <c r="R71" s="3663"/>
      <c r="S71" s="3343"/>
      <c r="T71" s="3340"/>
      <c r="U71" s="3343"/>
      <c r="V71" s="3340"/>
      <c r="W71" s="3343"/>
      <c r="X71" s="3734"/>
      <c r="Y71" s="3716"/>
      <c r="Z71" s="3507"/>
      <c r="AA71" s="3712"/>
      <c r="AB71" s="3782"/>
      <c r="AC71" s="3214"/>
      <c r="AD71" s="3535"/>
      <c r="AE71" s="2501"/>
      <c r="AG71">
        <v>0</v>
      </c>
      <c r="AH71" s="1366">
        <f t="shared" si="12"/>
        <v>0</v>
      </c>
      <c r="AJ71" s="2367">
        <f t="shared" si="13"/>
        <v>0</v>
      </c>
      <c r="AK71" s="2367">
        <f t="shared" si="14"/>
        <v>0</v>
      </c>
      <c r="AL71" s="123" t="str">
        <f t="shared" si="15"/>
        <v>무부하 랙</v>
      </c>
      <c r="AR71" s="123"/>
      <c r="AS71" s="123"/>
      <c r="AU71" s="3084"/>
      <c r="AV71" s="123"/>
      <c r="AW71" s="123"/>
      <c r="AX71" s="3085"/>
      <c r="AY71" s="3086"/>
      <c r="AZ71" s="3087"/>
      <c r="BA71" s="3088"/>
      <c r="BB71" s="3089"/>
      <c r="BC71" s="3090"/>
      <c r="BD71" s="123"/>
    </row>
    <row r="72" spans="1:56" ht="22.2" thickBot="1">
      <c r="A72" s="3707"/>
      <c r="B72" s="1132" t="s">
        <v>1798</v>
      </c>
      <c r="C72" s="1143" t="s">
        <v>9184</v>
      </c>
      <c r="D72" s="3658"/>
      <c r="E72" s="2672" t="s">
        <v>4027</v>
      </c>
      <c r="F72" s="3341"/>
      <c r="G72" s="3710"/>
      <c r="H72" s="3677"/>
      <c r="I72" s="3680"/>
      <c r="J72" s="3683"/>
      <c r="K72" s="3686"/>
      <c r="L72" s="3688"/>
      <c r="M72" s="3691"/>
      <c r="N72" s="3694"/>
      <c r="O72" s="3697"/>
      <c r="P72" s="3700"/>
      <c r="Q72" s="3703"/>
      <c r="R72" s="3664"/>
      <c r="S72" s="3344"/>
      <c r="T72" s="3341"/>
      <c r="U72" s="3344"/>
      <c r="V72" s="3341"/>
      <c r="W72" s="3344"/>
      <c r="X72" s="3735"/>
      <c r="Y72" s="3717"/>
      <c r="Z72" s="3514"/>
      <c r="AA72" s="3713"/>
      <c r="AB72" s="3783"/>
      <c r="AC72" s="3214"/>
      <c r="AD72" s="3543"/>
      <c r="AE72" s="2502"/>
      <c r="AG72">
        <v>0</v>
      </c>
      <c r="AH72" s="1366">
        <f t="shared" si="12"/>
        <v>0</v>
      </c>
      <c r="AJ72" s="2367">
        <f t="shared" si="13"/>
        <v>0</v>
      </c>
      <c r="AK72" s="2367">
        <f t="shared" si="14"/>
        <v>0</v>
      </c>
      <c r="AL72" s="123" t="str">
        <f t="shared" si="15"/>
        <v>무부하 랙</v>
      </c>
      <c r="AR72" s="123"/>
      <c r="AS72" s="123"/>
      <c r="AU72" s="3084"/>
      <c r="AV72" s="123"/>
      <c r="AW72" s="123"/>
      <c r="AX72" s="3085"/>
      <c r="AY72" s="3086"/>
      <c r="AZ72" s="3087"/>
      <c r="BA72" s="3088"/>
      <c r="BB72" s="3089"/>
      <c r="BC72" s="3090"/>
      <c r="BD72" s="123"/>
    </row>
    <row r="73" spans="1:56" ht="15" thickTop="1">
      <c r="A73" s="3705" t="s">
        <v>4003</v>
      </c>
      <c r="B73" s="1133"/>
      <c r="C73" s="1141"/>
      <c r="D73" s="3656"/>
      <c r="E73" s="327" t="s">
        <v>4004</v>
      </c>
      <c r="F73" s="3354" t="s">
        <v>4005</v>
      </c>
      <c r="G73" s="3708" t="s">
        <v>4006</v>
      </c>
      <c r="H73" s="3675" t="str">
        <f>"4-DaHall 1-PDU-"&amp;L73&amp;"-"&amp;K73&amp;"-"&amp;M73</f>
        <v>4-DaHall 1-PDU-06-100-9</v>
      </c>
      <c r="I73" s="3678" t="str">
        <f>"4-DaHall 1-PDU-"&amp;P73&amp;"-"&amp;O73&amp;"-"&amp;Q73</f>
        <v>4-DaHall 1-PDU-05-100-9</v>
      </c>
      <c r="J73" s="3681">
        <v>220</v>
      </c>
      <c r="K73" s="3684">
        <v>100</v>
      </c>
      <c r="L73" s="3687" t="s">
        <v>6502</v>
      </c>
      <c r="M73" s="3689">
        <v>9</v>
      </c>
      <c r="N73" s="3692">
        <v>220</v>
      </c>
      <c r="O73" s="3695">
        <v>100</v>
      </c>
      <c r="P73" s="3698" t="s">
        <v>6491</v>
      </c>
      <c r="Q73" s="3701">
        <v>9</v>
      </c>
      <c r="R73" s="3662" t="s">
        <v>3886</v>
      </c>
      <c r="S73" s="3345" t="s">
        <v>3887</v>
      </c>
      <c r="T73" s="3354" t="s">
        <v>3888</v>
      </c>
      <c r="U73" s="3345" t="s">
        <v>3889</v>
      </c>
      <c r="V73" s="3354" t="s">
        <v>3744</v>
      </c>
      <c r="W73" s="3345" t="s">
        <v>3749</v>
      </c>
      <c r="X73" s="3733">
        <f>SUM('4층_부하량(월간_AVG)'!D27:F27)</f>
        <v>0</v>
      </c>
      <c r="Y73" s="3715">
        <f>SUM('4층_부하량(월간_AVG)'!N56:P56)</f>
        <v>0</v>
      </c>
      <c r="Z73" s="3714">
        <f>SUM(X73:Y73)</f>
        <v>0</v>
      </c>
      <c r="AA73" s="3711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781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214" t="e" cm="1">
        <f t="array" ref="AC73">INDEX('각층분기별_유효전력최대(전월)'!A70:A2088,MATCH(1,("4-DaHall 1-PDU-02"='각층분기별_유효전력최대(전월)'!B72:B2088)*("[branch#001] [A] kWh last month"='각층분기별_유효전력최대(전월)'!C72:C2088),0))</f>
        <v>#N/A</v>
      </c>
      <c r="AD73" s="3545">
        <f>SUM(AA73:AB82)</f>
        <v>0</v>
      </c>
      <c r="AE73" s="2500"/>
      <c r="AG73">
        <v>0</v>
      </c>
      <c r="AH73" s="1366">
        <f t="shared" si="12"/>
        <v>0</v>
      </c>
      <c r="AJ73" s="2367">
        <f t="shared" si="13"/>
        <v>0</v>
      </c>
      <c r="AK73" s="2367">
        <f t="shared" si="14"/>
        <v>0</v>
      </c>
      <c r="AL73" s="123" t="str">
        <f t="shared" si="15"/>
        <v>무부하 랙</v>
      </c>
      <c r="AR73" s="123"/>
      <c r="AS73" s="123"/>
      <c r="AU73" s="3084"/>
      <c r="AV73" s="123"/>
      <c r="AW73" s="123"/>
      <c r="AX73" s="3085"/>
      <c r="AY73" s="3086"/>
      <c r="AZ73" s="3087"/>
      <c r="BA73" s="3088"/>
      <c r="BB73" s="3089"/>
      <c r="BC73" s="3090"/>
      <c r="BD73" s="123"/>
    </row>
    <row r="74" spans="1:56">
      <c r="A74" s="3706"/>
      <c r="B74" s="1134"/>
      <c r="C74" s="1142"/>
      <c r="D74" s="3657"/>
      <c r="E74" s="250" t="s">
        <v>9195</v>
      </c>
      <c r="F74" s="3340"/>
      <c r="G74" s="3709"/>
      <c r="H74" s="3676"/>
      <c r="I74" s="3679"/>
      <c r="J74" s="3682"/>
      <c r="K74" s="3685"/>
      <c r="L74" s="3521"/>
      <c r="M74" s="3690"/>
      <c r="N74" s="3693"/>
      <c r="O74" s="3696"/>
      <c r="P74" s="3699"/>
      <c r="Q74" s="3702"/>
      <c r="R74" s="3663"/>
      <c r="S74" s="3343"/>
      <c r="T74" s="3340"/>
      <c r="U74" s="3343"/>
      <c r="V74" s="3340"/>
      <c r="W74" s="3343"/>
      <c r="X74" s="3734"/>
      <c r="Y74" s="3716"/>
      <c r="Z74" s="3507"/>
      <c r="AA74" s="3712"/>
      <c r="AB74" s="3782"/>
      <c r="AC74" s="3214"/>
      <c r="AD74" s="3535"/>
      <c r="AE74" s="2501"/>
      <c r="AG74">
        <v>0</v>
      </c>
      <c r="AH74" s="1366">
        <f t="shared" si="12"/>
        <v>0</v>
      </c>
      <c r="AJ74" s="2367">
        <f t="shared" si="13"/>
        <v>0</v>
      </c>
      <c r="AK74" s="2367">
        <f t="shared" si="14"/>
        <v>0</v>
      </c>
      <c r="AL74" s="123" t="str">
        <f t="shared" si="15"/>
        <v>무부하 랙</v>
      </c>
      <c r="AR74" s="123"/>
      <c r="AS74" s="123"/>
      <c r="AU74" s="3084"/>
      <c r="AV74" s="123"/>
      <c r="AW74" s="123"/>
      <c r="AX74" s="3085"/>
      <c r="AY74" s="3086"/>
      <c r="AZ74" s="3087"/>
      <c r="BA74" s="3088"/>
      <c r="BB74" s="3089"/>
      <c r="BC74" s="3090"/>
      <c r="BD74" s="123"/>
    </row>
    <row r="75" spans="1:56">
      <c r="A75" s="3706"/>
      <c r="B75" s="1134"/>
      <c r="C75" s="1142"/>
      <c r="D75" s="3657"/>
      <c r="E75" s="250" t="s">
        <v>4007</v>
      </c>
      <c r="F75" s="3340"/>
      <c r="G75" s="3709"/>
      <c r="H75" s="3676"/>
      <c r="I75" s="3679"/>
      <c r="J75" s="3682"/>
      <c r="K75" s="3685"/>
      <c r="L75" s="3521"/>
      <c r="M75" s="3690"/>
      <c r="N75" s="3693"/>
      <c r="O75" s="3696"/>
      <c r="P75" s="3699"/>
      <c r="Q75" s="3702"/>
      <c r="R75" s="3663"/>
      <c r="S75" s="3343"/>
      <c r="T75" s="3340"/>
      <c r="U75" s="3343"/>
      <c r="V75" s="3340"/>
      <c r="W75" s="3343"/>
      <c r="X75" s="3734"/>
      <c r="Y75" s="3716"/>
      <c r="Z75" s="3507"/>
      <c r="AA75" s="3712"/>
      <c r="AB75" s="3782"/>
      <c r="AC75" s="3214"/>
      <c r="AD75" s="3535"/>
      <c r="AE75" s="2501"/>
      <c r="AG75">
        <v>0</v>
      </c>
      <c r="AH75" s="1366">
        <f t="shared" si="12"/>
        <v>0</v>
      </c>
      <c r="AJ75" s="2367">
        <f t="shared" si="13"/>
        <v>0</v>
      </c>
      <c r="AK75" s="2367">
        <f t="shared" si="14"/>
        <v>0</v>
      </c>
      <c r="AL75" s="123" t="str">
        <f t="shared" si="15"/>
        <v>무부하 랙</v>
      </c>
      <c r="AR75" s="123"/>
      <c r="AS75" s="123"/>
      <c r="AU75" s="3084"/>
      <c r="AV75" s="123"/>
      <c r="AW75" s="123"/>
      <c r="AX75" s="3085"/>
      <c r="AY75" s="3086"/>
      <c r="AZ75" s="3087"/>
      <c r="BA75" s="3088"/>
      <c r="BB75" s="3089"/>
      <c r="BC75" s="3090"/>
      <c r="BD75" s="123"/>
    </row>
    <row r="76" spans="1:56">
      <c r="A76" s="3706"/>
      <c r="B76" s="1134"/>
      <c r="C76" s="1142"/>
      <c r="D76" s="3657"/>
      <c r="E76" s="250" t="s">
        <v>4008</v>
      </c>
      <c r="F76" s="3340"/>
      <c r="G76" s="3709"/>
      <c r="H76" s="3676"/>
      <c r="I76" s="3679"/>
      <c r="J76" s="3682"/>
      <c r="K76" s="3685"/>
      <c r="L76" s="3521"/>
      <c r="M76" s="3690"/>
      <c r="N76" s="3693"/>
      <c r="O76" s="3696"/>
      <c r="P76" s="3699"/>
      <c r="Q76" s="3702"/>
      <c r="R76" s="3663"/>
      <c r="S76" s="3343"/>
      <c r="T76" s="3340"/>
      <c r="U76" s="3343"/>
      <c r="V76" s="3340"/>
      <c r="W76" s="3343"/>
      <c r="X76" s="3734"/>
      <c r="Y76" s="3716"/>
      <c r="Z76" s="3507"/>
      <c r="AA76" s="3712"/>
      <c r="AB76" s="3782"/>
      <c r="AC76" s="3214"/>
      <c r="AD76" s="3535"/>
      <c r="AE76" s="2501"/>
      <c r="AG76">
        <v>0</v>
      </c>
      <c r="AH76" s="1366">
        <f t="shared" si="12"/>
        <v>0</v>
      </c>
      <c r="AJ76" s="2367">
        <f t="shared" si="13"/>
        <v>0</v>
      </c>
      <c r="AK76" s="2367">
        <f t="shared" si="14"/>
        <v>0</v>
      </c>
      <c r="AL76" s="123" t="str">
        <f t="shared" si="15"/>
        <v>무부하 랙</v>
      </c>
      <c r="AR76" s="123"/>
      <c r="AS76" s="123"/>
      <c r="AU76" s="3084"/>
      <c r="AV76" s="123"/>
      <c r="AW76" s="123"/>
      <c r="AX76" s="3085"/>
      <c r="AY76" s="3086"/>
      <c r="AZ76" s="3087"/>
      <c r="BA76" s="3088"/>
      <c r="BB76" s="3089"/>
      <c r="BC76" s="3090"/>
      <c r="BD76" s="123"/>
    </row>
    <row r="77" spans="1:56">
      <c r="A77" s="3706"/>
      <c r="B77" s="1134"/>
      <c r="C77" s="1142"/>
      <c r="D77" s="3657"/>
      <c r="E77" s="250" t="s">
        <v>4009</v>
      </c>
      <c r="F77" s="3340"/>
      <c r="G77" s="3709"/>
      <c r="H77" s="3676"/>
      <c r="I77" s="3679"/>
      <c r="J77" s="3682"/>
      <c r="K77" s="3685"/>
      <c r="L77" s="3521"/>
      <c r="M77" s="3690"/>
      <c r="N77" s="3693"/>
      <c r="O77" s="3696"/>
      <c r="P77" s="3699"/>
      <c r="Q77" s="3702"/>
      <c r="R77" s="3663"/>
      <c r="S77" s="3343"/>
      <c r="T77" s="3340"/>
      <c r="U77" s="3343"/>
      <c r="V77" s="3340"/>
      <c r="W77" s="3343"/>
      <c r="X77" s="3734"/>
      <c r="Y77" s="3716"/>
      <c r="Z77" s="3507"/>
      <c r="AA77" s="3712"/>
      <c r="AB77" s="3782"/>
      <c r="AC77" s="3214"/>
      <c r="AD77" s="3535"/>
      <c r="AE77" s="2501"/>
      <c r="AG77">
        <v>0</v>
      </c>
      <c r="AH77" s="1366">
        <f t="shared" si="12"/>
        <v>0</v>
      </c>
      <c r="AJ77" s="2367">
        <f t="shared" si="13"/>
        <v>0</v>
      </c>
      <c r="AK77" s="2367">
        <f t="shared" si="14"/>
        <v>0</v>
      </c>
      <c r="AL77" s="123" t="str">
        <f t="shared" si="15"/>
        <v>무부하 랙</v>
      </c>
      <c r="AR77" s="123"/>
      <c r="AS77" s="123"/>
      <c r="AU77" s="3084"/>
      <c r="AV77" s="123"/>
      <c r="AW77" s="123"/>
      <c r="AX77" s="3085"/>
      <c r="AY77" s="3086"/>
      <c r="AZ77" s="3087"/>
      <c r="BA77" s="3088"/>
      <c r="BB77" s="3089"/>
      <c r="BC77" s="3090"/>
      <c r="BD77" s="123"/>
    </row>
    <row r="78" spans="1:56">
      <c r="A78" s="3706"/>
      <c r="B78" s="1134"/>
      <c r="C78" s="1142"/>
      <c r="D78" s="3657"/>
      <c r="E78" s="250" t="s">
        <v>4010</v>
      </c>
      <c r="F78" s="3340"/>
      <c r="G78" s="3709"/>
      <c r="H78" s="3676"/>
      <c r="I78" s="3679"/>
      <c r="J78" s="3682"/>
      <c r="K78" s="3685"/>
      <c r="L78" s="3521"/>
      <c r="M78" s="3690"/>
      <c r="N78" s="3693"/>
      <c r="O78" s="3696"/>
      <c r="P78" s="3699"/>
      <c r="Q78" s="3702"/>
      <c r="R78" s="3663"/>
      <c r="S78" s="3343"/>
      <c r="T78" s="3340"/>
      <c r="U78" s="3343"/>
      <c r="V78" s="3340"/>
      <c r="W78" s="3343"/>
      <c r="X78" s="3734"/>
      <c r="Y78" s="3716"/>
      <c r="Z78" s="3507"/>
      <c r="AA78" s="3712"/>
      <c r="AB78" s="3782"/>
      <c r="AC78" s="3214"/>
      <c r="AD78" s="3535"/>
      <c r="AE78" s="2501"/>
      <c r="AG78">
        <v>0</v>
      </c>
      <c r="AH78" s="1366">
        <f t="shared" si="12"/>
        <v>0</v>
      </c>
      <c r="AJ78" s="2367">
        <f t="shared" si="13"/>
        <v>0</v>
      </c>
      <c r="AK78" s="2367">
        <f t="shared" si="14"/>
        <v>0</v>
      </c>
      <c r="AL78" s="123" t="str">
        <f t="shared" si="15"/>
        <v>무부하 랙</v>
      </c>
      <c r="AR78" s="123"/>
      <c r="AS78" s="123"/>
      <c r="AU78" s="3084"/>
      <c r="AV78" s="123"/>
      <c r="AW78" s="123"/>
      <c r="AX78" s="3085"/>
      <c r="AY78" s="3086"/>
      <c r="AZ78" s="3087"/>
      <c r="BA78" s="3088"/>
      <c r="BB78" s="3089"/>
      <c r="BC78" s="3090"/>
      <c r="BD78" s="123"/>
    </row>
    <row r="79" spans="1:56">
      <c r="A79" s="3706"/>
      <c r="B79" s="1134"/>
      <c r="C79" s="1142"/>
      <c r="D79" s="3657"/>
      <c r="E79" s="250" t="s">
        <v>4011</v>
      </c>
      <c r="F79" s="3340"/>
      <c r="G79" s="3709"/>
      <c r="H79" s="3676"/>
      <c r="I79" s="3679"/>
      <c r="J79" s="3682"/>
      <c r="K79" s="3685"/>
      <c r="L79" s="3521"/>
      <c r="M79" s="3690"/>
      <c r="N79" s="3693"/>
      <c r="O79" s="3696"/>
      <c r="P79" s="3699"/>
      <c r="Q79" s="3702"/>
      <c r="R79" s="3663"/>
      <c r="S79" s="3343"/>
      <c r="T79" s="3340"/>
      <c r="U79" s="3343"/>
      <c r="V79" s="3340"/>
      <c r="W79" s="3343"/>
      <c r="X79" s="3734"/>
      <c r="Y79" s="3716"/>
      <c r="Z79" s="3507"/>
      <c r="AA79" s="3712"/>
      <c r="AB79" s="3782"/>
      <c r="AC79" s="3214"/>
      <c r="AD79" s="3535"/>
      <c r="AE79" s="2501"/>
      <c r="AG79">
        <v>0</v>
      </c>
      <c r="AH79" s="1366">
        <f t="shared" si="12"/>
        <v>0</v>
      </c>
      <c r="AJ79" s="2367">
        <f t="shared" si="13"/>
        <v>0</v>
      </c>
      <c r="AK79" s="2367">
        <f t="shared" si="14"/>
        <v>0</v>
      </c>
      <c r="AL79" s="123" t="str">
        <f t="shared" si="15"/>
        <v>무부하 랙</v>
      </c>
      <c r="AR79" s="123"/>
      <c r="AS79" s="123"/>
      <c r="AU79" s="3084"/>
      <c r="AV79" s="123"/>
      <c r="AW79" s="123"/>
      <c r="AX79" s="3085"/>
      <c r="AY79" s="3086"/>
      <c r="AZ79" s="3087"/>
      <c r="BA79" s="3088"/>
      <c r="BB79" s="3089"/>
      <c r="BC79" s="3090"/>
      <c r="BD79" s="123"/>
    </row>
    <row r="80" spans="1:56">
      <c r="A80" s="3706"/>
      <c r="B80" s="1134"/>
      <c r="C80" s="1142"/>
      <c r="D80" s="3657"/>
      <c r="E80" s="250" t="s">
        <v>4012</v>
      </c>
      <c r="F80" s="3340"/>
      <c r="G80" s="3709"/>
      <c r="H80" s="3676"/>
      <c r="I80" s="3679"/>
      <c r="J80" s="3682"/>
      <c r="K80" s="3685"/>
      <c r="L80" s="3521"/>
      <c r="M80" s="3690"/>
      <c r="N80" s="3693"/>
      <c r="O80" s="3696"/>
      <c r="P80" s="3699"/>
      <c r="Q80" s="3702"/>
      <c r="R80" s="3663"/>
      <c r="S80" s="3343"/>
      <c r="T80" s="3340"/>
      <c r="U80" s="3343"/>
      <c r="V80" s="3340"/>
      <c r="W80" s="3343"/>
      <c r="X80" s="3734"/>
      <c r="Y80" s="3716"/>
      <c r="Z80" s="3507"/>
      <c r="AA80" s="3712"/>
      <c r="AB80" s="3782"/>
      <c r="AC80" s="3214"/>
      <c r="AD80" s="3535"/>
      <c r="AE80" s="2501"/>
      <c r="AG80">
        <v>0</v>
      </c>
      <c r="AH80" s="1366">
        <f t="shared" si="12"/>
        <v>0</v>
      </c>
      <c r="AJ80" s="2367">
        <f t="shared" si="13"/>
        <v>0</v>
      </c>
      <c r="AK80" s="2367">
        <f t="shared" si="14"/>
        <v>0</v>
      </c>
      <c r="AL80" s="123" t="str">
        <f t="shared" si="15"/>
        <v>무부하 랙</v>
      </c>
      <c r="AR80" s="123"/>
      <c r="AS80" s="123"/>
      <c r="AU80" s="3084"/>
      <c r="AV80" s="123"/>
      <c r="AW80" s="123"/>
      <c r="AX80" s="3085"/>
      <c r="AY80" s="3086"/>
      <c r="AZ80" s="3087"/>
      <c r="BA80" s="3088"/>
      <c r="BB80" s="3089"/>
      <c r="BC80" s="3090"/>
      <c r="BD80" s="123"/>
    </row>
    <row r="81" spans="1:56">
      <c r="A81" s="3706"/>
      <c r="B81" s="1134"/>
      <c r="C81" s="1142"/>
      <c r="D81" s="3657"/>
      <c r="E81" s="250" t="s">
        <v>4013</v>
      </c>
      <c r="F81" s="3340"/>
      <c r="G81" s="3709"/>
      <c r="H81" s="3676"/>
      <c r="I81" s="3679"/>
      <c r="J81" s="3682"/>
      <c r="K81" s="3685"/>
      <c r="L81" s="3521"/>
      <c r="M81" s="3690"/>
      <c r="N81" s="3693"/>
      <c r="O81" s="3696"/>
      <c r="P81" s="3699"/>
      <c r="Q81" s="3702"/>
      <c r="R81" s="3663"/>
      <c r="S81" s="3343"/>
      <c r="T81" s="3340"/>
      <c r="U81" s="3343"/>
      <c r="V81" s="3340"/>
      <c r="W81" s="3343"/>
      <c r="X81" s="3734"/>
      <c r="Y81" s="3716"/>
      <c r="Z81" s="3507"/>
      <c r="AA81" s="3712"/>
      <c r="AB81" s="3782"/>
      <c r="AC81" s="3214"/>
      <c r="AD81" s="3535"/>
      <c r="AE81" s="2501"/>
      <c r="AG81">
        <v>0</v>
      </c>
      <c r="AH81" s="1366">
        <f t="shared" si="12"/>
        <v>0</v>
      </c>
      <c r="AJ81" s="2367">
        <f t="shared" si="13"/>
        <v>0</v>
      </c>
      <c r="AK81" s="2367">
        <f t="shared" si="14"/>
        <v>0</v>
      </c>
      <c r="AL81" s="123" t="str">
        <f t="shared" si="15"/>
        <v>무부하 랙</v>
      </c>
      <c r="AR81" s="123"/>
      <c r="AS81" s="123"/>
      <c r="AU81" s="3084"/>
      <c r="AV81" s="123"/>
      <c r="AW81" s="123"/>
      <c r="AX81" s="3085"/>
      <c r="AY81" s="3086"/>
      <c r="AZ81" s="3087"/>
      <c r="BA81" s="3088"/>
      <c r="BB81" s="3089"/>
      <c r="BC81" s="3090"/>
      <c r="BD81" s="123"/>
    </row>
    <row r="82" spans="1:56" ht="15" thickBot="1">
      <c r="A82" s="3707"/>
      <c r="B82" s="1132"/>
      <c r="C82" s="1143"/>
      <c r="D82" s="3658"/>
      <c r="E82" s="2661" t="s">
        <v>4014</v>
      </c>
      <c r="F82" s="3341"/>
      <c r="G82" s="3710"/>
      <c r="H82" s="3677"/>
      <c r="I82" s="3680"/>
      <c r="J82" s="3683"/>
      <c r="K82" s="3686"/>
      <c r="L82" s="3688"/>
      <c r="M82" s="3691"/>
      <c r="N82" s="3694"/>
      <c r="O82" s="3697"/>
      <c r="P82" s="3700"/>
      <c r="Q82" s="3703"/>
      <c r="R82" s="3664"/>
      <c r="S82" s="3344"/>
      <c r="T82" s="3341"/>
      <c r="U82" s="3344"/>
      <c r="V82" s="3341"/>
      <c r="W82" s="3344"/>
      <c r="X82" s="3735"/>
      <c r="Y82" s="3717"/>
      <c r="Z82" s="3514"/>
      <c r="AA82" s="3713"/>
      <c r="AB82" s="3783"/>
      <c r="AC82" s="3214"/>
      <c r="AD82" s="3543"/>
      <c r="AE82" s="2502"/>
      <c r="AG82">
        <v>0</v>
      </c>
      <c r="AH82" s="1366">
        <f t="shared" si="12"/>
        <v>0</v>
      </c>
      <c r="AJ82" s="2367">
        <f t="shared" si="13"/>
        <v>0</v>
      </c>
      <c r="AK82" s="2367">
        <f t="shared" si="14"/>
        <v>0</v>
      </c>
      <c r="AL82" s="123" t="str">
        <f t="shared" si="15"/>
        <v>무부하 랙</v>
      </c>
      <c r="AR82" s="123"/>
      <c r="AS82" s="123"/>
      <c r="AU82" s="3084"/>
      <c r="AV82" s="123"/>
      <c r="AW82" s="123"/>
      <c r="AX82" s="3085"/>
      <c r="AY82" s="3086"/>
      <c r="AZ82" s="3087"/>
      <c r="BA82" s="3088"/>
      <c r="BB82" s="3089"/>
      <c r="BC82" s="3090"/>
      <c r="BD82" s="123"/>
    </row>
    <row r="83" spans="1:56" ht="15" thickTop="1">
      <c r="A83" s="3705" t="s">
        <v>3992</v>
      </c>
      <c r="B83" s="1133" t="s">
        <v>9196</v>
      </c>
      <c r="C83" s="1141"/>
      <c r="D83" s="3656">
        <f>2.2*6</f>
        <v>13.200000000000001</v>
      </c>
      <c r="E83" s="327" t="s">
        <v>9197</v>
      </c>
      <c r="F83" s="3354" t="s">
        <v>3993</v>
      </c>
      <c r="G83" s="3708" t="s">
        <v>3994</v>
      </c>
      <c r="H83" s="3675" t="str">
        <f>"4-DaHall 1-PDU-"&amp;L83&amp;"-"&amp;K83&amp;"-"&amp;M83</f>
        <v>4-DaHall 1-PDU-06-100-8</v>
      </c>
      <c r="I83" s="3678" t="str">
        <f>"4-DaHall 1-PDU-"&amp;P83&amp;"-"&amp;O83&amp;"-"&amp;Q83</f>
        <v>4-DaHall 1-PDU-05-100-8</v>
      </c>
      <c r="J83" s="3681">
        <v>220</v>
      </c>
      <c r="K83" s="3684">
        <v>100</v>
      </c>
      <c r="L83" s="3687" t="s">
        <v>6502</v>
      </c>
      <c r="M83" s="3689">
        <v>8</v>
      </c>
      <c r="N83" s="3692">
        <v>220</v>
      </c>
      <c r="O83" s="3695">
        <v>100</v>
      </c>
      <c r="P83" s="3698" t="s">
        <v>6491</v>
      </c>
      <c r="Q83" s="3701">
        <v>8</v>
      </c>
      <c r="R83" s="3662" t="s">
        <v>3886</v>
      </c>
      <c r="S83" s="3345" t="s">
        <v>3887</v>
      </c>
      <c r="T83" s="3354" t="s">
        <v>3888</v>
      </c>
      <c r="U83" s="3345" t="s">
        <v>3889</v>
      </c>
      <c r="V83" s="3354" t="s">
        <v>3744</v>
      </c>
      <c r="W83" s="3345" t="s">
        <v>3749</v>
      </c>
      <c r="X83" s="3733">
        <f>SUM('4층_부하량(월간_AVG)'!D26:F26)</f>
        <v>14.000851890958302</v>
      </c>
      <c r="Y83" s="3715">
        <f>SUM('4층_부하량(월간_AVG)'!N55:P55)</f>
        <v>13.236199006025595</v>
      </c>
      <c r="Z83" s="3714">
        <f t="shared" ref="Z83" si="16">SUM(X83:Y83)</f>
        <v>27.237050896983895</v>
      </c>
      <c r="AA83" s="3711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2095.9</v>
      </c>
      <c r="AB83" s="3781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1988.5</v>
      </c>
      <c r="AC83" s="3214" t="e" cm="1">
        <f t="array" ref="AC83">INDEX('각층분기별_유효전력최대(전월)'!A80:A2098,MATCH(1,("4-DaHall 1-PDU-02"='각층분기별_유효전력최대(전월)'!B82:B2098)*("[branch#001] [A] kWh last month"='각층분기별_유효전력최대(전월)'!C82:C2098),0))</f>
        <v>#N/A</v>
      </c>
      <c r="AD83" s="3545">
        <f>SUM(AA83:AB92)</f>
        <v>4084.4</v>
      </c>
      <c r="AE83" s="2500"/>
      <c r="AG83">
        <v>26</v>
      </c>
      <c r="AH83" s="1366">
        <f t="shared" si="12"/>
        <v>1.2370508969838951</v>
      </c>
      <c r="AJ83" s="2367">
        <f t="shared" si="13"/>
        <v>5.4897849462365595</v>
      </c>
      <c r="AK83" s="2367">
        <f t="shared" si="14"/>
        <v>7.7102150537634415</v>
      </c>
      <c r="AL83" s="123" t="str">
        <f t="shared" si="15"/>
        <v>적정함</v>
      </c>
      <c r="AR83" s="123"/>
      <c r="AS83" s="123"/>
      <c r="AU83" s="3084"/>
      <c r="AV83" s="123"/>
      <c r="AW83" s="123"/>
      <c r="AX83" s="3085"/>
      <c r="AY83" s="3086"/>
      <c r="AZ83" s="3087"/>
      <c r="BA83" s="3088"/>
      <c r="BB83" s="3089"/>
      <c r="BC83" s="3090"/>
      <c r="BD83" s="123"/>
    </row>
    <row r="84" spans="1:56" ht="21.6">
      <c r="A84" s="3706"/>
      <c r="B84" s="1134" t="s">
        <v>1632</v>
      </c>
      <c r="C84" s="1142" t="s">
        <v>9184</v>
      </c>
      <c r="D84" s="3657"/>
      <c r="E84" s="2653" t="s">
        <v>3995</v>
      </c>
      <c r="F84" s="3340"/>
      <c r="G84" s="3709"/>
      <c r="H84" s="3676"/>
      <c r="I84" s="3679"/>
      <c r="J84" s="3682"/>
      <c r="K84" s="3685"/>
      <c r="L84" s="3521"/>
      <c r="M84" s="3690"/>
      <c r="N84" s="3693"/>
      <c r="O84" s="3696"/>
      <c r="P84" s="3699"/>
      <c r="Q84" s="3702"/>
      <c r="R84" s="3663"/>
      <c r="S84" s="3343"/>
      <c r="T84" s="3340"/>
      <c r="U84" s="3343"/>
      <c r="V84" s="3340"/>
      <c r="W84" s="3343"/>
      <c r="X84" s="3734"/>
      <c r="Y84" s="3716"/>
      <c r="Z84" s="3507"/>
      <c r="AA84" s="3712"/>
      <c r="AB84" s="3782"/>
      <c r="AC84" s="3214"/>
      <c r="AD84" s="3535"/>
      <c r="AE84" s="2501"/>
      <c r="AG84">
        <v>0</v>
      </c>
      <c r="AH84" s="1366">
        <f t="shared" si="12"/>
        <v>0</v>
      </c>
      <c r="AJ84" s="2367">
        <f t="shared" si="13"/>
        <v>0</v>
      </c>
      <c r="AK84" s="2367">
        <f t="shared" si="14"/>
        <v>0</v>
      </c>
      <c r="AL84" s="123" t="str">
        <f t="shared" si="15"/>
        <v>무부하 랙</v>
      </c>
      <c r="AR84" s="123"/>
      <c r="AS84" s="123"/>
      <c r="AU84" s="3084"/>
      <c r="AV84" s="123"/>
      <c r="AW84" s="123"/>
      <c r="AX84" s="3085"/>
      <c r="AY84" s="3086"/>
      <c r="AZ84" s="3087"/>
      <c r="BA84" s="3088"/>
      <c r="BB84" s="3089"/>
      <c r="BC84" s="3090"/>
      <c r="BD84" s="123"/>
    </row>
    <row r="85" spans="1:56" ht="21.6">
      <c r="A85" s="3706"/>
      <c r="B85" s="1134" t="s">
        <v>1638</v>
      </c>
      <c r="C85" s="1142" t="s">
        <v>9184</v>
      </c>
      <c r="D85" s="3657"/>
      <c r="E85" s="2653" t="s">
        <v>9198</v>
      </c>
      <c r="F85" s="3340"/>
      <c r="G85" s="3709"/>
      <c r="H85" s="3676"/>
      <c r="I85" s="3679"/>
      <c r="J85" s="3682"/>
      <c r="K85" s="3685"/>
      <c r="L85" s="3521"/>
      <c r="M85" s="3690"/>
      <c r="N85" s="3693"/>
      <c r="O85" s="3696"/>
      <c r="P85" s="3699"/>
      <c r="Q85" s="3702"/>
      <c r="R85" s="3663"/>
      <c r="S85" s="3343"/>
      <c r="T85" s="3340"/>
      <c r="U85" s="3343"/>
      <c r="V85" s="3340"/>
      <c r="W85" s="3343"/>
      <c r="X85" s="3734"/>
      <c r="Y85" s="3716"/>
      <c r="Z85" s="3507"/>
      <c r="AA85" s="3712"/>
      <c r="AB85" s="3782"/>
      <c r="AC85" s="3214"/>
      <c r="AD85" s="3535"/>
      <c r="AE85" s="2501"/>
      <c r="AG85">
        <v>0</v>
      </c>
      <c r="AH85" s="1366">
        <f t="shared" si="12"/>
        <v>0</v>
      </c>
      <c r="AJ85" s="2367">
        <f t="shared" si="13"/>
        <v>0</v>
      </c>
      <c r="AK85" s="2367">
        <f t="shared" si="14"/>
        <v>0</v>
      </c>
      <c r="AL85" s="123" t="str">
        <f t="shared" si="15"/>
        <v>무부하 랙</v>
      </c>
      <c r="AR85" s="123"/>
      <c r="AS85" s="123"/>
      <c r="AU85" s="3084"/>
      <c r="AV85" s="123"/>
      <c r="AW85" s="123"/>
      <c r="AX85" s="3085"/>
      <c r="AY85" s="3086"/>
      <c r="AZ85" s="3087"/>
      <c r="BA85" s="3088"/>
      <c r="BB85" s="3089"/>
      <c r="BC85" s="3090"/>
      <c r="BD85" s="123"/>
    </row>
    <row r="86" spans="1:56">
      <c r="A86" s="3706"/>
      <c r="B86" s="1134" t="s">
        <v>1644</v>
      </c>
      <c r="C86" s="1142"/>
      <c r="D86" s="3657"/>
      <c r="E86" s="250" t="s">
        <v>3996</v>
      </c>
      <c r="F86" s="3340"/>
      <c r="G86" s="3709"/>
      <c r="H86" s="3676"/>
      <c r="I86" s="3679"/>
      <c r="J86" s="3682"/>
      <c r="K86" s="3685"/>
      <c r="L86" s="3521"/>
      <c r="M86" s="3690"/>
      <c r="N86" s="3693"/>
      <c r="O86" s="3696"/>
      <c r="P86" s="3699"/>
      <c r="Q86" s="3702"/>
      <c r="R86" s="3663"/>
      <c r="S86" s="3343"/>
      <c r="T86" s="3340"/>
      <c r="U86" s="3343"/>
      <c r="V86" s="3340"/>
      <c r="W86" s="3343"/>
      <c r="X86" s="3734"/>
      <c r="Y86" s="3716"/>
      <c r="Z86" s="3507"/>
      <c r="AA86" s="3712"/>
      <c r="AB86" s="3782"/>
      <c r="AC86" s="3214"/>
      <c r="AD86" s="3535"/>
      <c r="AE86" s="2501"/>
      <c r="AG86">
        <v>0</v>
      </c>
      <c r="AH86" s="1366">
        <f t="shared" si="12"/>
        <v>0</v>
      </c>
      <c r="AJ86" s="2367">
        <f t="shared" si="13"/>
        <v>0</v>
      </c>
      <c r="AK86" s="2367">
        <f t="shared" si="14"/>
        <v>0</v>
      </c>
      <c r="AL86" s="123" t="str">
        <f t="shared" si="15"/>
        <v>무부하 랙</v>
      </c>
      <c r="AR86" s="123"/>
      <c r="AS86" s="123"/>
      <c r="AU86" s="3084"/>
      <c r="AV86" s="123"/>
      <c r="AW86" s="123"/>
      <c r="AX86" s="3085"/>
      <c r="AY86" s="3086"/>
      <c r="AZ86" s="3087"/>
      <c r="BA86" s="3088"/>
      <c r="BB86" s="3089"/>
      <c r="BC86" s="3090"/>
      <c r="BD86" s="123"/>
    </row>
    <row r="87" spans="1:56">
      <c r="A87" s="3706"/>
      <c r="B87" s="1134" t="s">
        <v>1650</v>
      </c>
      <c r="C87" s="1142"/>
      <c r="D87" s="3657"/>
      <c r="E87" s="250" t="s">
        <v>3997</v>
      </c>
      <c r="F87" s="3340"/>
      <c r="G87" s="3709"/>
      <c r="H87" s="3676"/>
      <c r="I87" s="3679"/>
      <c r="J87" s="3682"/>
      <c r="K87" s="3685"/>
      <c r="L87" s="3521"/>
      <c r="M87" s="3690"/>
      <c r="N87" s="3693"/>
      <c r="O87" s="3696"/>
      <c r="P87" s="3699"/>
      <c r="Q87" s="3702"/>
      <c r="R87" s="3663"/>
      <c r="S87" s="3343"/>
      <c r="T87" s="3340"/>
      <c r="U87" s="3343"/>
      <c r="V87" s="3340"/>
      <c r="W87" s="3343"/>
      <c r="X87" s="3734"/>
      <c r="Y87" s="3716"/>
      <c r="Z87" s="3507"/>
      <c r="AA87" s="3712"/>
      <c r="AB87" s="3782"/>
      <c r="AC87" s="3214"/>
      <c r="AD87" s="3535"/>
      <c r="AE87" s="2501"/>
      <c r="AG87">
        <v>0</v>
      </c>
      <c r="AH87" s="1366">
        <f t="shared" si="12"/>
        <v>0</v>
      </c>
      <c r="AJ87" s="2367">
        <f t="shared" si="13"/>
        <v>0</v>
      </c>
      <c r="AK87" s="2367">
        <f t="shared" si="14"/>
        <v>0</v>
      </c>
      <c r="AL87" s="123" t="str">
        <f t="shared" si="15"/>
        <v>무부하 랙</v>
      </c>
      <c r="AR87" s="123"/>
      <c r="AS87" s="123"/>
      <c r="AU87" s="3084"/>
      <c r="AV87" s="123"/>
      <c r="AW87" s="123"/>
      <c r="AX87" s="3085"/>
      <c r="AY87" s="3086"/>
      <c r="AZ87" s="3087"/>
      <c r="BA87" s="3088"/>
      <c r="BB87" s="3089"/>
      <c r="BC87" s="3090"/>
      <c r="BD87" s="123"/>
    </row>
    <row r="88" spans="1:56">
      <c r="A88" s="3706"/>
      <c r="B88" s="1134" t="s">
        <v>1656</v>
      </c>
      <c r="C88" s="1142"/>
      <c r="D88" s="3657"/>
      <c r="E88" s="250" t="s">
        <v>3998</v>
      </c>
      <c r="F88" s="3340"/>
      <c r="G88" s="3709"/>
      <c r="H88" s="3676"/>
      <c r="I88" s="3679"/>
      <c r="J88" s="3682"/>
      <c r="K88" s="3685"/>
      <c r="L88" s="3521"/>
      <c r="M88" s="3690"/>
      <c r="N88" s="3693"/>
      <c r="O88" s="3696"/>
      <c r="P88" s="3699"/>
      <c r="Q88" s="3702"/>
      <c r="R88" s="3663"/>
      <c r="S88" s="3343"/>
      <c r="T88" s="3340"/>
      <c r="U88" s="3343"/>
      <c r="V88" s="3340"/>
      <c r="W88" s="3343"/>
      <c r="X88" s="3734"/>
      <c r="Y88" s="3716"/>
      <c r="Z88" s="3507"/>
      <c r="AA88" s="3712"/>
      <c r="AB88" s="3782"/>
      <c r="AC88" s="3214"/>
      <c r="AD88" s="3535"/>
      <c r="AE88" s="2501"/>
      <c r="AG88">
        <v>0</v>
      </c>
      <c r="AH88" s="1366">
        <f t="shared" si="12"/>
        <v>0</v>
      </c>
      <c r="AJ88" s="2367">
        <f t="shared" si="13"/>
        <v>0</v>
      </c>
      <c r="AK88" s="2367">
        <f t="shared" si="14"/>
        <v>0</v>
      </c>
      <c r="AL88" s="123" t="str">
        <f t="shared" si="15"/>
        <v>무부하 랙</v>
      </c>
      <c r="AR88" s="123"/>
      <c r="AS88" s="123"/>
      <c r="AU88" s="3084"/>
      <c r="AV88" s="123"/>
      <c r="AW88" s="123"/>
      <c r="AX88" s="3085"/>
      <c r="AY88" s="3086"/>
      <c r="AZ88" s="3087"/>
      <c r="BA88" s="3088"/>
      <c r="BB88" s="3089"/>
      <c r="BC88" s="3090"/>
      <c r="BD88" s="123"/>
    </row>
    <row r="89" spans="1:56" ht="21.6">
      <c r="A89" s="3706"/>
      <c r="B89" s="1134" t="s">
        <v>1662</v>
      </c>
      <c r="C89" s="1142" t="s">
        <v>9185</v>
      </c>
      <c r="D89" s="3657"/>
      <c r="E89" s="2653" t="s">
        <v>3999</v>
      </c>
      <c r="F89" s="3340"/>
      <c r="G89" s="3709"/>
      <c r="H89" s="3676"/>
      <c r="I89" s="3679"/>
      <c r="J89" s="3682"/>
      <c r="K89" s="3685"/>
      <c r="L89" s="3521"/>
      <c r="M89" s="3690"/>
      <c r="N89" s="3693"/>
      <c r="O89" s="3696"/>
      <c r="P89" s="3699"/>
      <c r="Q89" s="3702"/>
      <c r="R89" s="3663"/>
      <c r="S89" s="3343"/>
      <c r="T89" s="3340"/>
      <c r="U89" s="3343"/>
      <c r="V89" s="3340"/>
      <c r="W89" s="3343"/>
      <c r="X89" s="3734"/>
      <c r="Y89" s="3716"/>
      <c r="Z89" s="3507"/>
      <c r="AA89" s="3712"/>
      <c r="AB89" s="3782"/>
      <c r="AC89" s="3214"/>
      <c r="AD89" s="3535"/>
      <c r="AE89" s="2501"/>
      <c r="AG89">
        <v>0</v>
      </c>
      <c r="AH89" s="1366">
        <f t="shared" si="12"/>
        <v>0</v>
      </c>
      <c r="AJ89" s="2367">
        <f t="shared" si="13"/>
        <v>0</v>
      </c>
      <c r="AK89" s="2367">
        <f t="shared" si="14"/>
        <v>0</v>
      </c>
      <c r="AL89" s="123" t="str">
        <f t="shared" si="15"/>
        <v>무부하 랙</v>
      </c>
      <c r="AR89" s="123"/>
      <c r="AS89" s="123"/>
      <c r="AU89" s="3084"/>
      <c r="AV89" s="123"/>
      <c r="AW89" s="123"/>
      <c r="AX89" s="3085"/>
      <c r="AY89" s="3086"/>
      <c r="AZ89" s="3087"/>
      <c r="BA89" s="3088"/>
      <c r="BB89" s="3089"/>
      <c r="BC89" s="3090"/>
      <c r="BD89" s="123"/>
    </row>
    <row r="90" spans="1:56" ht="21.6">
      <c r="A90" s="3706"/>
      <c r="B90" s="1134" t="s">
        <v>1668</v>
      </c>
      <c r="C90" s="1142" t="s">
        <v>9185</v>
      </c>
      <c r="D90" s="3657"/>
      <c r="E90" s="2653" t="s">
        <v>4000</v>
      </c>
      <c r="F90" s="3340"/>
      <c r="G90" s="3709"/>
      <c r="H90" s="3676"/>
      <c r="I90" s="3679"/>
      <c r="J90" s="3682"/>
      <c r="K90" s="3685"/>
      <c r="L90" s="3521"/>
      <c r="M90" s="3690"/>
      <c r="N90" s="3693"/>
      <c r="O90" s="3696"/>
      <c r="P90" s="3699"/>
      <c r="Q90" s="3702"/>
      <c r="R90" s="3663"/>
      <c r="S90" s="3343"/>
      <c r="T90" s="3340"/>
      <c r="U90" s="3343"/>
      <c r="V90" s="3340"/>
      <c r="W90" s="3343"/>
      <c r="X90" s="3734"/>
      <c r="Y90" s="3716"/>
      <c r="Z90" s="3507"/>
      <c r="AA90" s="3712"/>
      <c r="AB90" s="3782"/>
      <c r="AC90" s="3214"/>
      <c r="AD90" s="3535"/>
      <c r="AE90" s="2501"/>
      <c r="AG90">
        <v>0</v>
      </c>
      <c r="AH90" s="1366">
        <f t="shared" si="12"/>
        <v>0</v>
      </c>
      <c r="AJ90" s="2367">
        <f t="shared" si="13"/>
        <v>0</v>
      </c>
      <c r="AK90" s="2367">
        <f t="shared" si="14"/>
        <v>0</v>
      </c>
      <c r="AL90" s="123" t="str">
        <f t="shared" si="15"/>
        <v>무부하 랙</v>
      </c>
      <c r="AR90" s="123"/>
      <c r="AS90" s="123"/>
      <c r="AU90" s="3084"/>
      <c r="AV90" s="123"/>
      <c r="AW90" s="123"/>
      <c r="AX90" s="3085"/>
      <c r="AY90" s="3086"/>
      <c r="AZ90" s="3087"/>
      <c r="BA90" s="3088"/>
      <c r="BB90" s="3089"/>
      <c r="BC90" s="3090"/>
      <c r="BD90" s="123"/>
    </row>
    <row r="91" spans="1:56" ht="21.6">
      <c r="A91" s="3706"/>
      <c r="B91" s="1134" t="s">
        <v>1674</v>
      </c>
      <c r="C91" s="1142" t="s">
        <v>9185</v>
      </c>
      <c r="D91" s="3657"/>
      <c r="E91" s="2653" t="s">
        <v>4001</v>
      </c>
      <c r="F91" s="3340"/>
      <c r="G91" s="3709"/>
      <c r="H91" s="3676"/>
      <c r="I91" s="3679"/>
      <c r="J91" s="3682"/>
      <c r="K91" s="3685"/>
      <c r="L91" s="3521"/>
      <c r="M91" s="3690"/>
      <c r="N91" s="3693"/>
      <c r="O91" s="3696"/>
      <c r="P91" s="3699"/>
      <c r="Q91" s="3702"/>
      <c r="R91" s="3663"/>
      <c r="S91" s="3343"/>
      <c r="T91" s="3340"/>
      <c r="U91" s="3343"/>
      <c r="V91" s="3340"/>
      <c r="W91" s="3343"/>
      <c r="X91" s="3734"/>
      <c r="Y91" s="3716"/>
      <c r="Z91" s="3507"/>
      <c r="AA91" s="3712"/>
      <c r="AB91" s="3782"/>
      <c r="AC91" s="3214"/>
      <c r="AD91" s="3535"/>
      <c r="AE91" s="2501"/>
      <c r="AG91">
        <v>0</v>
      </c>
      <c r="AH91" s="1366">
        <f t="shared" si="12"/>
        <v>0</v>
      </c>
      <c r="AJ91" s="2367">
        <f t="shared" si="13"/>
        <v>0</v>
      </c>
      <c r="AK91" s="2367">
        <f t="shared" si="14"/>
        <v>0</v>
      </c>
      <c r="AL91" s="123" t="str">
        <f t="shared" si="15"/>
        <v>무부하 랙</v>
      </c>
      <c r="AR91" s="123"/>
      <c r="AS91" s="123"/>
      <c r="AU91" s="3084"/>
      <c r="AV91" s="123"/>
      <c r="AW91" s="123"/>
      <c r="AX91" s="3085"/>
      <c r="AY91" s="3086"/>
      <c r="AZ91" s="3087"/>
      <c r="BA91" s="3088"/>
      <c r="BB91" s="3089"/>
      <c r="BC91" s="3090"/>
      <c r="BD91" s="123"/>
    </row>
    <row r="92" spans="1:56" ht="22.2" thickBot="1">
      <c r="A92" s="3707"/>
      <c r="B92" s="1132" t="s">
        <v>1680</v>
      </c>
      <c r="C92" s="1143" t="s">
        <v>9186</v>
      </c>
      <c r="D92" s="3658"/>
      <c r="E92" s="2661" t="s">
        <v>4002</v>
      </c>
      <c r="F92" s="3341"/>
      <c r="G92" s="3710"/>
      <c r="H92" s="3677"/>
      <c r="I92" s="3680"/>
      <c r="J92" s="3683"/>
      <c r="K92" s="3686"/>
      <c r="L92" s="3688"/>
      <c r="M92" s="3691"/>
      <c r="N92" s="3694"/>
      <c r="O92" s="3697"/>
      <c r="P92" s="3700"/>
      <c r="Q92" s="3703"/>
      <c r="R92" s="3664"/>
      <c r="S92" s="3344"/>
      <c r="T92" s="3341"/>
      <c r="U92" s="3344"/>
      <c r="V92" s="3341"/>
      <c r="W92" s="3344"/>
      <c r="X92" s="3735"/>
      <c r="Y92" s="3717"/>
      <c r="Z92" s="3514"/>
      <c r="AA92" s="3713"/>
      <c r="AB92" s="3783"/>
      <c r="AC92" s="3214"/>
      <c r="AD92" s="3543"/>
      <c r="AE92" s="2502"/>
      <c r="AG92">
        <v>0</v>
      </c>
      <c r="AH92" s="1366">
        <f t="shared" si="12"/>
        <v>0</v>
      </c>
      <c r="AJ92" s="2367">
        <f t="shared" si="13"/>
        <v>0</v>
      </c>
      <c r="AK92" s="2367">
        <f t="shared" si="14"/>
        <v>0</v>
      </c>
      <c r="AL92" s="123" t="str">
        <f t="shared" si="15"/>
        <v>무부하 랙</v>
      </c>
      <c r="AR92" s="123"/>
      <c r="AS92" s="123"/>
      <c r="AU92" s="3084"/>
      <c r="AV92" s="123"/>
      <c r="AW92" s="123"/>
      <c r="AX92" s="3085"/>
      <c r="AY92" s="3086"/>
      <c r="AZ92" s="3087"/>
      <c r="BA92" s="3088"/>
      <c r="BB92" s="3089"/>
      <c r="BC92" s="3090"/>
      <c r="BD92" s="123"/>
    </row>
    <row r="93" spans="1:56" ht="15" thickTop="1">
      <c r="A93" s="3705" t="s">
        <v>3980</v>
      </c>
      <c r="B93" s="1133" t="s">
        <v>9199</v>
      </c>
      <c r="C93" s="1141"/>
      <c r="D93" s="3656">
        <f>0.55+2.2*3</f>
        <v>7.15</v>
      </c>
      <c r="E93" s="327" t="s">
        <v>3981</v>
      </c>
      <c r="F93" s="3354" t="s">
        <v>3982</v>
      </c>
      <c r="G93" s="3708" t="s">
        <v>3983</v>
      </c>
      <c r="H93" s="3675" t="str">
        <f>"4-DaHall 1-PDU-"&amp;L93&amp;"-"&amp;K93&amp;"-"&amp;M93</f>
        <v>4-DaHall 1-PDU-06-100-7</v>
      </c>
      <c r="I93" s="3678" t="str">
        <f>"4-DaHall 1-PDU-"&amp;P93&amp;"-"&amp;O93&amp;"-"&amp;Q93</f>
        <v>4-DaHall 1-PDU-05-100-7</v>
      </c>
      <c r="J93" s="3681">
        <v>220</v>
      </c>
      <c r="K93" s="3684">
        <v>100</v>
      </c>
      <c r="L93" s="3687" t="s">
        <v>6502</v>
      </c>
      <c r="M93" s="3689">
        <v>7</v>
      </c>
      <c r="N93" s="3692">
        <v>220</v>
      </c>
      <c r="O93" s="3695">
        <v>100</v>
      </c>
      <c r="P93" s="3698" t="s">
        <v>6491</v>
      </c>
      <c r="Q93" s="3701">
        <v>7</v>
      </c>
      <c r="R93" s="3662" t="s">
        <v>3886</v>
      </c>
      <c r="S93" s="3345" t="s">
        <v>3887</v>
      </c>
      <c r="T93" s="3354" t="s">
        <v>3888</v>
      </c>
      <c r="U93" s="3345" t="s">
        <v>3889</v>
      </c>
      <c r="V93" s="3354" t="s">
        <v>3744</v>
      </c>
      <c r="W93" s="3345" t="s">
        <v>3749</v>
      </c>
      <c r="X93" s="3733">
        <f>SUM('4층_부하량(월간_AVG)'!D25:F25)</f>
        <v>8.1989380586514038</v>
      </c>
      <c r="Y93" s="3715">
        <f>SUM('4층_부하량(월간_AVG)'!N54:P54)</f>
        <v>6.6732216849112334</v>
      </c>
      <c r="Z93" s="3714">
        <f t="shared" ref="Z93" si="17">SUM(X93:Y93)</f>
        <v>14.872159743562637</v>
      </c>
      <c r="AA93" s="3711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1202.5999999999999</v>
      </c>
      <c r="AB93" s="3781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957.2</v>
      </c>
      <c r="AC93" s="3214" t="e" cm="1">
        <f t="array" ref="AC93">INDEX('각층분기별_유효전력최대(전월)'!A90:A2108,MATCH(1,("4-DaHall 1-PDU-02"='각층분기별_유효전력최대(전월)'!B92:B2108)*("[branch#001] [A] kWh last month"='각층분기별_유효전력최대(전월)'!C92:C2108),0))</f>
        <v>#N/A</v>
      </c>
      <c r="AD93" s="3545">
        <f>SUM(AA93:AB102)</f>
        <v>2159.8000000000002</v>
      </c>
      <c r="AE93" s="2500"/>
      <c r="AG93">
        <v>15.7</v>
      </c>
      <c r="AH93" s="1366">
        <f t="shared" si="12"/>
        <v>-0.82784025643736214</v>
      </c>
      <c r="AJ93" s="2367">
        <f t="shared" si="13"/>
        <v>2.9029569892473122</v>
      </c>
      <c r="AK93" s="2367">
        <f t="shared" si="14"/>
        <v>4.2470430107526882</v>
      </c>
      <c r="AL93" s="123" t="str">
        <f t="shared" si="15"/>
        <v>적정함</v>
      </c>
      <c r="AR93" s="123"/>
      <c r="AS93" s="123"/>
      <c r="AU93" s="3084"/>
      <c r="AV93" s="123"/>
      <c r="AW93" s="123"/>
      <c r="AX93" s="3085"/>
      <c r="AY93" s="3086"/>
      <c r="AZ93" s="3087"/>
      <c r="BA93" s="3088"/>
      <c r="BB93" s="3089"/>
      <c r="BC93" s="3090"/>
      <c r="BD93" s="123"/>
    </row>
    <row r="94" spans="1:56" ht="21.6">
      <c r="A94" s="3706"/>
      <c r="B94" s="1134" t="s">
        <v>1575</v>
      </c>
      <c r="C94" s="3130" t="s">
        <v>9301</v>
      </c>
      <c r="D94" s="3657"/>
      <c r="E94" s="250" t="s">
        <v>9200</v>
      </c>
      <c r="F94" s="3340"/>
      <c r="G94" s="3709"/>
      <c r="H94" s="3676"/>
      <c r="I94" s="3679"/>
      <c r="J94" s="3682"/>
      <c r="K94" s="3685"/>
      <c r="L94" s="3521"/>
      <c r="M94" s="3690"/>
      <c r="N94" s="3693"/>
      <c r="O94" s="3696"/>
      <c r="P94" s="3699"/>
      <c r="Q94" s="3702"/>
      <c r="R94" s="3663"/>
      <c r="S94" s="3343"/>
      <c r="T94" s="3340"/>
      <c r="U94" s="3343"/>
      <c r="V94" s="3340"/>
      <c r="W94" s="3343"/>
      <c r="X94" s="3734"/>
      <c r="Y94" s="3716"/>
      <c r="Z94" s="3507"/>
      <c r="AA94" s="3712"/>
      <c r="AB94" s="3782"/>
      <c r="AC94" s="3214"/>
      <c r="AD94" s="3535"/>
      <c r="AE94" s="2501"/>
      <c r="AG94">
        <v>0</v>
      </c>
      <c r="AH94" s="1366">
        <f t="shared" si="12"/>
        <v>0</v>
      </c>
      <c r="AJ94" s="2367">
        <f t="shared" si="13"/>
        <v>0</v>
      </c>
      <c r="AK94" s="2367">
        <f t="shared" si="14"/>
        <v>0</v>
      </c>
      <c r="AL94" s="123" t="str">
        <f t="shared" si="15"/>
        <v>무부하 랙</v>
      </c>
      <c r="AR94" s="123"/>
      <c r="AS94" s="123"/>
      <c r="AU94" s="3084"/>
      <c r="AV94" s="123"/>
      <c r="AW94" s="123"/>
      <c r="AX94" s="3085"/>
      <c r="AY94" s="3086"/>
      <c r="AZ94" s="3087"/>
      <c r="BA94" s="3088"/>
      <c r="BB94" s="3089"/>
      <c r="BC94" s="3090"/>
      <c r="BD94" s="123"/>
    </row>
    <row r="95" spans="1:56">
      <c r="A95" s="3706"/>
      <c r="B95" s="1134" t="s">
        <v>1586</v>
      </c>
      <c r="C95" s="1142"/>
      <c r="D95" s="3657"/>
      <c r="E95" s="250" t="s">
        <v>3984</v>
      </c>
      <c r="F95" s="3340"/>
      <c r="G95" s="3709"/>
      <c r="H95" s="3676"/>
      <c r="I95" s="3679"/>
      <c r="J95" s="3682"/>
      <c r="K95" s="3685"/>
      <c r="L95" s="3521"/>
      <c r="M95" s="3690"/>
      <c r="N95" s="3693"/>
      <c r="O95" s="3696"/>
      <c r="P95" s="3699"/>
      <c r="Q95" s="3702"/>
      <c r="R95" s="3663"/>
      <c r="S95" s="3343"/>
      <c r="T95" s="3340"/>
      <c r="U95" s="3343"/>
      <c r="V95" s="3340"/>
      <c r="W95" s="3343"/>
      <c r="X95" s="3734"/>
      <c r="Y95" s="3716"/>
      <c r="Z95" s="3507"/>
      <c r="AA95" s="3712"/>
      <c r="AB95" s="3782"/>
      <c r="AC95" s="3214"/>
      <c r="AD95" s="3535"/>
      <c r="AE95" s="2501"/>
      <c r="AG95">
        <v>0</v>
      </c>
      <c r="AH95" s="1366">
        <f t="shared" si="12"/>
        <v>0</v>
      </c>
      <c r="AJ95" s="2367">
        <f t="shared" si="13"/>
        <v>0</v>
      </c>
      <c r="AK95" s="2367">
        <f t="shared" si="14"/>
        <v>0</v>
      </c>
      <c r="AL95" s="123" t="str">
        <f t="shared" si="15"/>
        <v>무부하 랙</v>
      </c>
      <c r="AR95" s="123"/>
      <c r="AS95" s="123"/>
      <c r="AU95" s="3084"/>
      <c r="AV95" s="123"/>
      <c r="AW95" s="123"/>
      <c r="AX95" s="3085"/>
      <c r="AY95" s="3086"/>
      <c r="AZ95" s="3087"/>
      <c r="BA95" s="3088"/>
      <c r="BB95" s="3089"/>
      <c r="BC95" s="3090"/>
      <c r="BD95" s="123"/>
    </row>
    <row r="96" spans="1:56" ht="21.6">
      <c r="A96" s="3706"/>
      <c r="B96" s="1134" t="s">
        <v>1592</v>
      </c>
      <c r="C96" s="1142" t="s">
        <v>9174</v>
      </c>
      <c r="D96" s="3657"/>
      <c r="E96" s="2653" t="s">
        <v>3985</v>
      </c>
      <c r="F96" s="3340"/>
      <c r="G96" s="3709"/>
      <c r="H96" s="3676"/>
      <c r="I96" s="3679"/>
      <c r="J96" s="3682"/>
      <c r="K96" s="3685"/>
      <c r="L96" s="3521"/>
      <c r="M96" s="3690"/>
      <c r="N96" s="3693"/>
      <c r="O96" s="3696"/>
      <c r="P96" s="3699"/>
      <c r="Q96" s="3702"/>
      <c r="R96" s="3663"/>
      <c r="S96" s="3343"/>
      <c r="T96" s="3340"/>
      <c r="U96" s="3343"/>
      <c r="V96" s="3340"/>
      <c r="W96" s="3343"/>
      <c r="X96" s="3734"/>
      <c r="Y96" s="3716"/>
      <c r="Z96" s="3507"/>
      <c r="AA96" s="3712"/>
      <c r="AB96" s="3782"/>
      <c r="AC96" s="3214"/>
      <c r="AD96" s="3535"/>
      <c r="AE96" s="2501"/>
      <c r="AG96">
        <v>0</v>
      </c>
      <c r="AH96" s="1366">
        <f t="shared" si="12"/>
        <v>0</v>
      </c>
      <c r="AJ96" s="2367">
        <f t="shared" si="13"/>
        <v>0</v>
      </c>
      <c r="AK96" s="2367">
        <f t="shared" si="14"/>
        <v>0</v>
      </c>
      <c r="AL96" s="123" t="str">
        <f t="shared" si="15"/>
        <v>무부하 랙</v>
      </c>
      <c r="AR96" s="123"/>
      <c r="AS96" s="123"/>
      <c r="AU96" s="3084"/>
      <c r="AV96" s="123"/>
      <c r="AW96" s="123"/>
      <c r="AX96" s="3085"/>
      <c r="AY96" s="3086"/>
      <c r="AZ96" s="3087"/>
      <c r="BA96" s="3088"/>
      <c r="BB96" s="3089"/>
      <c r="BC96" s="3090"/>
      <c r="BD96" s="123"/>
    </row>
    <row r="97" spans="1:56" ht="21.6">
      <c r="A97" s="3706"/>
      <c r="B97" s="1134" t="s">
        <v>1598</v>
      </c>
      <c r="C97" s="1142" t="s">
        <v>9174</v>
      </c>
      <c r="D97" s="3657"/>
      <c r="E97" s="2653" t="s">
        <v>3986</v>
      </c>
      <c r="F97" s="3340"/>
      <c r="G97" s="3709"/>
      <c r="H97" s="3676"/>
      <c r="I97" s="3679"/>
      <c r="J97" s="3682"/>
      <c r="K97" s="3685"/>
      <c r="L97" s="3521"/>
      <c r="M97" s="3690"/>
      <c r="N97" s="3693"/>
      <c r="O97" s="3696"/>
      <c r="P97" s="3699"/>
      <c r="Q97" s="3702"/>
      <c r="R97" s="3663"/>
      <c r="S97" s="3343"/>
      <c r="T97" s="3340"/>
      <c r="U97" s="3343"/>
      <c r="V97" s="3340"/>
      <c r="W97" s="3343"/>
      <c r="X97" s="3734"/>
      <c r="Y97" s="3716"/>
      <c r="Z97" s="3507"/>
      <c r="AA97" s="3712"/>
      <c r="AB97" s="3782"/>
      <c r="AC97" s="3214"/>
      <c r="AD97" s="3535"/>
      <c r="AE97" s="2501"/>
      <c r="AG97">
        <v>0</v>
      </c>
      <c r="AH97" s="1366">
        <f t="shared" si="12"/>
        <v>0</v>
      </c>
      <c r="AJ97" s="2367">
        <f t="shared" si="13"/>
        <v>0</v>
      </c>
      <c r="AK97" s="2367">
        <f t="shared" si="14"/>
        <v>0</v>
      </c>
      <c r="AL97" s="123" t="str">
        <f t="shared" si="15"/>
        <v>무부하 랙</v>
      </c>
      <c r="AR97" s="123"/>
      <c r="AS97" s="123"/>
      <c r="AU97" s="3084"/>
      <c r="AV97" s="123"/>
      <c r="AW97" s="123"/>
      <c r="AX97" s="3085"/>
      <c r="AY97" s="3086"/>
      <c r="AZ97" s="3087"/>
      <c r="BA97" s="3088"/>
      <c r="BB97" s="3089"/>
      <c r="BC97" s="3090"/>
      <c r="BD97" s="123"/>
    </row>
    <row r="98" spans="1:56" ht="21.6">
      <c r="A98" s="3706"/>
      <c r="B98" s="1134" t="s">
        <v>1604</v>
      </c>
      <c r="C98" s="1142" t="s">
        <v>9186</v>
      </c>
      <c r="D98" s="3657"/>
      <c r="E98" s="2653" t="s">
        <v>3987</v>
      </c>
      <c r="F98" s="3340"/>
      <c r="G98" s="3709"/>
      <c r="H98" s="3676"/>
      <c r="I98" s="3679"/>
      <c r="J98" s="3682"/>
      <c r="K98" s="3685"/>
      <c r="L98" s="3521"/>
      <c r="M98" s="3690"/>
      <c r="N98" s="3693"/>
      <c r="O98" s="3696"/>
      <c r="P98" s="3699"/>
      <c r="Q98" s="3702"/>
      <c r="R98" s="3663"/>
      <c r="S98" s="3343"/>
      <c r="T98" s="3340"/>
      <c r="U98" s="3343"/>
      <c r="V98" s="3340"/>
      <c r="W98" s="3343"/>
      <c r="X98" s="3734"/>
      <c r="Y98" s="3716"/>
      <c r="Z98" s="3507"/>
      <c r="AA98" s="3712"/>
      <c r="AB98" s="3782"/>
      <c r="AC98" s="3214"/>
      <c r="AD98" s="3535"/>
      <c r="AE98" s="2501"/>
      <c r="AG98">
        <v>0</v>
      </c>
      <c r="AH98" s="1366">
        <f t="shared" si="12"/>
        <v>0</v>
      </c>
      <c r="AJ98" s="2367">
        <f t="shared" si="13"/>
        <v>0</v>
      </c>
      <c r="AK98" s="2367">
        <f t="shared" si="14"/>
        <v>0</v>
      </c>
      <c r="AL98" s="123" t="str">
        <f t="shared" si="15"/>
        <v>무부하 랙</v>
      </c>
      <c r="AR98" s="123"/>
      <c r="AS98" s="123"/>
      <c r="AU98" s="3084"/>
      <c r="AV98" s="123"/>
      <c r="AW98" s="123"/>
      <c r="AX98" s="3085"/>
      <c r="AY98" s="3086"/>
      <c r="AZ98" s="3087"/>
      <c r="BA98" s="3088"/>
      <c r="BB98" s="3089"/>
      <c r="BC98" s="3090"/>
      <c r="BD98" s="123"/>
    </row>
    <row r="99" spans="1:56">
      <c r="A99" s="3706"/>
      <c r="B99" s="1134" t="s">
        <v>1610</v>
      </c>
      <c r="C99" s="1142"/>
      <c r="D99" s="3657"/>
      <c r="E99" s="2653" t="s">
        <v>3988</v>
      </c>
      <c r="F99" s="3340"/>
      <c r="G99" s="3709"/>
      <c r="H99" s="3676"/>
      <c r="I99" s="3679"/>
      <c r="J99" s="3682"/>
      <c r="K99" s="3685"/>
      <c r="L99" s="3521"/>
      <c r="M99" s="3690"/>
      <c r="N99" s="3693"/>
      <c r="O99" s="3696"/>
      <c r="P99" s="3699"/>
      <c r="Q99" s="3702"/>
      <c r="R99" s="3663"/>
      <c r="S99" s="3343"/>
      <c r="T99" s="3340"/>
      <c r="U99" s="3343"/>
      <c r="V99" s="3340"/>
      <c r="W99" s="3343"/>
      <c r="X99" s="3734"/>
      <c r="Y99" s="3716"/>
      <c r="Z99" s="3507"/>
      <c r="AA99" s="3712"/>
      <c r="AB99" s="3782"/>
      <c r="AC99" s="3214"/>
      <c r="AD99" s="3535"/>
      <c r="AE99" s="2501"/>
      <c r="AG99">
        <v>0</v>
      </c>
      <c r="AH99" s="1366">
        <f t="shared" si="12"/>
        <v>0</v>
      </c>
      <c r="AJ99" s="2367">
        <f t="shared" si="13"/>
        <v>0</v>
      </c>
      <c r="AK99" s="2367">
        <f t="shared" si="14"/>
        <v>0</v>
      </c>
      <c r="AL99" s="123" t="str">
        <f t="shared" si="15"/>
        <v>무부하 랙</v>
      </c>
      <c r="AR99" s="123"/>
      <c r="AS99" s="123"/>
      <c r="AU99" s="3084"/>
      <c r="AV99" s="123"/>
      <c r="AW99" s="123"/>
      <c r="AX99" s="3085"/>
      <c r="AY99" s="3086"/>
      <c r="AZ99" s="3087"/>
      <c r="BA99" s="3088"/>
      <c r="BB99" s="3089"/>
      <c r="BC99" s="3090"/>
      <c r="BD99" s="123"/>
    </row>
    <row r="100" spans="1:56" ht="21.6">
      <c r="A100" s="3706"/>
      <c r="B100" s="1134" t="s">
        <v>334</v>
      </c>
      <c r="C100" s="1142" t="s">
        <v>9186</v>
      </c>
      <c r="D100" s="3657"/>
      <c r="E100" s="2653" t="s">
        <v>3989</v>
      </c>
      <c r="F100" s="3340"/>
      <c r="G100" s="3709"/>
      <c r="H100" s="3676"/>
      <c r="I100" s="3679"/>
      <c r="J100" s="3682"/>
      <c r="K100" s="3685"/>
      <c r="L100" s="3521"/>
      <c r="M100" s="3690"/>
      <c r="N100" s="3693"/>
      <c r="O100" s="3696"/>
      <c r="P100" s="3699"/>
      <c r="Q100" s="3702"/>
      <c r="R100" s="3663"/>
      <c r="S100" s="3343"/>
      <c r="T100" s="3340"/>
      <c r="U100" s="3343"/>
      <c r="V100" s="3340"/>
      <c r="W100" s="3343"/>
      <c r="X100" s="3734"/>
      <c r="Y100" s="3716"/>
      <c r="Z100" s="3507"/>
      <c r="AA100" s="3712"/>
      <c r="AB100" s="3782"/>
      <c r="AC100" s="3214"/>
      <c r="AD100" s="3535"/>
      <c r="AE100" s="2501"/>
      <c r="AG100">
        <v>0</v>
      </c>
      <c r="AH100" s="1366">
        <f t="shared" si="12"/>
        <v>0</v>
      </c>
      <c r="AJ100" s="2367">
        <f t="shared" si="13"/>
        <v>0</v>
      </c>
      <c r="AK100" s="2367">
        <f t="shared" si="14"/>
        <v>0</v>
      </c>
      <c r="AL100" s="123" t="str">
        <f t="shared" si="15"/>
        <v>무부하 랙</v>
      </c>
      <c r="AR100" s="123"/>
      <c r="AS100" s="123"/>
      <c r="AU100" s="3084"/>
      <c r="AV100" s="123"/>
      <c r="AW100" s="123"/>
      <c r="AX100" s="3085"/>
      <c r="AY100" s="3086"/>
      <c r="AZ100" s="3087"/>
      <c r="BA100" s="3088"/>
      <c r="BB100" s="3089"/>
      <c r="BC100" s="3090"/>
      <c r="BD100" s="123"/>
    </row>
    <row r="101" spans="1:56">
      <c r="A101" s="3706"/>
      <c r="B101" s="1134" t="s">
        <v>332</v>
      </c>
      <c r="C101" s="1142"/>
      <c r="D101" s="3657"/>
      <c r="E101" s="250" t="s">
        <v>3990</v>
      </c>
      <c r="F101" s="3340"/>
      <c r="G101" s="3709"/>
      <c r="H101" s="3676"/>
      <c r="I101" s="3679"/>
      <c r="J101" s="3682"/>
      <c r="K101" s="3685"/>
      <c r="L101" s="3521"/>
      <c r="M101" s="3690"/>
      <c r="N101" s="3693"/>
      <c r="O101" s="3696"/>
      <c r="P101" s="3699"/>
      <c r="Q101" s="3702"/>
      <c r="R101" s="3663"/>
      <c r="S101" s="3343"/>
      <c r="T101" s="3340"/>
      <c r="U101" s="3343"/>
      <c r="V101" s="3340"/>
      <c r="W101" s="3343"/>
      <c r="X101" s="3734"/>
      <c r="Y101" s="3716"/>
      <c r="Z101" s="3507"/>
      <c r="AA101" s="3712"/>
      <c r="AB101" s="3782"/>
      <c r="AC101" s="3214"/>
      <c r="AD101" s="3535"/>
      <c r="AE101" s="2501"/>
      <c r="AG101">
        <v>0</v>
      </c>
      <c r="AH101" s="1366">
        <f t="shared" si="12"/>
        <v>0</v>
      </c>
      <c r="AJ101" s="2367">
        <f t="shared" si="13"/>
        <v>0</v>
      </c>
      <c r="AK101" s="2367">
        <f t="shared" si="14"/>
        <v>0</v>
      </c>
      <c r="AL101" s="123" t="str">
        <f t="shared" si="15"/>
        <v>무부하 랙</v>
      </c>
      <c r="AR101" s="123"/>
      <c r="AS101" s="123"/>
      <c r="AU101" s="3084"/>
      <c r="AV101" s="123"/>
      <c r="AW101" s="123"/>
      <c r="AX101" s="3085"/>
      <c r="AY101" s="3086"/>
      <c r="AZ101" s="3087"/>
      <c r="BA101" s="3088"/>
      <c r="BB101" s="3089"/>
      <c r="BC101" s="3090"/>
      <c r="BD101" s="123"/>
    </row>
    <row r="102" spans="1:56" ht="15" thickBot="1">
      <c r="A102" s="3707"/>
      <c r="B102" s="1132" t="s">
        <v>328</v>
      </c>
      <c r="C102" s="1143"/>
      <c r="D102" s="3658"/>
      <c r="E102" s="2661" t="s">
        <v>3991</v>
      </c>
      <c r="F102" s="3341"/>
      <c r="G102" s="3710"/>
      <c r="H102" s="3677"/>
      <c r="I102" s="3680"/>
      <c r="J102" s="3683"/>
      <c r="K102" s="3686"/>
      <c r="L102" s="3688"/>
      <c r="M102" s="3691"/>
      <c r="N102" s="3694"/>
      <c r="O102" s="3697"/>
      <c r="P102" s="3700"/>
      <c r="Q102" s="3703"/>
      <c r="R102" s="3664"/>
      <c r="S102" s="3344"/>
      <c r="T102" s="3341"/>
      <c r="U102" s="3344"/>
      <c r="V102" s="3341"/>
      <c r="W102" s="3344"/>
      <c r="X102" s="3735"/>
      <c r="Y102" s="3717"/>
      <c r="Z102" s="3514"/>
      <c r="AA102" s="3713"/>
      <c r="AB102" s="3783"/>
      <c r="AC102" s="3214"/>
      <c r="AD102" s="3543"/>
      <c r="AE102" s="2502"/>
      <c r="AG102">
        <v>0</v>
      </c>
      <c r="AH102" s="1366">
        <f t="shared" si="12"/>
        <v>0</v>
      </c>
      <c r="AJ102" s="2367">
        <f t="shared" si="13"/>
        <v>0</v>
      </c>
      <c r="AK102" s="2367">
        <f t="shared" si="14"/>
        <v>0</v>
      </c>
      <c r="AL102" s="123" t="str">
        <f t="shared" si="15"/>
        <v>무부하 랙</v>
      </c>
      <c r="AR102" s="123"/>
      <c r="AS102" s="123"/>
      <c r="AU102" s="3084"/>
      <c r="AV102" s="123"/>
      <c r="AW102" s="123"/>
      <c r="AX102" s="3085"/>
      <c r="AY102" s="3086"/>
      <c r="AZ102" s="3087"/>
      <c r="BA102" s="3088"/>
      <c r="BB102" s="3089"/>
      <c r="BC102" s="3090"/>
      <c r="BD102" s="123"/>
    </row>
    <row r="103" spans="1:56" ht="15" thickTop="1">
      <c r="A103" s="3705" t="s">
        <v>3956</v>
      </c>
      <c r="B103" s="1133"/>
      <c r="C103" s="1141"/>
      <c r="D103" s="3656">
        <f>0.55+2.2*4+1.1*2</f>
        <v>11.55</v>
      </c>
      <c r="E103" s="2684"/>
      <c r="F103" s="3354" t="s">
        <v>3957</v>
      </c>
      <c r="G103" s="3708" t="s">
        <v>3958</v>
      </c>
      <c r="H103" s="3675" t="str">
        <f>"4-DaHall 1-PDU-"&amp;L103&amp;"-"&amp;K103&amp;"-"&amp;M103</f>
        <v>4-DaHall 1-PDU-06-100-6</v>
      </c>
      <c r="I103" s="3678" t="str">
        <f>"4-DaHall 1-PDU-"&amp;P103&amp;"-"&amp;O103&amp;"-"&amp;Q103</f>
        <v>4-DaHall 1-PDU-05-100-6</v>
      </c>
      <c r="J103" s="3681">
        <v>220</v>
      </c>
      <c r="K103" s="3684">
        <v>100</v>
      </c>
      <c r="L103" s="3687" t="s">
        <v>6502</v>
      </c>
      <c r="M103" s="3689">
        <v>6</v>
      </c>
      <c r="N103" s="3692">
        <v>220</v>
      </c>
      <c r="O103" s="3695">
        <v>100</v>
      </c>
      <c r="P103" s="3698" t="s">
        <v>6491</v>
      </c>
      <c r="Q103" s="3701">
        <v>6</v>
      </c>
      <c r="R103" s="3662" t="s">
        <v>3886</v>
      </c>
      <c r="S103" s="3345" t="s">
        <v>3887</v>
      </c>
      <c r="T103" s="3354" t="s">
        <v>3888</v>
      </c>
      <c r="U103" s="3345" t="s">
        <v>3889</v>
      </c>
      <c r="V103" s="3354" t="s">
        <v>3744</v>
      </c>
      <c r="W103" s="3345" t="s">
        <v>3749</v>
      </c>
      <c r="X103" s="3733">
        <f>SUM('4층_부하량(월간_AVG)'!D24:F24)</f>
        <v>0</v>
      </c>
      <c r="Y103" s="3715">
        <f>SUM('4층_부하량(월간_AVG)'!N53:P53)</f>
        <v>12.861502697120752</v>
      </c>
      <c r="Z103" s="3714">
        <f t="shared" ref="Z103" si="18">SUM(X103:Y103)</f>
        <v>12.861502697120752</v>
      </c>
      <c r="AA103" s="3711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781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1773.7</v>
      </c>
      <c r="AC103" s="3214" t="e" cm="1">
        <f t="array" ref="AC103">INDEX('각층분기별_유효전력최대(전월)'!A100:A2118,MATCH(1,("4-DaHall 1-PDU-02"='각층분기별_유효전력최대(전월)'!B102:B2118)*("[branch#001] [A] kWh last month"='각층분기별_유효전력최대(전월)'!C102:C2118),0))</f>
        <v>#N/A</v>
      </c>
      <c r="AD103" s="3545">
        <f>SUM(AA103:AB114)</f>
        <v>1773.7</v>
      </c>
      <c r="AE103" s="2509" t="s">
        <v>3959</v>
      </c>
      <c r="AG103">
        <v>36.299999999999997</v>
      </c>
      <c r="AH103" s="1366">
        <f t="shared" si="12"/>
        <v>-23.438497302879245</v>
      </c>
      <c r="AJ103" s="2367">
        <f t="shared" si="13"/>
        <v>2.3840053763440863</v>
      </c>
      <c r="AK103" s="2367">
        <f t="shared" si="14"/>
        <v>9.165994623655914</v>
      </c>
      <c r="AL103" s="123" t="str">
        <f t="shared" si="15"/>
        <v>적정함</v>
      </c>
      <c r="AR103" s="123"/>
      <c r="AS103" s="123"/>
      <c r="AU103" s="3084"/>
      <c r="AV103" s="123"/>
      <c r="AW103" s="123"/>
      <c r="AX103" s="3085"/>
      <c r="AY103" s="3086"/>
      <c r="AZ103" s="3087"/>
      <c r="BA103" s="3088"/>
      <c r="BB103" s="3089"/>
      <c r="BC103" s="3090"/>
      <c r="BD103" s="123"/>
    </row>
    <row r="104" spans="1:56">
      <c r="A104" s="3706"/>
      <c r="B104" s="1134"/>
      <c r="C104" s="1142"/>
      <c r="D104" s="3657"/>
      <c r="E104" s="992"/>
      <c r="F104" s="3340"/>
      <c r="G104" s="3709"/>
      <c r="H104" s="3676"/>
      <c r="I104" s="3679"/>
      <c r="J104" s="3682"/>
      <c r="K104" s="3685"/>
      <c r="L104" s="3521"/>
      <c r="M104" s="3690"/>
      <c r="N104" s="3693"/>
      <c r="O104" s="3696"/>
      <c r="P104" s="3699"/>
      <c r="Q104" s="3702"/>
      <c r="R104" s="3663"/>
      <c r="S104" s="3343"/>
      <c r="T104" s="3340"/>
      <c r="U104" s="3343"/>
      <c r="V104" s="3340"/>
      <c r="W104" s="3343"/>
      <c r="X104" s="3734"/>
      <c r="Y104" s="3716"/>
      <c r="Z104" s="3507"/>
      <c r="AA104" s="3712"/>
      <c r="AB104" s="3782"/>
      <c r="AC104" s="3214"/>
      <c r="AD104" s="3535"/>
      <c r="AE104" s="2476" t="s">
        <v>3960</v>
      </c>
      <c r="AG104">
        <v>0</v>
      </c>
      <c r="AH104" s="1366">
        <f t="shared" si="12"/>
        <v>0</v>
      </c>
      <c r="AJ104" s="2367">
        <f t="shared" si="13"/>
        <v>0</v>
      </c>
      <c r="AK104" s="2367">
        <f t="shared" si="14"/>
        <v>0</v>
      </c>
      <c r="AL104" s="123" t="str">
        <f t="shared" si="15"/>
        <v>무부하 랙</v>
      </c>
      <c r="AR104" s="123"/>
      <c r="AS104" s="123"/>
      <c r="AU104" s="3084"/>
      <c r="AV104" s="123"/>
      <c r="AW104" s="123"/>
      <c r="AX104" s="3085"/>
      <c r="AY104" s="3086"/>
      <c r="AZ104" s="3087"/>
      <c r="BA104" s="3088"/>
      <c r="BB104" s="3089"/>
      <c r="BC104" s="3090"/>
      <c r="BD104" s="123"/>
    </row>
    <row r="105" spans="1:56">
      <c r="A105" s="3706"/>
      <c r="B105" s="1134" t="s">
        <v>9201</v>
      </c>
      <c r="C105" s="1142"/>
      <c r="D105" s="3657"/>
      <c r="E105" s="2653" t="s">
        <v>3961</v>
      </c>
      <c r="F105" s="3340"/>
      <c r="G105" s="3709"/>
      <c r="H105" s="3676"/>
      <c r="I105" s="3679"/>
      <c r="J105" s="3682"/>
      <c r="K105" s="3685"/>
      <c r="L105" s="3521"/>
      <c r="M105" s="3690"/>
      <c r="N105" s="3693"/>
      <c r="O105" s="3696"/>
      <c r="P105" s="3699"/>
      <c r="Q105" s="3702"/>
      <c r="R105" s="3663"/>
      <c r="S105" s="3343"/>
      <c r="T105" s="3340"/>
      <c r="U105" s="3343"/>
      <c r="V105" s="3340"/>
      <c r="W105" s="3343"/>
      <c r="X105" s="3734"/>
      <c r="Y105" s="3716"/>
      <c r="Z105" s="3507"/>
      <c r="AA105" s="3712"/>
      <c r="AB105" s="3782"/>
      <c r="AC105" s="3214"/>
      <c r="AD105" s="3535"/>
      <c r="AE105" s="2476"/>
      <c r="AG105">
        <v>0</v>
      </c>
      <c r="AH105" s="1366">
        <f t="shared" si="12"/>
        <v>0</v>
      </c>
      <c r="AJ105" s="2367">
        <f t="shared" si="13"/>
        <v>0</v>
      </c>
      <c r="AK105" s="2367">
        <f t="shared" si="14"/>
        <v>0</v>
      </c>
      <c r="AL105" s="123" t="str">
        <f t="shared" si="15"/>
        <v>무부하 랙</v>
      </c>
      <c r="AR105" s="123"/>
      <c r="AS105" s="123"/>
      <c r="AU105" s="3084"/>
      <c r="AV105" s="123"/>
      <c r="AW105" s="123"/>
      <c r="AX105" s="3085"/>
      <c r="AY105" s="3086"/>
      <c r="AZ105" s="3087"/>
      <c r="BA105" s="3088"/>
      <c r="BB105" s="3089"/>
      <c r="BC105" s="3090"/>
      <c r="BD105" s="123"/>
    </row>
    <row r="106" spans="1:56" ht="43.2">
      <c r="A106" s="3706"/>
      <c r="B106" s="1134" t="s">
        <v>3962</v>
      </c>
      <c r="C106" s="1142" t="s">
        <v>9187</v>
      </c>
      <c r="D106" s="3657"/>
      <c r="E106" s="2653" t="s">
        <v>3963</v>
      </c>
      <c r="F106" s="3340"/>
      <c r="G106" s="3709"/>
      <c r="H106" s="3676"/>
      <c r="I106" s="3679"/>
      <c r="J106" s="3682"/>
      <c r="K106" s="3685"/>
      <c r="L106" s="3521"/>
      <c r="M106" s="3690"/>
      <c r="N106" s="3693"/>
      <c r="O106" s="3696"/>
      <c r="P106" s="3699"/>
      <c r="Q106" s="3702"/>
      <c r="R106" s="3663"/>
      <c r="S106" s="3343"/>
      <c r="T106" s="3340"/>
      <c r="U106" s="3343"/>
      <c r="V106" s="3340"/>
      <c r="W106" s="3343"/>
      <c r="X106" s="3734"/>
      <c r="Y106" s="3716"/>
      <c r="Z106" s="3507"/>
      <c r="AA106" s="3712"/>
      <c r="AB106" s="3782"/>
      <c r="AC106" s="3214"/>
      <c r="AD106" s="3535"/>
      <c r="AE106" s="2476"/>
      <c r="AG106">
        <v>0</v>
      </c>
      <c r="AH106" s="1366">
        <f t="shared" si="12"/>
        <v>0</v>
      </c>
      <c r="AJ106" s="2367">
        <f t="shared" si="13"/>
        <v>0</v>
      </c>
      <c r="AK106" s="2367">
        <f t="shared" si="14"/>
        <v>0</v>
      </c>
      <c r="AL106" s="123" t="str">
        <f t="shared" si="15"/>
        <v>무부하 랙</v>
      </c>
      <c r="AR106" s="123"/>
      <c r="AS106" s="123"/>
      <c r="AU106" s="3084"/>
      <c r="AV106" s="123"/>
      <c r="AW106" s="123"/>
      <c r="AX106" s="3085"/>
      <c r="AY106" s="3086"/>
      <c r="AZ106" s="3087"/>
      <c r="BA106" s="3088"/>
      <c r="BB106" s="3089"/>
      <c r="BC106" s="3090"/>
      <c r="BD106" s="123"/>
    </row>
    <row r="107" spans="1:56">
      <c r="A107" s="3706"/>
      <c r="B107" s="1134" t="s">
        <v>3964</v>
      </c>
      <c r="C107" s="1142" t="s">
        <v>9188</v>
      </c>
      <c r="D107" s="3657"/>
      <c r="E107" s="2653" t="s">
        <v>3965</v>
      </c>
      <c r="F107" s="3340"/>
      <c r="G107" s="3709"/>
      <c r="H107" s="3676"/>
      <c r="I107" s="3679"/>
      <c r="J107" s="3682"/>
      <c r="K107" s="3685"/>
      <c r="L107" s="3521"/>
      <c r="M107" s="3690"/>
      <c r="N107" s="3693"/>
      <c r="O107" s="3696"/>
      <c r="P107" s="3699"/>
      <c r="Q107" s="3702"/>
      <c r="R107" s="3663"/>
      <c r="S107" s="3343"/>
      <c r="T107" s="3340"/>
      <c r="U107" s="3343"/>
      <c r="V107" s="3340"/>
      <c r="W107" s="3343"/>
      <c r="X107" s="3734"/>
      <c r="Y107" s="3716"/>
      <c r="Z107" s="3507"/>
      <c r="AA107" s="3712"/>
      <c r="AB107" s="3782"/>
      <c r="AC107" s="3214"/>
      <c r="AD107" s="3535"/>
      <c r="AE107" s="2501"/>
      <c r="AG107">
        <v>0</v>
      </c>
      <c r="AH107" s="1366">
        <f t="shared" si="12"/>
        <v>0</v>
      </c>
      <c r="AJ107" s="2367">
        <f t="shared" si="13"/>
        <v>0</v>
      </c>
      <c r="AK107" s="2367">
        <f t="shared" si="14"/>
        <v>0</v>
      </c>
      <c r="AL107" s="123" t="str">
        <f t="shared" si="15"/>
        <v>무부하 랙</v>
      </c>
      <c r="AR107" s="123"/>
      <c r="AS107" s="123"/>
      <c r="AU107" s="3084"/>
      <c r="AV107" s="123"/>
      <c r="AW107" s="123"/>
      <c r="AX107" s="3085"/>
      <c r="AY107" s="3086"/>
      <c r="AZ107" s="3087"/>
      <c r="BA107" s="3088"/>
      <c r="BB107" s="3089"/>
      <c r="BC107" s="3090"/>
      <c r="BD107" s="123"/>
    </row>
    <row r="108" spans="1:56" ht="21.6">
      <c r="A108" s="3706"/>
      <c r="B108" s="1134" t="s">
        <v>3966</v>
      </c>
      <c r="C108" s="1142" t="s">
        <v>9189</v>
      </c>
      <c r="D108" s="3657"/>
      <c r="E108" s="2653" t="s">
        <v>3967</v>
      </c>
      <c r="F108" s="3340"/>
      <c r="G108" s="3709"/>
      <c r="H108" s="3676"/>
      <c r="I108" s="3679"/>
      <c r="J108" s="3682"/>
      <c r="K108" s="3685"/>
      <c r="L108" s="3521"/>
      <c r="M108" s="3690"/>
      <c r="N108" s="3693"/>
      <c r="O108" s="3696"/>
      <c r="P108" s="3699"/>
      <c r="Q108" s="3702"/>
      <c r="R108" s="3663"/>
      <c r="S108" s="3343"/>
      <c r="T108" s="3340"/>
      <c r="U108" s="3343"/>
      <c r="V108" s="3340"/>
      <c r="W108" s="3343"/>
      <c r="X108" s="3734"/>
      <c r="Y108" s="3716"/>
      <c r="Z108" s="3507"/>
      <c r="AA108" s="3712"/>
      <c r="AB108" s="3782"/>
      <c r="AC108" s="3214"/>
      <c r="AD108" s="3535"/>
      <c r="AE108" s="2501"/>
      <c r="AG108">
        <v>0</v>
      </c>
      <c r="AH108" s="1366">
        <f t="shared" si="12"/>
        <v>0</v>
      </c>
      <c r="AJ108" s="2367">
        <f t="shared" si="13"/>
        <v>0</v>
      </c>
      <c r="AK108" s="2367">
        <f t="shared" si="14"/>
        <v>0</v>
      </c>
      <c r="AL108" s="123" t="str">
        <f t="shared" si="15"/>
        <v>무부하 랙</v>
      </c>
      <c r="AR108" s="123"/>
      <c r="AS108" s="123"/>
      <c r="AU108" s="3084"/>
      <c r="AV108" s="123"/>
      <c r="AW108" s="123"/>
      <c r="AX108" s="3085"/>
      <c r="AY108" s="3086"/>
      <c r="AZ108" s="3087"/>
      <c r="BA108" s="3088"/>
      <c r="BB108" s="3089"/>
      <c r="BC108" s="3090"/>
      <c r="BD108" s="123"/>
    </row>
    <row r="109" spans="1:56" ht="21.6">
      <c r="A109" s="3706"/>
      <c r="B109" s="1134" t="s">
        <v>3968</v>
      </c>
      <c r="C109" s="1142" t="s">
        <v>9190</v>
      </c>
      <c r="D109" s="3657"/>
      <c r="E109" s="2653" t="s">
        <v>3969</v>
      </c>
      <c r="F109" s="3340"/>
      <c r="G109" s="3709"/>
      <c r="H109" s="3676"/>
      <c r="I109" s="3679"/>
      <c r="J109" s="3682"/>
      <c r="K109" s="3685"/>
      <c r="L109" s="3521"/>
      <c r="M109" s="3690"/>
      <c r="N109" s="3693"/>
      <c r="O109" s="3696"/>
      <c r="P109" s="3699"/>
      <c r="Q109" s="3702"/>
      <c r="R109" s="3663"/>
      <c r="S109" s="3343"/>
      <c r="T109" s="3340"/>
      <c r="U109" s="3343"/>
      <c r="V109" s="3340"/>
      <c r="W109" s="3343"/>
      <c r="X109" s="3734"/>
      <c r="Y109" s="3716"/>
      <c r="Z109" s="3507"/>
      <c r="AA109" s="3712"/>
      <c r="AB109" s="3782"/>
      <c r="AC109" s="3214"/>
      <c r="AD109" s="3535"/>
      <c r="AE109" s="2501"/>
      <c r="AG109">
        <v>0</v>
      </c>
      <c r="AH109" s="1366">
        <f t="shared" si="12"/>
        <v>0</v>
      </c>
      <c r="AJ109" s="2367">
        <f t="shared" si="13"/>
        <v>0</v>
      </c>
      <c r="AK109" s="2367">
        <f t="shared" si="14"/>
        <v>0</v>
      </c>
      <c r="AL109" s="123" t="str">
        <f t="shared" si="15"/>
        <v>무부하 랙</v>
      </c>
      <c r="AR109" s="123"/>
      <c r="AS109" s="123"/>
      <c r="AU109" s="3084"/>
      <c r="AV109" s="123"/>
      <c r="AW109" s="123"/>
      <c r="AX109" s="3085"/>
      <c r="AY109" s="3086"/>
      <c r="AZ109" s="3087"/>
      <c r="BA109" s="3088"/>
      <c r="BB109" s="3089"/>
      <c r="BC109" s="3090"/>
      <c r="BD109" s="123"/>
    </row>
    <row r="110" spans="1:56">
      <c r="A110" s="3706"/>
      <c r="B110" s="1134" t="s">
        <v>3970</v>
      </c>
      <c r="C110" s="1142"/>
      <c r="D110" s="3657"/>
      <c r="E110" s="2653" t="s">
        <v>3971</v>
      </c>
      <c r="F110" s="3340"/>
      <c r="G110" s="3709"/>
      <c r="H110" s="3676"/>
      <c r="I110" s="3679"/>
      <c r="J110" s="3682"/>
      <c r="K110" s="3685"/>
      <c r="L110" s="3521"/>
      <c r="M110" s="3690"/>
      <c r="N110" s="3693"/>
      <c r="O110" s="3696"/>
      <c r="P110" s="3699"/>
      <c r="Q110" s="3702"/>
      <c r="R110" s="3663"/>
      <c r="S110" s="3343"/>
      <c r="T110" s="3340"/>
      <c r="U110" s="3343"/>
      <c r="V110" s="3340"/>
      <c r="W110" s="3343"/>
      <c r="X110" s="3734"/>
      <c r="Y110" s="3716"/>
      <c r="Z110" s="3507"/>
      <c r="AA110" s="3712"/>
      <c r="AB110" s="3782"/>
      <c r="AC110" s="3214"/>
      <c r="AD110" s="3535"/>
      <c r="AE110" s="2501"/>
      <c r="AG110">
        <v>0</v>
      </c>
      <c r="AH110" s="1366">
        <f t="shared" si="12"/>
        <v>0</v>
      </c>
      <c r="AJ110" s="2367">
        <f t="shared" si="13"/>
        <v>0</v>
      </c>
      <c r="AK110" s="2367">
        <f t="shared" si="14"/>
        <v>0</v>
      </c>
      <c r="AL110" s="123" t="str">
        <f t="shared" si="15"/>
        <v>무부하 랙</v>
      </c>
      <c r="AR110" s="123"/>
      <c r="AS110" s="123"/>
      <c r="AU110" s="3084"/>
      <c r="AV110" s="123"/>
      <c r="AW110" s="123"/>
      <c r="AX110" s="3085"/>
      <c r="AY110" s="3086"/>
      <c r="AZ110" s="3087"/>
      <c r="BA110" s="3088"/>
      <c r="BB110" s="3089"/>
      <c r="BC110" s="3090"/>
      <c r="BD110" s="123"/>
    </row>
    <row r="111" spans="1:56">
      <c r="A111" s="3706"/>
      <c r="B111" s="1134" t="s">
        <v>3972</v>
      </c>
      <c r="C111" s="1142"/>
      <c r="D111" s="3657"/>
      <c r="E111" s="250" t="s">
        <v>3973</v>
      </c>
      <c r="F111" s="3340"/>
      <c r="G111" s="3709"/>
      <c r="H111" s="3676"/>
      <c r="I111" s="3679"/>
      <c r="J111" s="3682"/>
      <c r="K111" s="3685"/>
      <c r="L111" s="3521"/>
      <c r="M111" s="3690"/>
      <c r="N111" s="3693"/>
      <c r="O111" s="3696"/>
      <c r="P111" s="3699"/>
      <c r="Q111" s="3702"/>
      <c r="R111" s="3663"/>
      <c r="S111" s="3343"/>
      <c r="T111" s="3340"/>
      <c r="U111" s="3343"/>
      <c r="V111" s="3340"/>
      <c r="W111" s="3343"/>
      <c r="X111" s="3734"/>
      <c r="Y111" s="3716"/>
      <c r="Z111" s="3507"/>
      <c r="AA111" s="3712"/>
      <c r="AB111" s="3782"/>
      <c r="AC111" s="3214"/>
      <c r="AD111" s="3535"/>
      <c r="AE111" s="2501"/>
      <c r="AG111">
        <v>0</v>
      </c>
      <c r="AH111" s="1366">
        <f t="shared" si="12"/>
        <v>0</v>
      </c>
      <c r="AJ111" s="2367">
        <f t="shared" si="13"/>
        <v>0</v>
      </c>
      <c r="AK111" s="2367">
        <f t="shared" si="14"/>
        <v>0</v>
      </c>
      <c r="AL111" s="123" t="str">
        <f t="shared" si="15"/>
        <v>무부하 랙</v>
      </c>
      <c r="AR111" s="123"/>
      <c r="AS111" s="123"/>
      <c r="AU111" s="3084"/>
      <c r="AV111" s="123"/>
      <c r="AW111" s="123"/>
      <c r="AX111" s="3085"/>
      <c r="AY111" s="3086"/>
      <c r="AZ111" s="3087"/>
      <c r="BA111" s="3088"/>
      <c r="BB111" s="3089"/>
      <c r="BC111" s="3090"/>
      <c r="BD111" s="123"/>
    </row>
    <row r="112" spans="1:56" ht="21.6">
      <c r="A112" s="3706"/>
      <c r="B112" s="1134" t="s">
        <v>3974</v>
      </c>
      <c r="C112" s="1142" t="s">
        <v>9190</v>
      </c>
      <c r="D112" s="3657"/>
      <c r="E112" s="2653" t="s">
        <v>3975</v>
      </c>
      <c r="F112" s="3340"/>
      <c r="G112" s="3709"/>
      <c r="H112" s="3676"/>
      <c r="I112" s="3679"/>
      <c r="J112" s="3682"/>
      <c r="K112" s="3685"/>
      <c r="L112" s="3521"/>
      <c r="M112" s="3690"/>
      <c r="N112" s="3693"/>
      <c r="O112" s="3696"/>
      <c r="P112" s="3699"/>
      <c r="Q112" s="3702"/>
      <c r="R112" s="3663"/>
      <c r="S112" s="3343"/>
      <c r="T112" s="3340"/>
      <c r="U112" s="3343"/>
      <c r="V112" s="3340"/>
      <c r="W112" s="3343"/>
      <c r="X112" s="3734"/>
      <c r="Y112" s="3716"/>
      <c r="Z112" s="3507"/>
      <c r="AA112" s="3712"/>
      <c r="AB112" s="3782"/>
      <c r="AC112" s="3214"/>
      <c r="AD112" s="3535"/>
      <c r="AE112" s="2501"/>
      <c r="AG112">
        <v>0</v>
      </c>
      <c r="AH112" s="1366">
        <f t="shared" si="12"/>
        <v>0</v>
      </c>
      <c r="AJ112" s="2367">
        <f t="shared" si="13"/>
        <v>0</v>
      </c>
      <c r="AK112" s="2367">
        <f t="shared" si="14"/>
        <v>0</v>
      </c>
      <c r="AL112" s="123" t="str">
        <f t="shared" si="15"/>
        <v>무부하 랙</v>
      </c>
      <c r="AR112" s="123"/>
      <c r="AS112" s="123"/>
      <c r="AU112" s="3084"/>
      <c r="AV112" s="123"/>
      <c r="AW112" s="123"/>
      <c r="AX112" s="3085"/>
      <c r="AY112" s="3086"/>
      <c r="AZ112" s="3087"/>
      <c r="BA112" s="3088"/>
      <c r="BB112" s="3089"/>
      <c r="BC112" s="3090"/>
      <c r="BD112" s="123"/>
    </row>
    <row r="113" spans="1:56">
      <c r="A113" s="3706"/>
      <c r="B113" s="1134" t="s">
        <v>3976</v>
      </c>
      <c r="C113" s="1142" t="s">
        <v>9191</v>
      </c>
      <c r="D113" s="3657"/>
      <c r="E113" s="2653" t="s">
        <v>3977</v>
      </c>
      <c r="F113" s="3340"/>
      <c r="G113" s="3709"/>
      <c r="H113" s="3676"/>
      <c r="I113" s="3679"/>
      <c r="J113" s="3682"/>
      <c r="K113" s="3685"/>
      <c r="L113" s="3521"/>
      <c r="M113" s="3690"/>
      <c r="N113" s="3693"/>
      <c r="O113" s="3696"/>
      <c r="P113" s="3699"/>
      <c r="Q113" s="3702"/>
      <c r="R113" s="3663"/>
      <c r="S113" s="3343"/>
      <c r="T113" s="3340"/>
      <c r="U113" s="3343"/>
      <c r="V113" s="3340"/>
      <c r="W113" s="3343"/>
      <c r="X113" s="3734"/>
      <c r="Y113" s="3716"/>
      <c r="Z113" s="3507"/>
      <c r="AA113" s="3712"/>
      <c r="AB113" s="3782"/>
      <c r="AC113" s="3214"/>
      <c r="AD113" s="3535"/>
      <c r="AE113" s="2501"/>
      <c r="AG113">
        <v>0</v>
      </c>
      <c r="AH113" s="1366">
        <f t="shared" si="12"/>
        <v>0</v>
      </c>
      <c r="AJ113" s="2367">
        <f t="shared" si="13"/>
        <v>0</v>
      </c>
      <c r="AK113" s="2367">
        <f t="shared" si="14"/>
        <v>0</v>
      </c>
      <c r="AL113" s="123" t="str">
        <f t="shared" si="15"/>
        <v>무부하 랙</v>
      </c>
      <c r="AR113" s="123"/>
      <c r="AS113" s="123"/>
      <c r="AU113" s="3084"/>
      <c r="AV113" s="123"/>
      <c r="AW113" s="123"/>
      <c r="AX113" s="3085"/>
      <c r="AY113" s="3086"/>
      <c r="AZ113" s="3087"/>
      <c r="BA113" s="3088"/>
      <c r="BB113" s="3089"/>
      <c r="BC113" s="3090"/>
      <c r="BD113" s="123"/>
    </row>
    <row r="114" spans="1:56" ht="22.2" thickBot="1">
      <c r="A114" s="3707"/>
      <c r="B114" s="1132" t="s">
        <v>3978</v>
      </c>
      <c r="C114" s="1143" t="s">
        <v>9192</v>
      </c>
      <c r="D114" s="3658"/>
      <c r="E114" s="2672" t="s">
        <v>3979</v>
      </c>
      <c r="F114" s="3341"/>
      <c r="G114" s="3710"/>
      <c r="H114" s="3677"/>
      <c r="I114" s="3680"/>
      <c r="J114" s="3683"/>
      <c r="K114" s="3686"/>
      <c r="L114" s="3688"/>
      <c r="M114" s="3691"/>
      <c r="N114" s="3694"/>
      <c r="O114" s="3697"/>
      <c r="P114" s="3700"/>
      <c r="Q114" s="3703"/>
      <c r="R114" s="3664"/>
      <c r="S114" s="3344"/>
      <c r="T114" s="3341"/>
      <c r="U114" s="3344"/>
      <c r="V114" s="3341"/>
      <c r="W114" s="3344"/>
      <c r="X114" s="3735"/>
      <c r="Y114" s="3717"/>
      <c r="Z114" s="3514"/>
      <c r="AA114" s="3713"/>
      <c r="AB114" s="3783"/>
      <c r="AC114" s="3214"/>
      <c r="AD114" s="3543"/>
      <c r="AE114" s="2502"/>
      <c r="AG114">
        <v>0</v>
      </c>
      <c r="AH114" s="1366">
        <f t="shared" si="12"/>
        <v>0</v>
      </c>
      <c r="AJ114" s="2367">
        <f t="shared" si="13"/>
        <v>0</v>
      </c>
      <c r="AK114" s="2367">
        <f t="shared" si="14"/>
        <v>0</v>
      </c>
      <c r="AL114" s="123" t="str">
        <f t="shared" si="15"/>
        <v>무부하 랙</v>
      </c>
      <c r="AR114" s="123"/>
      <c r="AS114" s="123"/>
      <c r="AU114" s="3084"/>
      <c r="AV114" s="123"/>
      <c r="AW114" s="123"/>
      <c r="AX114" s="3085"/>
      <c r="AY114" s="3086"/>
      <c r="AZ114" s="3087"/>
      <c r="BA114" s="3088"/>
      <c r="BB114" s="3089"/>
      <c r="BC114" s="3090"/>
      <c r="BD114" s="123"/>
    </row>
    <row r="115" spans="1:56" ht="15" thickTop="1">
      <c r="A115" s="3727" t="s">
        <v>3943</v>
      </c>
      <c r="B115" s="1133"/>
      <c r="C115" s="1141"/>
      <c r="D115" s="3656"/>
      <c r="E115" s="327" t="s">
        <v>3944</v>
      </c>
      <c r="F115" s="3354" t="s">
        <v>3945</v>
      </c>
      <c r="G115" s="3708" t="s">
        <v>3946</v>
      </c>
      <c r="H115" s="3675" t="str">
        <f>"4-DaHall 1-PDU-"&amp;L115&amp;"-"&amp;K115&amp;"-"&amp;M115</f>
        <v>4-DaHall 1-PDU-06-100-5</v>
      </c>
      <c r="I115" s="3678" t="str">
        <f>"4-DaHall 1-PDU-"&amp;P115&amp;"-"&amp;O115&amp;"-"&amp;Q115</f>
        <v>4-DaHall 1-PDU-05-100-5</v>
      </c>
      <c r="J115" s="3681">
        <v>220</v>
      </c>
      <c r="K115" s="3684">
        <v>100</v>
      </c>
      <c r="L115" s="3687" t="s">
        <v>6502</v>
      </c>
      <c r="M115" s="3689">
        <v>5</v>
      </c>
      <c r="N115" s="3692">
        <v>220</v>
      </c>
      <c r="O115" s="3695">
        <v>100</v>
      </c>
      <c r="P115" s="3698" t="s">
        <v>6491</v>
      </c>
      <c r="Q115" s="3701">
        <v>5</v>
      </c>
      <c r="R115" s="3662" t="s">
        <v>3886</v>
      </c>
      <c r="S115" s="3345" t="s">
        <v>3887</v>
      </c>
      <c r="T115" s="3354" t="s">
        <v>3888</v>
      </c>
      <c r="U115" s="3345" t="s">
        <v>3889</v>
      </c>
      <c r="V115" s="3354" t="s">
        <v>3744</v>
      </c>
      <c r="W115" s="3345" t="s">
        <v>3749</v>
      </c>
      <c r="X115" s="3733">
        <f>SUM('4층_부하량(월간_AVG)'!D23:F23)</f>
        <v>0</v>
      </c>
      <c r="Y115" s="3715">
        <f>SUM('4층_부하량(월간_AVG)'!N52:P52)</f>
        <v>0</v>
      </c>
      <c r="Z115" s="3714">
        <f>SUM(X115:Y115)</f>
        <v>0</v>
      </c>
      <c r="AA115" s="3711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781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214" t="e" cm="1">
        <f t="array" ref="AC115">INDEX('각층분기별_유효전력최대(전월)'!A112:A2130,MATCH(1,("4-DaHall 1-PDU-02"='각층분기별_유효전력최대(전월)'!B114:B2130)*("[branch#001] [A] kWh last month"='각층분기별_유효전력최대(전월)'!C114:C2130),0))</f>
        <v>#N/A</v>
      </c>
      <c r="AD115" s="3545">
        <f>SUM(AA115:AB122)</f>
        <v>0</v>
      </c>
      <c r="AE115" s="2505" t="s">
        <v>3947</v>
      </c>
      <c r="AG115">
        <v>35.5</v>
      </c>
      <c r="AH115" s="1366">
        <f t="shared" si="12"/>
        <v>-35.5</v>
      </c>
      <c r="AJ115" s="2367">
        <f t="shared" si="13"/>
        <v>0</v>
      </c>
      <c r="AK115" s="2367">
        <f t="shared" si="14"/>
        <v>0</v>
      </c>
      <c r="AL115" s="123" t="str">
        <f t="shared" si="15"/>
        <v>무부하 랙</v>
      </c>
      <c r="AR115" s="123"/>
      <c r="AS115" s="123"/>
      <c r="AU115" s="3084"/>
      <c r="AV115" s="123"/>
      <c r="AW115" s="123"/>
      <c r="AX115" s="3085"/>
      <c r="AY115" s="3086"/>
      <c r="AZ115" s="3087"/>
      <c r="BA115" s="3088"/>
      <c r="BB115" s="3089"/>
      <c r="BC115" s="3090"/>
      <c r="BD115" s="123"/>
    </row>
    <row r="116" spans="1:56">
      <c r="A116" s="3728"/>
      <c r="B116" s="1134"/>
      <c r="C116" s="1142"/>
      <c r="D116" s="3657"/>
      <c r="E116" s="250" t="s">
        <v>3948</v>
      </c>
      <c r="F116" s="3340"/>
      <c r="G116" s="3709"/>
      <c r="H116" s="3676"/>
      <c r="I116" s="3679"/>
      <c r="J116" s="3682"/>
      <c r="K116" s="3685"/>
      <c r="L116" s="3521"/>
      <c r="M116" s="3690"/>
      <c r="N116" s="3693"/>
      <c r="O116" s="3696"/>
      <c r="P116" s="3699"/>
      <c r="Q116" s="3702"/>
      <c r="R116" s="3663"/>
      <c r="S116" s="3343"/>
      <c r="T116" s="3340"/>
      <c r="U116" s="3343"/>
      <c r="V116" s="3340"/>
      <c r="W116" s="3343"/>
      <c r="X116" s="3734"/>
      <c r="Y116" s="3716"/>
      <c r="Z116" s="3507"/>
      <c r="AA116" s="3712"/>
      <c r="AB116" s="3782"/>
      <c r="AC116" s="3214"/>
      <c r="AD116" s="3535"/>
      <c r="AE116" s="3021" t="s">
        <v>3947</v>
      </c>
      <c r="AG116">
        <v>0</v>
      </c>
      <c r="AH116" s="1366">
        <f t="shared" si="12"/>
        <v>0</v>
      </c>
      <c r="AJ116" s="2367">
        <f t="shared" si="13"/>
        <v>0</v>
      </c>
      <c r="AK116" s="2367">
        <f t="shared" si="14"/>
        <v>0</v>
      </c>
      <c r="AL116" s="123" t="str">
        <f t="shared" si="15"/>
        <v>무부하 랙</v>
      </c>
      <c r="AR116" s="123"/>
      <c r="AS116" s="123"/>
      <c r="AU116" s="3084"/>
      <c r="AV116" s="123"/>
      <c r="AW116" s="123"/>
      <c r="AX116" s="3085"/>
      <c r="AY116" s="3086"/>
      <c r="AZ116" s="3087"/>
      <c r="BA116" s="3088"/>
      <c r="BB116" s="3089"/>
      <c r="BC116" s="3090"/>
      <c r="BD116" s="123"/>
    </row>
    <row r="117" spans="1:56">
      <c r="A117" s="3728"/>
      <c r="B117" s="1134"/>
      <c r="C117" s="1142"/>
      <c r="D117" s="3657"/>
      <c r="E117" s="250" t="s">
        <v>3949</v>
      </c>
      <c r="F117" s="3340"/>
      <c r="G117" s="3709"/>
      <c r="H117" s="3676"/>
      <c r="I117" s="3679"/>
      <c r="J117" s="3682"/>
      <c r="K117" s="3685"/>
      <c r="L117" s="3521"/>
      <c r="M117" s="3690"/>
      <c r="N117" s="3693"/>
      <c r="O117" s="3696"/>
      <c r="P117" s="3699"/>
      <c r="Q117" s="3702"/>
      <c r="R117" s="3663"/>
      <c r="S117" s="3343"/>
      <c r="T117" s="3340"/>
      <c r="U117" s="3343"/>
      <c r="V117" s="3340"/>
      <c r="W117" s="3343"/>
      <c r="X117" s="3734"/>
      <c r="Y117" s="3716"/>
      <c r="Z117" s="3507"/>
      <c r="AA117" s="3712"/>
      <c r="AB117" s="3782"/>
      <c r="AC117" s="3214"/>
      <c r="AD117" s="3535"/>
      <c r="AE117" s="3021" t="s">
        <v>3947</v>
      </c>
      <c r="AG117">
        <v>0</v>
      </c>
      <c r="AH117" s="1366">
        <f t="shared" si="12"/>
        <v>0</v>
      </c>
      <c r="AJ117" s="2367">
        <f t="shared" si="13"/>
        <v>0</v>
      </c>
      <c r="AK117" s="2367">
        <f t="shared" si="14"/>
        <v>0</v>
      </c>
      <c r="AL117" s="123" t="str">
        <f t="shared" si="15"/>
        <v>무부하 랙</v>
      </c>
      <c r="AR117" s="123"/>
      <c r="AS117" s="123"/>
      <c r="AU117" s="3084"/>
      <c r="AV117" s="123"/>
      <c r="AW117" s="123"/>
      <c r="AX117" s="3085"/>
      <c r="AY117" s="3086"/>
      <c r="AZ117" s="3087"/>
      <c r="BA117" s="3088"/>
      <c r="BB117" s="3089"/>
      <c r="BC117" s="3090"/>
      <c r="BD117" s="123"/>
    </row>
    <row r="118" spans="1:56">
      <c r="A118" s="3728"/>
      <c r="B118" s="1134"/>
      <c r="C118" s="1142"/>
      <c r="D118" s="3657"/>
      <c r="E118" s="250" t="s">
        <v>3950</v>
      </c>
      <c r="F118" s="3340"/>
      <c r="G118" s="3709"/>
      <c r="H118" s="3676"/>
      <c r="I118" s="3679"/>
      <c r="J118" s="3682"/>
      <c r="K118" s="3685"/>
      <c r="L118" s="3521"/>
      <c r="M118" s="3690"/>
      <c r="N118" s="3693"/>
      <c r="O118" s="3696"/>
      <c r="P118" s="3699"/>
      <c r="Q118" s="3702"/>
      <c r="R118" s="3663"/>
      <c r="S118" s="3343"/>
      <c r="T118" s="3340"/>
      <c r="U118" s="3343"/>
      <c r="V118" s="3340"/>
      <c r="W118" s="3343"/>
      <c r="X118" s="3734"/>
      <c r="Y118" s="3716"/>
      <c r="Z118" s="3507"/>
      <c r="AA118" s="3712"/>
      <c r="AB118" s="3782"/>
      <c r="AC118" s="3214"/>
      <c r="AD118" s="3535"/>
      <c r="AE118" s="3021" t="s">
        <v>3947</v>
      </c>
      <c r="AG118">
        <v>0</v>
      </c>
      <c r="AH118" s="1366">
        <f t="shared" si="12"/>
        <v>0</v>
      </c>
      <c r="AJ118" s="2367">
        <f t="shared" si="13"/>
        <v>0</v>
      </c>
      <c r="AK118" s="2367">
        <f t="shared" si="14"/>
        <v>0</v>
      </c>
      <c r="AL118" s="123" t="str">
        <f t="shared" si="15"/>
        <v>무부하 랙</v>
      </c>
      <c r="AR118" s="123"/>
      <c r="AS118" s="123"/>
      <c r="AU118" s="3084"/>
      <c r="AV118" s="123"/>
      <c r="AW118" s="123"/>
      <c r="AX118" s="3085"/>
      <c r="AY118" s="3086"/>
      <c r="AZ118" s="3087"/>
      <c r="BA118" s="3088"/>
      <c r="BB118" s="3089"/>
      <c r="BC118" s="3090"/>
      <c r="BD118" s="123"/>
    </row>
    <row r="119" spans="1:56">
      <c r="A119" s="3728"/>
      <c r="B119" s="1134"/>
      <c r="C119" s="1142"/>
      <c r="D119" s="3657"/>
      <c r="E119" s="992"/>
      <c r="F119" s="3340"/>
      <c r="G119" s="3709"/>
      <c r="H119" s="3676"/>
      <c r="I119" s="3679"/>
      <c r="J119" s="3682"/>
      <c r="K119" s="3685"/>
      <c r="L119" s="3521"/>
      <c r="M119" s="3690"/>
      <c r="N119" s="3693"/>
      <c r="O119" s="3696"/>
      <c r="P119" s="3699"/>
      <c r="Q119" s="3702"/>
      <c r="R119" s="3663"/>
      <c r="S119" s="3343"/>
      <c r="T119" s="3340"/>
      <c r="U119" s="3343"/>
      <c r="V119" s="3340"/>
      <c r="W119" s="3343"/>
      <c r="X119" s="3734"/>
      <c r="Y119" s="3716"/>
      <c r="Z119" s="3507"/>
      <c r="AA119" s="3712"/>
      <c r="AB119" s="3782"/>
      <c r="AC119" s="3214"/>
      <c r="AD119" s="3535"/>
      <c r="AE119" s="2476" t="s">
        <v>3952</v>
      </c>
      <c r="AG119">
        <v>0</v>
      </c>
      <c r="AH119" s="1366">
        <f t="shared" si="12"/>
        <v>0</v>
      </c>
      <c r="AJ119" s="2367">
        <f t="shared" si="13"/>
        <v>0</v>
      </c>
      <c r="AK119" s="2367">
        <f t="shared" si="14"/>
        <v>0</v>
      </c>
      <c r="AL119" s="123" t="str">
        <f t="shared" si="15"/>
        <v>무부하 랙</v>
      </c>
      <c r="AR119" s="123"/>
      <c r="AS119" s="123"/>
      <c r="AU119" s="3084"/>
      <c r="AV119" s="123"/>
      <c r="AW119" s="123"/>
      <c r="AX119" s="3085"/>
      <c r="AY119" s="3086"/>
      <c r="AZ119" s="3087"/>
      <c r="BA119" s="3088"/>
      <c r="BB119" s="3089"/>
      <c r="BC119" s="3090"/>
      <c r="BD119" s="123"/>
    </row>
    <row r="120" spans="1:56" ht="28.8">
      <c r="A120" s="3728"/>
      <c r="B120" s="1134"/>
      <c r="C120" s="1142"/>
      <c r="D120" s="3657"/>
      <c r="E120" s="992"/>
      <c r="F120" s="3340"/>
      <c r="G120" s="3709"/>
      <c r="H120" s="3676"/>
      <c r="I120" s="3679"/>
      <c r="J120" s="3682"/>
      <c r="K120" s="3685"/>
      <c r="L120" s="3521"/>
      <c r="M120" s="3690"/>
      <c r="N120" s="3693"/>
      <c r="O120" s="3696"/>
      <c r="P120" s="3699"/>
      <c r="Q120" s="3702"/>
      <c r="R120" s="3663"/>
      <c r="S120" s="3343"/>
      <c r="T120" s="3340"/>
      <c r="U120" s="3343"/>
      <c r="V120" s="3340"/>
      <c r="W120" s="3343"/>
      <c r="X120" s="3734"/>
      <c r="Y120" s="3716"/>
      <c r="Z120" s="3507"/>
      <c r="AA120" s="3712"/>
      <c r="AB120" s="3782"/>
      <c r="AC120" s="3214"/>
      <c r="AD120" s="3535"/>
      <c r="AE120" s="2507" t="s">
        <v>3953</v>
      </c>
      <c r="AG120">
        <v>0</v>
      </c>
      <c r="AH120" s="1366">
        <f t="shared" si="12"/>
        <v>0</v>
      </c>
      <c r="AJ120" s="2367">
        <f t="shared" si="13"/>
        <v>0</v>
      </c>
      <c r="AK120" s="2367">
        <f t="shared" si="14"/>
        <v>0</v>
      </c>
      <c r="AL120" s="123" t="str">
        <f t="shared" si="15"/>
        <v>무부하 랙</v>
      </c>
      <c r="AR120" s="123"/>
      <c r="AS120" s="123"/>
      <c r="AU120" s="3084"/>
      <c r="AV120" s="123"/>
      <c r="AW120" s="123"/>
      <c r="AX120" s="3085"/>
      <c r="AY120" s="3086"/>
      <c r="AZ120" s="3087"/>
      <c r="BA120" s="3088"/>
      <c r="BB120" s="3089"/>
      <c r="BC120" s="3090"/>
      <c r="BD120" s="123"/>
    </row>
    <row r="121" spans="1:56" ht="28.8">
      <c r="A121" s="3728"/>
      <c r="B121" s="1134"/>
      <c r="C121" s="1142"/>
      <c r="D121" s="3657"/>
      <c r="E121" s="992"/>
      <c r="F121" s="3340"/>
      <c r="G121" s="3709"/>
      <c r="H121" s="3676"/>
      <c r="I121" s="3679"/>
      <c r="J121" s="3682"/>
      <c r="K121" s="3685"/>
      <c r="L121" s="3521"/>
      <c r="M121" s="3690"/>
      <c r="N121" s="3693"/>
      <c r="O121" s="3696"/>
      <c r="P121" s="3699"/>
      <c r="Q121" s="3702"/>
      <c r="R121" s="3663"/>
      <c r="S121" s="3343"/>
      <c r="T121" s="3340"/>
      <c r="U121" s="3343"/>
      <c r="V121" s="3340"/>
      <c r="W121" s="3343"/>
      <c r="X121" s="3734"/>
      <c r="Y121" s="3716"/>
      <c r="Z121" s="3507"/>
      <c r="AA121" s="3712"/>
      <c r="AB121" s="3782"/>
      <c r="AC121" s="3214"/>
      <c r="AD121" s="3535"/>
      <c r="AE121" s="2507" t="s">
        <v>3954</v>
      </c>
      <c r="AG121">
        <v>0</v>
      </c>
      <c r="AH121" s="1366">
        <f t="shared" si="12"/>
        <v>0</v>
      </c>
      <c r="AJ121" s="2367">
        <f t="shared" si="13"/>
        <v>0</v>
      </c>
      <c r="AK121" s="2367">
        <f t="shared" si="14"/>
        <v>0</v>
      </c>
      <c r="AL121" s="123" t="str">
        <f t="shared" si="15"/>
        <v>무부하 랙</v>
      </c>
      <c r="AR121" s="123"/>
      <c r="AS121" s="123"/>
      <c r="AU121" s="3084"/>
      <c r="AV121" s="123"/>
      <c r="AW121" s="123"/>
      <c r="AX121" s="3085"/>
      <c r="AY121" s="3086"/>
      <c r="AZ121" s="3087"/>
      <c r="BA121" s="3088"/>
      <c r="BB121" s="3089"/>
      <c r="BC121" s="3090"/>
      <c r="BD121" s="123"/>
    </row>
    <row r="122" spans="1:56" ht="15" thickBot="1">
      <c r="A122" s="3729"/>
      <c r="B122" s="1132"/>
      <c r="C122" s="1143"/>
      <c r="D122" s="3658"/>
      <c r="E122" s="1135"/>
      <c r="F122" s="3341"/>
      <c r="G122" s="3710"/>
      <c r="H122" s="3677"/>
      <c r="I122" s="3680"/>
      <c r="J122" s="3683"/>
      <c r="K122" s="3686"/>
      <c r="L122" s="3688"/>
      <c r="M122" s="3691"/>
      <c r="N122" s="3694"/>
      <c r="O122" s="3697"/>
      <c r="P122" s="3700"/>
      <c r="Q122" s="3703"/>
      <c r="R122" s="3664"/>
      <c r="S122" s="3344"/>
      <c r="T122" s="3341"/>
      <c r="U122" s="3344"/>
      <c r="V122" s="3341"/>
      <c r="W122" s="3344"/>
      <c r="X122" s="3735"/>
      <c r="Y122" s="3717"/>
      <c r="Z122" s="3514"/>
      <c r="AA122" s="3713"/>
      <c r="AB122" s="3783"/>
      <c r="AC122" s="3214"/>
      <c r="AD122" s="3543"/>
      <c r="AE122" s="2508" t="s">
        <v>3955</v>
      </c>
      <c r="AG122">
        <v>0</v>
      </c>
      <c r="AH122" s="1366">
        <f t="shared" si="12"/>
        <v>0</v>
      </c>
      <c r="AJ122" s="2367">
        <f t="shared" si="13"/>
        <v>0</v>
      </c>
      <c r="AK122" s="2367">
        <f t="shared" si="14"/>
        <v>0</v>
      </c>
      <c r="AL122" s="123" t="str">
        <f t="shared" si="15"/>
        <v>무부하 랙</v>
      </c>
      <c r="AR122" s="123"/>
      <c r="AS122" s="123"/>
      <c r="AU122" s="3084"/>
      <c r="AV122" s="123"/>
      <c r="AW122" s="123"/>
      <c r="AX122" s="3085"/>
      <c r="AY122" s="3086"/>
      <c r="AZ122" s="3087"/>
      <c r="BA122" s="3088"/>
      <c r="BB122" s="3089"/>
      <c r="BC122" s="3090"/>
      <c r="BD122" s="123"/>
    </row>
    <row r="123" spans="1:56" ht="15" thickTop="1">
      <c r="A123" s="3727" t="s">
        <v>3912</v>
      </c>
      <c r="B123" s="1131" t="s">
        <v>1519</v>
      </c>
      <c r="C123" s="1141"/>
      <c r="D123" s="3656">
        <f>2.2*3</f>
        <v>6.6000000000000005</v>
      </c>
      <c r="E123" s="327" t="s">
        <v>3928</v>
      </c>
      <c r="F123" s="3354" t="s">
        <v>3929</v>
      </c>
      <c r="G123" s="3708" t="s">
        <v>3930</v>
      </c>
      <c r="H123" s="3675" t="str">
        <f>"4-DaHall 1-PDU-"&amp;L123&amp;"-"&amp;K123&amp;"-"&amp;M123</f>
        <v>4-DaHall 1-PDU-06-100-4</v>
      </c>
      <c r="I123" s="3678" t="str">
        <f>"4-DaHall 1-PDU-"&amp;P123&amp;"-"&amp;O123&amp;"-"&amp;Q123</f>
        <v>4-DaHall 1-PDU-05-100-4</v>
      </c>
      <c r="J123" s="3681">
        <v>220</v>
      </c>
      <c r="K123" s="3684">
        <v>100</v>
      </c>
      <c r="L123" s="3687" t="s">
        <v>6502</v>
      </c>
      <c r="M123" s="3689">
        <v>4</v>
      </c>
      <c r="N123" s="3692">
        <v>220</v>
      </c>
      <c r="O123" s="3695">
        <v>100</v>
      </c>
      <c r="P123" s="3698" t="s">
        <v>6491</v>
      </c>
      <c r="Q123" s="3701">
        <v>4</v>
      </c>
      <c r="R123" s="3662" t="s">
        <v>3886</v>
      </c>
      <c r="S123" s="3345" t="s">
        <v>3887</v>
      </c>
      <c r="T123" s="3354" t="s">
        <v>3888</v>
      </c>
      <c r="U123" s="3345" t="s">
        <v>3889</v>
      </c>
      <c r="V123" s="3354" t="s">
        <v>3744</v>
      </c>
      <c r="W123" s="3345" t="s">
        <v>3749</v>
      </c>
      <c r="X123" s="3733">
        <f>SUM('4층_부하량(월간_AVG)'!D22:F22)</f>
        <v>6.9178206459703837</v>
      </c>
      <c r="Y123" s="3715">
        <f>SUM('4층_부하량(월간_AVG)'!N51:P51)</f>
        <v>7.2118840753374567</v>
      </c>
      <c r="Z123" s="3714">
        <f t="shared" ref="Z123" si="19">SUM(X123:Y123)</f>
        <v>14.12970472130784</v>
      </c>
      <c r="AA123" s="3711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</v>
      </c>
      <c r="AB123" s="3781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C123" s="3214" t="e" cm="1">
        <f t="array" ref="AC123">INDEX('각층분기별_유효전력최대(전월)'!A120:A2138,MATCH(1,("4-DaHall 1-PDU-02"='각층분기별_유효전력최대(전월)'!B122:B2138)*("[branch#001] [A] kWh last month"='각층분기별_유효전력최대(전월)'!C122:C2138),0))</f>
        <v>#N/A</v>
      </c>
      <c r="AD123" s="3545">
        <f>SUM(AA123:AB133)</f>
        <v>2101.1</v>
      </c>
      <c r="AE123" s="2505" t="s">
        <v>3931</v>
      </c>
      <c r="AG123">
        <v>14.5</v>
      </c>
      <c r="AH123" s="1366">
        <f t="shared" si="12"/>
        <v>-0.37029527869215961</v>
      </c>
      <c r="AJ123" s="2367">
        <f t="shared" si="13"/>
        <v>2.8240591397849459</v>
      </c>
      <c r="AK123" s="2367">
        <f t="shared" si="14"/>
        <v>3.7759408602150546</v>
      </c>
      <c r="AL123" s="123" t="str">
        <f t="shared" si="15"/>
        <v>적정함</v>
      </c>
      <c r="AR123" s="123"/>
      <c r="AS123" s="123"/>
      <c r="AU123" s="3084"/>
      <c r="AV123" s="123"/>
      <c r="AW123" s="123"/>
      <c r="AX123" s="3085"/>
      <c r="AY123" s="3086"/>
      <c r="AZ123" s="3087"/>
      <c r="BA123" s="3088"/>
      <c r="BB123" s="3089"/>
      <c r="BC123" s="3090"/>
      <c r="BD123" s="123"/>
    </row>
    <row r="124" spans="1:56">
      <c r="A124" s="3728"/>
      <c r="B124" s="2654" t="s">
        <v>1520</v>
      </c>
      <c r="C124" s="1142"/>
      <c r="D124" s="3657"/>
      <c r="E124" s="250" t="s">
        <v>3932</v>
      </c>
      <c r="F124" s="3340"/>
      <c r="G124" s="3709"/>
      <c r="H124" s="3676"/>
      <c r="I124" s="3679"/>
      <c r="J124" s="3682"/>
      <c r="K124" s="3685"/>
      <c r="L124" s="3521"/>
      <c r="M124" s="3690"/>
      <c r="N124" s="3693"/>
      <c r="O124" s="3696"/>
      <c r="P124" s="3699"/>
      <c r="Q124" s="3702"/>
      <c r="R124" s="3663"/>
      <c r="S124" s="3343"/>
      <c r="T124" s="3340"/>
      <c r="U124" s="3343"/>
      <c r="V124" s="3340"/>
      <c r="W124" s="3343"/>
      <c r="X124" s="3734"/>
      <c r="Y124" s="3716"/>
      <c r="Z124" s="3507"/>
      <c r="AA124" s="3712"/>
      <c r="AB124" s="3782"/>
      <c r="AC124" s="3214"/>
      <c r="AD124" s="3535"/>
      <c r="AE124" s="3021" t="s">
        <v>3931</v>
      </c>
      <c r="AG124">
        <v>0</v>
      </c>
      <c r="AH124" s="1366">
        <f t="shared" si="12"/>
        <v>0</v>
      </c>
      <c r="AJ124" s="2367">
        <f t="shared" si="13"/>
        <v>0</v>
      </c>
      <c r="AK124" s="2367">
        <f t="shared" si="14"/>
        <v>0</v>
      </c>
      <c r="AL124" s="123" t="str">
        <f t="shared" si="15"/>
        <v>무부하 랙</v>
      </c>
      <c r="AR124" s="123"/>
      <c r="AS124" s="123"/>
      <c r="AU124" s="3084"/>
      <c r="AV124" s="123"/>
      <c r="AW124" s="123"/>
      <c r="AX124" s="3085"/>
      <c r="AY124" s="3086"/>
      <c r="AZ124" s="3087"/>
      <c r="BA124" s="3088"/>
      <c r="BB124" s="3089"/>
      <c r="BC124" s="3090"/>
      <c r="BD124" s="123"/>
    </row>
    <row r="125" spans="1:56">
      <c r="A125" s="3728"/>
      <c r="B125" s="2654" t="s">
        <v>1526</v>
      </c>
      <c r="C125" s="1142"/>
      <c r="D125" s="3657"/>
      <c r="E125" s="250" t="s">
        <v>3933</v>
      </c>
      <c r="F125" s="3340"/>
      <c r="G125" s="3709"/>
      <c r="H125" s="3676"/>
      <c r="I125" s="3679"/>
      <c r="J125" s="3682"/>
      <c r="K125" s="3685"/>
      <c r="L125" s="3521"/>
      <c r="M125" s="3690"/>
      <c r="N125" s="3693"/>
      <c r="O125" s="3696"/>
      <c r="P125" s="3699"/>
      <c r="Q125" s="3702"/>
      <c r="R125" s="3663"/>
      <c r="S125" s="3343"/>
      <c r="T125" s="3340"/>
      <c r="U125" s="3343"/>
      <c r="V125" s="3340"/>
      <c r="W125" s="3343"/>
      <c r="X125" s="3734"/>
      <c r="Y125" s="3716"/>
      <c r="Z125" s="3507"/>
      <c r="AA125" s="3712"/>
      <c r="AB125" s="3782"/>
      <c r="AC125" s="3214"/>
      <c r="AD125" s="3535"/>
      <c r="AE125" s="3021" t="s">
        <v>3931</v>
      </c>
      <c r="AG125">
        <v>0</v>
      </c>
      <c r="AH125" s="1366">
        <f t="shared" si="12"/>
        <v>0</v>
      </c>
      <c r="AJ125" s="2367">
        <f t="shared" si="13"/>
        <v>0</v>
      </c>
      <c r="AK125" s="2367">
        <f t="shared" si="14"/>
        <v>0</v>
      </c>
      <c r="AL125" s="123" t="str">
        <f t="shared" si="15"/>
        <v>무부하 랙</v>
      </c>
      <c r="AR125" s="123"/>
      <c r="AS125" s="123"/>
      <c r="AU125" s="3084"/>
      <c r="AV125" s="123"/>
      <c r="AW125" s="123"/>
      <c r="AX125" s="3085"/>
      <c r="AY125" s="3086"/>
      <c r="AZ125" s="3087"/>
      <c r="BA125" s="3088"/>
      <c r="BB125" s="3089"/>
      <c r="BC125" s="3090"/>
      <c r="BD125" s="123"/>
    </row>
    <row r="126" spans="1:56">
      <c r="A126" s="3728"/>
      <c r="B126" s="2654" t="s">
        <v>1533</v>
      </c>
      <c r="C126" s="1142"/>
      <c r="D126" s="3657"/>
      <c r="E126" s="250" t="s">
        <v>3934</v>
      </c>
      <c r="F126" s="3340"/>
      <c r="G126" s="3709"/>
      <c r="H126" s="3676"/>
      <c r="I126" s="3679"/>
      <c r="J126" s="3682"/>
      <c r="K126" s="3685"/>
      <c r="L126" s="3521"/>
      <c r="M126" s="3690"/>
      <c r="N126" s="3693"/>
      <c r="O126" s="3696"/>
      <c r="P126" s="3699"/>
      <c r="Q126" s="3702"/>
      <c r="R126" s="3663"/>
      <c r="S126" s="3343"/>
      <c r="T126" s="3340"/>
      <c r="U126" s="3343"/>
      <c r="V126" s="3340"/>
      <c r="W126" s="3343"/>
      <c r="X126" s="3734"/>
      <c r="Y126" s="3716"/>
      <c r="Z126" s="3507"/>
      <c r="AA126" s="3712"/>
      <c r="AB126" s="3782"/>
      <c r="AC126" s="3214"/>
      <c r="AD126" s="3535"/>
      <c r="AE126" s="3021"/>
      <c r="AG126">
        <v>0</v>
      </c>
      <c r="AH126" s="1366">
        <f t="shared" si="12"/>
        <v>0</v>
      </c>
      <c r="AJ126" s="2367">
        <f t="shared" si="13"/>
        <v>0</v>
      </c>
      <c r="AK126" s="2367">
        <f t="shared" si="14"/>
        <v>0</v>
      </c>
      <c r="AL126" s="123" t="str">
        <f t="shared" si="15"/>
        <v>무부하 랙</v>
      </c>
      <c r="AR126" s="123"/>
      <c r="AS126" s="123"/>
      <c r="AU126" s="3084"/>
      <c r="AV126" s="123"/>
      <c r="AW126" s="123"/>
      <c r="AX126" s="3085"/>
      <c r="AY126" s="3086"/>
      <c r="AZ126" s="3087"/>
      <c r="BA126" s="3088"/>
      <c r="BB126" s="3089"/>
      <c r="BC126" s="3090"/>
      <c r="BD126" s="123"/>
    </row>
    <row r="127" spans="1:56">
      <c r="A127" s="3728"/>
      <c r="B127" s="2654" t="s">
        <v>1539</v>
      </c>
      <c r="C127" s="1142"/>
      <c r="D127" s="3657"/>
      <c r="E127" s="250" t="s">
        <v>3935</v>
      </c>
      <c r="F127" s="3340"/>
      <c r="G127" s="3709"/>
      <c r="H127" s="3676"/>
      <c r="I127" s="3679"/>
      <c r="J127" s="3682"/>
      <c r="K127" s="3685"/>
      <c r="L127" s="3521"/>
      <c r="M127" s="3690"/>
      <c r="N127" s="3693"/>
      <c r="O127" s="3696"/>
      <c r="P127" s="3699"/>
      <c r="Q127" s="3702"/>
      <c r="R127" s="3663"/>
      <c r="S127" s="3343"/>
      <c r="T127" s="3340"/>
      <c r="U127" s="3343"/>
      <c r="V127" s="3340"/>
      <c r="W127" s="3343"/>
      <c r="X127" s="3734"/>
      <c r="Y127" s="3716"/>
      <c r="Z127" s="3507"/>
      <c r="AA127" s="3712"/>
      <c r="AB127" s="3782"/>
      <c r="AC127" s="3214"/>
      <c r="AD127" s="3535"/>
      <c r="AE127" s="3021"/>
      <c r="AG127">
        <v>0</v>
      </c>
      <c r="AH127" s="1366">
        <f t="shared" si="12"/>
        <v>0</v>
      </c>
      <c r="AJ127" s="2367">
        <f t="shared" si="13"/>
        <v>0</v>
      </c>
      <c r="AK127" s="2367">
        <f t="shared" si="14"/>
        <v>0</v>
      </c>
      <c r="AL127" s="123" t="str">
        <f t="shared" si="15"/>
        <v>무부하 랙</v>
      </c>
      <c r="AR127" s="123"/>
      <c r="AS127" s="123"/>
      <c r="AU127" s="3084"/>
      <c r="AV127" s="123"/>
      <c r="AW127" s="123"/>
      <c r="AX127" s="3085"/>
      <c r="AY127" s="3086"/>
      <c r="AZ127" s="3087"/>
      <c r="BA127" s="3088"/>
      <c r="BB127" s="3089"/>
      <c r="BC127" s="3090"/>
      <c r="BD127" s="123"/>
    </row>
    <row r="128" spans="1:56" ht="21.6">
      <c r="A128" s="3728"/>
      <c r="B128" s="2654" t="s">
        <v>1545</v>
      </c>
      <c r="C128" s="1142" t="s">
        <v>9185</v>
      </c>
      <c r="D128" s="3657"/>
      <c r="E128" s="2653" t="s">
        <v>3936</v>
      </c>
      <c r="F128" s="3340"/>
      <c r="G128" s="3709"/>
      <c r="H128" s="3676"/>
      <c r="I128" s="3679"/>
      <c r="J128" s="3682"/>
      <c r="K128" s="3685"/>
      <c r="L128" s="3521"/>
      <c r="M128" s="3690"/>
      <c r="N128" s="3693"/>
      <c r="O128" s="3696"/>
      <c r="P128" s="3699"/>
      <c r="Q128" s="3702"/>
      <c r="R128" s="3663"/>
      <c r="S128" s="3343"/>
      <c r="T128" s="3340"/>
      <c r="U128" s="3343"/>
      <c r="V128" s="3340"/>
      <c r="W128" s="3343"/>
      <c r="X128" s="3734"/>
      <c r="Y128" s="3716"/>
      <c r="Z128" s="3507"/>
      <c r="AA128" s="3712"/>
      <c r="AB128" s="3782"/>
      <c r="AC128" s="3214"/>
      <c r="AD128" s="3535"/>
      <c r="AE128" s="3021"/>
      <c r="AG128">
        <v>0</v>
      </c>
      <c r="AH128" s="1366">
        <f t="shared" si="12"/>
        <v>0</v>
      </c>
      <c r="AJ128" s="2367">
        <f t="shared" si="13"/>
        <v>0</v>
      </c>
      <c r="AK128" s="2367">
        <f t="shared" si="14"/>
        <v>0</v>
      </c>
      <c r="AL128" s="123" t="str">
        <f t="shared" si="15"/>
        <v>무부하 랙</v>
      </c>
      <c r="AR128" s="123"/>
      <c r="AS128" s="123"/>
      <c r="AU128" s="3084"/>
      <c r="AV128" s="123"/>
      <c r="AW128" s="123"/>
      <c r="AX128" s="3085"/>
      <c r="AY128" s="3086"/>
      <c r="AZ128" s="3087"/>
      <c r="BA128" s="3088"/>
      <c r="BB128" s="3089"/>
      <c r="BC128" s="3090"/>
      <c r="BD128" s="123"/>
    </row>
    <row r="129" spans="1:56">
      <c r="A129" s="3728"/>
      <c r="B129" s="2654" t="s">
        <v>1551</v>
      </c>
      <c r="C129" s="1142"/>
      <c r="D129" s="3657"/>
      <c r="E129" s="250" t="s">
        <v>3937</v>
      </c>
      <c r="F129" s="3340"/>
      <c r="G129" s="3709"/>
      <c r="H129" s="3676"/>
      <c r="I129" s="3679"/>
      <c r="J129" s="3682"/>
      <c r="K129" s="3685"/>
      <c r="L129" s="3521"/>
      <c r="M129" s="3690"/>
      <c r="N129" s="3693"/>
      <c r="O129" s="3696"/>
      <c r="P129" s="3699"/>
      <c r="Q129" s="3702"/>
      <c r="R129" s="3663"/>
      <c r="S129" s="3343"/>
      <c r="T129" s="3340"/>
      <c r="U129" s="3343"/>
      <c r="V129" s="3340"/>
      <c r="W129" s="3343"/>
      <c r="X129" s="3734"/>
      <c r="Y129" s="3716"/>
      <c r="Z129" s="3507"/>
      <c r="AA129" s="3712"/>
      <c r="AB129" s="3782"/>
      <c r="AC129" s="3214"/>
      <c r="AD129" s="3535"/>
      <c r="AE129" s="3021"/>
      <c r="AG129">
        <v>0</v>
      </c>
      <c r="AH129" s="1366">
        <f t="shared" si="12"/>
        <v>0</v>
      </c>
      <c r="AJ129" s="2367">
        <f t="shared" si="13"/>
        <v>0</v>
      </c>
      <c r="AK129" s="2367">
        <f t="shared" si="14"/>
        <v>0</v>
      </c>
      <c r="AL129" s="123" t="str">
        <f t="shared" si="15"/>
        <v>무부하 랙</v>
      </c>
      <c r="AR129" s="123"/>
      <c r="AS129" s="123"/>
      <c r="AU129" s="3084"/>
      <c r="AV129" s="123"/>
      <c r="AW129" s="123"/>
      <c r="AX129" s="3085"/>
      <c r="AY129" s="3086"/>
      <c r="AZ129" s="3087"/>
      <c r="BA129" s="3088"/>
      <c r="BB129" s="3089"/>
      <c r="BC129" s="3090"/>
      <c r="BD129" s="123"/>
    </row>
    <row r="130" spans="1:56" ht="21.6">
      <c r="A130" s="3728"/>
      <c r="B130" s="2654" t="s">
        <v>1557</v>
      </c>
      <c r="C130" s="1142" t="s">
        <v>9185</v>
      </c>
      <c r="D130" s="3657"/>
      <c r="E130" s="2653" t="s">
        <v>3938</v>
      </c>
      <c r="F130" s="3340"/>
      <c r="G130" s="3709"/>
      <c r="H130" s="3676"/>
      <c r="I130" s="3679"/>
      <c r="J130" s="3682"/>
      <c r="K130" s="3685"/>
      <c r="L130" s="3521"/>
      <c r="M130" s="3690"/>
      <c r="N130" s="3693"/>
      <c r="O130" s="3696"/>
      <c r="P130" s="3699"/>
      <c r="Q130" s="3702"/>
      <c r="R130" s="3663"/>
      <c r="S130" s="3343"/>
      <c r="T130" s="3340"/>
      <c r="U130" s="3343"/>
      <c r="V130" s="3340"/>
      <c r="W130" s="3343"/>
      <c r="X130" s="3734"/>
      <c r="Y130" s="3716"/>
      <c r="Z130" s="3507"/>
      <c r="AA130" s="3712"/>
      <c r="AB130" s="3782"/>
      <c r="AC130" s="3214"/>
      <c r="AD130" s="3535"/>
      <c r="AE130" s="3021"/>
      <c r="AG130">
        <v>0</v>
      </c>
      <c r="AH130" s="1366">
        <f t="shared" si="12"/>
        <v>0</v>
      </c>
      <c r="AJ130" s="2367">
        <f t="shared" si="13"/>
        <v>0</v>
      </c>
      <c r="AK130" s="2367">
        <f t="shared" si="14"/>
        <v>0</v>
      </c>
      <c r="AL130" s="123" t="str">
        <f t="shared" si="15"/>
        <v>무부하 랙</v>
      </c>
      <c r="AR130" s="123"/>
      <c r="AS130" s="123"/>
      <c r="AU130" s="3084"/>
      <c r="AV130" s="123"/>
      <c r="AW130" s="123"/>
      <c r="AX130" s="3085"/>
      <c r="AY130" s="3086"/>
      <c r="AZ130" s="3087"/>
      <c r="BA130" s="3088"/>
      <c r="BB130" s="3089"/>
      <c r="BC130" s="3090"/>
      <c r="BD130" s="123"/>
    </row>
    <row r="131" spans="1:56" ht="21.6">
      <c r="A131" s="3728"/>
      <c r="B131" s="2654" t="s">
        <v>1563</v>
      </c>
      <c r="C131" s="1142" t="s">
        <v>9185</v>
      </c>
      <c r="D131" s="3657"/>
      <c r="E131" s="2653" t="s">
        <v>3939</v>
      </c>
      <c r="F131" s="3340"/>
      <c r="G131" s="3709"/>
      <c r="H131" s="3676"/>
      <c r="I131" s="3679"/>
      <c r="J131" s="3682"/>
      <c r="K131" s="3685"/>
      <c r="L131" s="3521"/>
      <c r="M131" s="3690"/>
      <c r="N131" s="3693"/>
      <c r="O131" s="3696"/>
      <c r="P131" s="3699"/>
      <c r="Q131" s="3702"/>
      <c r="R131" s="3663"/>
      <c r="S131" s="3343"/>
      <c r="T131" s="3340"/>
      <c r="U131" s="3343"/>
      <c r="V131" s="3340"/>
      <c r="W131" s="3343"/>
      <c r="X131" s="3734"/>
      <c r="Y131" s="3716"/>
      <c r="Z131" s="3507"/>
      <c r="AA131" s="3712"/>
      <c r="AB131" s="3782"/>
      <c r="AC131" s="3214"/>
      <c r="AD131" s="3535"/>
      <c r="AE131" s="3021"/>
      <c r="AG131">
        <v>0</v>
      </c>
      <c r="AH131" s="1366">
        <f t="shared" si="12"/>
        <v>0</v>
      </c>
      <c r="AJ131" s="2367">
        <f t="shared" si="13"/>
        <v>0</v>
      </c>
      <c r="AK131" s="2367">
        <f t="shared" si="14"/>
        <v>0</v>
      </c>
      <c r="AL131" s="123" t="str">
        <f t="shared" si="15"/>
        <v>무부하 랙</v>
      </c>
      <c r="AR131" s="123"/>
      <c r="AS131" s="123"/>
      <c r="AU131" s="3084"/>
      <c r="AV131" s="123"/>
      <c r="AW131" s="123"/>
      <c r="AX131" s="3085"/>
      <c r="AY131" s="3086"/>
      <c r="AZ131" s="3087"/>
      <c r="BA131" s="3088"/>
      <c r="BB131" s="3089"/>
      <c r="BC131" s="3090"/>
      <c r="BD131" s="123"/>
    </row>
    <row r="132" spans="1:56">
      <c r="A132" s="3728"/>
      <c r="B132" s="2654" t="s">
        <v>1569</v>
      </c>
      <c r="C132" s="1142"/>
      <c r="D132" s="3657"/>
      <c r="E132" s="250" t="s">
        <v>3940</v>
      </c>
      <c r="F132" s="3340"/>
      <c r="G132" s="3709"/>
      <c r="H132" s="3676"/>
      <c r="I132" s="3679"/>
      <c r="J132" s="3682"/>
      <c r="K132" s="3685"/>
      <c r="L132" s="3521"/>
      <c r="M132" s="3690"/>
      <c r="N132" s="3693"/>
      <c r="O132" s="3696"/>
      <c r="P132" s="3699"/>
      <c r="Q132" s="3702"/>
      <c r="R132" s="3663"/>
      <c r="S132" s="3343"/>
      <c r="T132" s="3340"/>
      <c r="U132" s="3343"/>
      <c r="V132" s="3340"/>
      <c r="W132" s="3343"/>
      <c r="X132" s="3734"/>
      <c r="Y132" s="3716"/>
      <c r="Z132" s="3507"/>
      <c r="AA132" s="3712"/>
      <c r="AB132" s="3782"/>
      <c r="AC132" s="3214"/>
      <c r="AD132" s="3535"/>
      <c r="AE132" s="3021" t="s">
        <v>3931</v>
      </c>
      <c r="AG132">
        <v>0</v>
      </c>
      <c r="AH132" s="1366">
        <f t="shared" si="12"/>
        <v>0</v>
      </c>
      <c r="AJ132" s="2367">
        <f t="shared" si="13"/>
        <v>0</v>
      </c>
      <c r="AK132" s="2367">
        <f t="shared" si="14"/>
        <v>0</v>
      </c>
      <c r="AL132" s="123" t="str">
        <f t="shared" si="15"/>
        <v>무부하 랙</v>
      </c>
      <c r="AR132" s="123"/>
      <c r="AS132" s="123"/>
      <c r="AU132" s="3084"/>
      <c r="AV132" s="123"/>
      <c r="AW132" s="123"/>
      <c r="AX132" s="3085"/>
      <c r="AY132" s="3086"/>
      <c r="AZ132" s="3087"/>
      <c r="BA132" s="3088"/>
      <c r="BB132" s="3089"/>
      <c r="BC132" s="3090"/>
      <c r="BD132" s="123"/>
    </row>
    <row r="133" spans="1:56" ht="15" thickBot="1">
      <c r="A133" s="3729"/>
      <c r="B133" s="1132" t="s">
        <v>3941</v>
      </c>
      <c r="C133" s="1143"/>
      <c r="D133" s="3658"/>
      <c r="E133" s="2661" t="s">
        <v>3942</v>
      </c>
      <c r="F133" s="3341"/>
      <c r="G133" s="3710"/>
      <c r="H133" s="3677"/>
      <c r="I133" s="3680"/>
      <c r="J133" s="3683"/>
      <c r="K133" s="3686"/>
      <c r="L133" s="3688"/>
      <c r="M133" s="3691"/>
      <c r="N133" s="3694"/>
      <c r="O133" s="3697"/>
      <c r="P133" s="3700"/>
      <c r="Q133" s="3703"/>
      <c r="R133" s="3664"/>
      <c r="S133" s="3344"/>
      <c r="T133" s="3341"/>
      <c r="U133" s="3344"/>
      <c r="V133" s="3341"/>
      <c r="W133" s="3344"/>
      <c r="X133" s="3735"/>
      <c r="Y133" s="3717"/>
      <c r="Z133" s="3514"/>
      <c r="AA133" s="3713"/>
      <c r="AB133" s="3783"/>
      <c r="AC133" s="3214"/>
      <c r="AD133" s="3543"/>
      <c r="AE133" s="2506" t="s">
        <v>3931</v>
      </c>
      <c r="AG133">
        <v>0</v>
      </c>
      <c r="AH133" s="1366">
        <f t="shared" ref="AH133:AH196" si="20">Z133-AG133</f>
        <v>0</v>
      </c>
      <c r="AJ133" s="2367">
        <f t="shared" ref="AJ133:AJ196" si="21">AD133/(24*31)</f>
        <v>0</v>
      </c>
      <c r="AK133" s="2367">
        <f t="shared" ref="AK133:AK196" si="22">D133-AJ133</f>
        <v>0</v>
      </c>
      <c r="AL133" s="123" t="str">
        <f t="shared" ref="AL133:AL196" si="23">IF(SIGN(AK133)&gt;=0,IF(AD133=0,"무부하 랙","적정함"),"사용초과")</f>
        <v>무부하 랙</v>
      </c>
      <c r="AR133" s="123"/>
      <c r="AS133" s="123"/>
      <c r="AU133" s="3084"/>
      <c r="AV133" s="123"/>
      <c r="AW133" s="123"/>
      <c r="AX133" s="3085"/>
      <c r="AY133" s="3086"/>
      <c r="AZ133" s="3087"/>
      <c r="BA133" s="3088"/>
      <c r="BB133" s="3089"/>
      <c r="BC133" s="3090"/>
      <c r="BD133" s="123"/>
    </row>
    <row r="134" spans="1:56" ht="22.2" thickTop="1">
      <c r="A134" s="3727" t="s">
        <v>3899</v>
      </c>
      <c r="B134" s="1131" t="s">
        <v>513</v>
      </c>
      <c r="C134" s="1141" t="s">
        <v>9186</v>
      </c>
      <c r="D134" s="3730">
        <f>2.2*2+1.1</f>
        <v>5.5</v>
      </c>
      <c r="E134" s="996" t="s">
        <v>3913</v>
      </c>
      <c r="F134" s="3354" t="s">
        <v>3914</v>
      </c>
      <c r="G134" s="3708" t="s">
        <v>3915</v>
      </c>
      <c r="H134" s="3675" t="str">
        <f>"4-DaHall 1-PDU-"&amp;L134&amp;"-"&amp;K134&amp;"-"&amp;M134</f>
        <v>4-DaHall 1-PDU-06-100-3</v>
      </c>
      <c r="I134" s="3678" t="str">
        <f>"4-DaHall 1-PDU-"&amp;P134&amp;"-"&amp;O134&amp;"-"&amp;Q134</f>
        <v>4-DaHall 1-PDU-05-100-3</v>
      </c>
      <c r="J134" s="3681">
        <v>220</v>
      </c>
      <c r="K134" s="3684">
        <v>100</v>
      </c>
      <c r="L134" s="3687" t="s">
        <v>6502</v>
      </c>
      <c r="M134" s="3689">
        <v>3</v>
      </c>
      <c r="N134" s="3692">
        <v>220</v>
      </c>
      <c r="O134" s="3695">
        <v>100</v>
      </c>
      <c r="P134" s="3698" t="s">
        <v>6491</v>
      </c>
      <c r="Q134" s="3701">
        <v>3</v>
      </c>
      <c r="R134" s="3662" t="s">
        <v>3886</v>
      </c>
      <c r="S134" s="3345" t="s">
        <v>3887</v>
      </c>
      <c r="T134" s="3354" t="s">
        <v>3888</v>
      </c>
      <c r="U134" s="3345" t="s">
        <v>3889</v>
      </c>
      <c r="V134" s="3354" t="s">
        <v>3744</v>
      </c>
      <c r="W134" s="3345" t="s">
        <v>3749</v>
      </c>
      <c r="X134" s="3733">
        <f>SUM('4층_부하량(월간_AVG)'!D21:F21)</f>
        <v>8.9390094684596821</v>
      </c>
      <c r="Y134" s="3715">
        <f>SUM('4층_부하량(월간_AVG)'!N50:P50)</f>
        <v>7.7166178191024724</v>
      </c>
      <c r="Z134" s="3736">
        <f t="shared" ref="Z134" si="24">SUM(X134:Y134)</f>
        <v>16.655627287562154</v>
      </c>
      <c r="AA134" s="3711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</v>
      </c>
      <c r="AB134" s="3781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1150.5999999999999</v>
      </c>
      <c r="AC134" s="3214" t="e" cm="1">
        <f t="array" ref="AC134">INDEX('각층분기별_유효전력최대(전월)'!A131:A2149,MATCH(1,("4-DaHall 1-PDU-02"='각층분기별_유효전력최대(전월)'!B133:B2149)*("[branch#001] [A] kWh last month"='각층분기별_유효전력최대(전월)'!C133:C2149),0))</f>
        <v>#N/A</v>
      </c>
      <c r="AD134" s="3804">
        <f>SUM(AA134:AB144)</f>
        <v>2547.6</v>
      </c>
      <c r="AE134" s="2500"/>
      <c r="AG134">
        <v>17.399999999999999</v>
      </c>
      <c r="AH134" s="1366">
        <f t="shared" si="20"/>
        <v>-0.74437271243784409</v>
      </c>
      <c r="AJ134" s="2367">
        <f t="shared" si="21"/>
        <v>3.4241935483870964</v>
      </c>
      <c r="AK134" s="2367">
        <f t="shared" si="22"/>
        <v>2.0758064516129036</v>
      </c>
      <c r="AL134" s="123" t="str">
        <f t="shared" si="23"/>
        <v>적정함</v>
      </c>
      <c r="AR134" s="123"/>
      <c r="AS134" s="123"/>
      <c r="AU134" s="3084"/>
      <c r="AV134" s="123"/>
      <c r="AW134" s="123"/>
      <c r="AX134" s="3085"/>
      <c r="AY134" s="3086"/>
      <c r="AZ134" s="3087"/>
      <c r="BA134" s="3088"/>
      <c r="BB134" s="3089"/>
      <c r="BC134" s="3090"/>
      <c r="BD134" s="123"/>
    </row>
    <row r="135" spans="1:56">
      <c r="A135" s="3728"/>
      <c r="B135" s="2654" t="s">
        <v>1456</v>
      </c>
      <c r="C135" s="1142"/>
      <c r="D135" s="3731"/>
      <c r="E135" s="250" t="s">
        <v>3916</v>
      </c>
      <c r="F135" s="3340"/>
      <c r="G135" s="3709"/>
      <c r="H135" s="3676"/>
      <c r="I135" s="3679"/>
      <c r="J135" s="3682"/>
      <c r="K135" s="3685"/>
      <c r="L135" s="3521"/>
      <c r="M135" s="3690"/>
      <c r="N135" s="3693"/>
      <c r="O135" s="3696"/>
      <c r="P135" s="3699"/>
      <c r="Q135" s="3702"/>
      <c r="R135" s="3663"/>
      <c r="S135" s="3343"/>
      <c r="T135" s="3340"/>
      <c r="U135" s="3343"/>
      <c r="V135" s="3340"/>
      <c r="W135" s="3343"/>
      <c r="X135" s="3734"/>
      <c r="Y135" s="3716"/>
      <c r="Z135" s="3737"/>
      <c r="AA135" s="3712"/>
      <c r="AB135" s="3782"/>
      <c r="AC135" s="3214"/>
      <c r="AD135" s="3805"/>
      <c r="AE135" s="2501"/>
      <c r="AG135">
        <v>0</v>
      </c>
      <c r="AH135" s="1366">
        <f t="shared" si="20"/>
        <v>0</v>
      </c>
      <c r="AJ135" s="2367">
        <f t="shared" si="21"/>
        <v>0</v>
      </c>
      <c r="AK135" s="2367">
        <f t="shared" si="22"/>
        <v>0</v>
      </c>
      <c r="AL135" s="123" t="str">
        <f t="shared" si="23"/>
        <v>무부하 랙</v>
      </c>
      <c r="AR135" s="123"/>
      <c r="AS135" s="123"/>
      <c r="AU135" s="3084"/>
      <c r="AV135" s="123"/>
      <c r="AW135" s="123"/>
      <c r="AX135" s="3085"/>
      <c r="AY135" s="3086"/>
      <c r="AZ135" s="3087"/>
      <c r="BA135" s="3088"/>
      <c r="BB135" s="3089"/>
      <c r="BC135" s="3090"/>
      <c r="BD135" s="123"/>
    </row>
    <row r="136" spans="1:56" ht="32.4">
      <c r="A136" s="3728"/>
      <c r="B136" s="2654" t="s">
        <v>1467</v>
      </c>
      <c r="C136" s="1142" t="s">
        <v>9202</v>
      </c>
      <c r="D136" s="3731"/>
      <c r="E136" s="2653" t="s">
        <v>3918</v>
      </c>
      <c r="F136" s="3340"/>
      <c r="G136" s="3709"/>
      <c r="H136" s="3676"/>
      <c r="I136" s="3679"/>
      <c r="J136" s="3682"/>
      <c r="K136" s="3685"/>
      <c r="L136" s="3521"/>
      <c r="M136" s="3690"/>
      <c r="N136" s="3693"/>
      <c r="O136" s="3696"/>
      <c r="P136" s="3699"/>
      <c r="Q136" s="3702"/>
      <c r="R136" s="3663"/>
      <c r="S136" s="3343"/>
      <c r="T136" s="3340"/>
      <c r="U136" s="3343"/>
      <c r="V136" s="3340"/>
      <c r="W136" s="3343"/>
      <c r="X136" s="3734"/>
      <c r="Y136" s="3716"/>
      <c r="Z136" s="3737"/>
      <c r="AA136" s="3712"/>
      <c r="AB136" s="3782"/>
      <c r="AC136" s="3214"/>
      <c r="AD136" s="3805"/>
      <c r="AE136" s="2501"/>
      <c r="AG136">
        <v>0</v>
      </c>
      <c r="AH136" s="1366">
        <f t="shared" si="20"/>
        <v>0</v>
      </c>
      <c r="AJ136" s="2367">
        <f t="shared" si="21"/>
        <v>0</v>
      </c>
      <c r="AK136" s="2367">
        <f t="shared" si="22"/>
        <v>0</v>
      </c>
      <c r="AL136" s="123" t="str">
        <f t="shared" si="23"/>
        <v>무부하 랙</v>
      </c>
      <c r="AR136" s="123"/>
      <c r="AS136" s="123"/>
      <c r="AU136" s="3084"/>
      <c r="AV136" s="123"/>
      <c r="AW136" s="123"/>
      <c r="AX136" s="3085"/>
      <c r="AY136" s="3086"/>
      <c r="AZ136" s="3087"/>
      <c r="BA136" s="3088"/>
      <c r="BB136" s="3089"/>
      <c r="BC136" s="3090"/>
      <c r="BD136" s="123"/>
    </row>
    <row r="137" spans="1:56" ht="32.4">
      <c r="A137" s="3728"/>
      <c r="B137" s="2654" t="s">
        <v>1474</v>
      </c>
      <c r="C137" s="1142" t="s">
        <v>9202</v>
      </c>
      <c r="D137" s="3731"/>
      <c r="E137" s="2653" t="s">
        <v>3919</v>
      </c>
      <c r="F137" s="3340"/>
      <c r="G137" s="3709"/>
      <c r="H137" s="3676"/>
      <c r="I137" s="3679"/>
      <c r="J137" s="3682"/>
      <c r="K137" s="3685"/>
      <c r="L137" s="3521"/>
      <c r="M137" s="3690"/>
      <c r="N137" s="3693"/>
      <c r="O137" s="3696"/>
      <c r="P137" s="3699"/>
      <c r="Q137" s="3702"/>
      <c r="R137" s="3663"/>
      <c r="S137" s="3343"/>
      <c r="T137" s="3340"/>
      <c r="U137" s="3343"/>
      <c r="V137" s="3340"/>
      <c r="W137" s="3343"/>
      <c r="X137" s="3734"/>
      <c r="Y137" s="3716"/>
      <c r="Z137" s="3737"/>
      <c r="AA137" s="3712"/>
      <c r="AB137" s="3782"/>
      <c r="AC137" s="3214"/>
      <c r="AD137" s="3805"/>
      <c r="AE137" s="2501"/>
      <c r="AG137">
        <v>0</v>
      </c>
      <c r="AH137" s="1366">
        <f t="shared" si="20"/>
        <v>0</v>
      </c>
      <c r="AJ137" s="2367">
        <f t="shared" si="21"/>
        <v>0</v>
      </c>
      <c r="AK137" s="2367">
        <f t="shared" si="22"/>
        <v>0</v>
      </c>
      <c r="AL137" s="123" t="str">
        <f t="shared" si="23"/>
        <v>무부하 랙</v>
      </c>
      <c r="AR137" s="123"/>
      <c r="AS137" s="123"/>
      <c r="AU137" s="3084"/>
      <c r="AV137" s="123"/>
      <c r="AW137" s="123"/>
      <c r="AX137" s="3085"/>
      <c r="AY137" s="3086"/>
      <c r="AZ137" s="3087"/>
      <c r="BA137" s="3088"/>
      <c r="BB137" s="3089"/>
      <c r="BC137" s="3090"/>
      <c r="BD137" s="123"/>
    </row>
    <row r="138" spans="1:56">
      <c r="A138" s="3728"/>
      <c r="B138" s="2654" t="s">
        <v>1480</v>
      </c>
      <c r="C138" s="1142"/>
      <c r="D138" s="3731"/>
      <c r="E138" s="250" t="s">
        <v>3920</v>
      </c>
      <c r="F138" s="3340"/>
      <c r="G138" s="3709"/>
      <c r="H138" s="3676"/>
      <c r="I138" s="3679"/>
      <c r="J138" s="3682"/>
      <c r="K138" s="3685"/>
      <c r="L138" s="3521"/>
      <c r="M138" s="3690"/>
      <c r="N138" s="3693"/>
      <c r="O138" s="3696"/>
      <c r="P138" s="3699"/>
      <c r="Q138" s="3702"/>
      <c r="R138" s="3663"/>
      <c r="S138" s="3343"/>
      <c r="T138" s="3340"/>
      <c r="U138" s="3343"/>
      <c r="V138" s="3340"/>
      <c r="W138" s="3343"/>
      <c r="X138" s="3734"/>
      <c r="Y138" s="3716"/>
      <c r="Z138" s="3737"/>
      <c r="AA138" s="3712"/>
      <c r="AB138" s="3782"/>
      <c r="AC138" s="3214"/>
      <c r="AD138" s="3805"/>
      <c r="AE138" s="2501"/>
      <c r="AG138">
        <v>0</v>
      </c>
      <c r="AH138" s="1366">
        <f t="shared" si="20"/>
        <v>0</v>
      </c>
      <c r="AJ138" s="2367">
        <f t="shared" si="21"/>
        <v>0</v>
      </c>
      <c r="AK138" s="2367">
        <f t="shared" si="22"/>
        <v>0</v>
      </c>
      <c r="AL138" s="123" t="str">
        <f t="shared" si="23"/>
        <v>무부하 랙</v>
      </c>
      <c r="AR138" s="123"/>
      <c r="AS138" s="123"/>
      <c r="AU138" s="3084"/>
      <c r="AV138" s="123"/>
      <c r="AW138" s="123"/>
      <c r="AX138" s="3085"/>
      <c r="AY138" s="3086"/>
      <c r="AZ138" s="3087"/>
      <c r="BA138" s="3088"/>
      <c r="BB138" s="3089"/>
      <c r="BC138" s="3090"/>
      <c r="BD138" s="123"/>
    </row>
    <row r="139" spans="1:56" ht="32.4">
      <c r="A139" s="3728"/>
      <c r="B139" s="2654" t="s">
        <v>1486</v>
      </c>
      <c r="C139" s="1142" t="s">
        <v>9202</v>
      </c>
      <c r="D139" s="3731"/>
      <c r="E139" s="2653" t="s">
        <v>3921</v>
      </c>
      <c r="F139" s="3340"/>
      <c r="G139" s="3709"/>
      <c r="H139" s="3676"/>
      <c r="I139" s="3679"/>
      <c r="J139" s="3682"/>
      <c r="K139" s="3685"/>
      <c r="L139" s="3521"/>
      <c r="M139" s="3690"/>
      <c r="N139" s="3693"/>
      <c r="O139" s="3696"/>
      <c r="P139" s="3699"/>
      <c r="Q139" s="3702"/>
      <c r="R139" s="3663"/>
      <c r="S139" s="3343"/>
      <c r="T139" s="3340"/>
      <c r="U139" s="3343"/>
      <c r="V139" s="3340"/>
      <c r="W139" s="3343"/>
      <c r="X139" s="3734"/>
      <c r="Y139" s="3716"/>
      <c r="Z139" s="3737"/>
      <c r="AA139" s="3712"/>
      <c r="AB139" s="3782"/>
      <c r="AC139" s="3214"/>
      <c r="AD139" s="3805"/>
      <c r="AE139" s="2501"/>
      <c r="AG139">
        <v>0</v>
      </c>
      <c r="AH139" s="1366">
        <f t="shared" si="20"/>
        <v>0</v>
      </c>
      <c r="AJ139" s="2367">
        <f t="shared" si="21"/>
        <v>0</v>
      </c>
      <c r="AK139" s="2367">
        <f t="shared" si="22"/>
        <v>0</v>
      </c>
      <c r="AL139" s="123" t="str">
        <f t="shared" si="23"/>
        <v>무부하 랙</v>
      </c>
      <c r="AR139" s="123"/>
      <c r="AS139" s="123"/>
      <c r="AU139" s="3084"/>
      <c r="AV139" s="123"/>
      <c r="AW139" s="123"/>
      <c r="AX139" s="3085"/>
      <c r="AY139" s="3086"/>
      <c r="AZ139" s="3087"/>
      <c r="BA139" s="3088"/>
      <c r="BB139" s="3089"/>
      <c r="BC139" s="3090"/>
      <c r="BD139" s="123"/>
    </row>
    <row r="140" spans="1:56">
      <c r="A140" s="3728"/>
      <c r="B140" s="2654" t="s">
        <v>1493</v>
      </c>
      <c r="C140" s="1142"/>
      <c r="D140" s="3731"/>
      <c r="E140" s="250" t="s">
        <v>3922</v>
      </c>
      <c r="F140" s="3340"/>
      <c r="G140" s="3709"/>
      <c r="H140" s="3676"/>
      <c r="I140" s="3679"/>
      <c r="J140" s="3682"/>
      <c r="K140" s="3685"/>
      <c r="L140" s="3521"/>
      <c r="M140" s="3690"/>
      <c r="N140" s="3693"/>
      <c r="O140" s="3696"/>
      <c r="P140" s="3699"/>
      <c r="Q140" s="3702"/>
      <c r="R140" s="3663"/>
      <c r="S140" s="3343"/>
      <c r="T140" s="3340"/>
      <c r="U140" s="3343"/>
      <c r="V140" s="3340"/>
      <c r="W140" s="3343"/>
      <c r="X140" s="3734"/>
      <c r="Y140" s="3716"/>
      <c r="Z140" s="3737"/>
      <c r="AA140" s="3712"/>
      <c r="AB140" s="3782"/>
      <c r="AC140" s="3214"/>
      <c r="AD140" s="3805"/>
      <c r="AE140" s="2501"/>
      <c r="AG140">
        <v>0</v>
      </c>
      <c r="AH140" s="1366">
        <f t="shared" si="20"/>
        <v>0</v>
      </c>
      <c r="AJ140" s="2367">
        <f t="shared" si="21"/>
        <v>0</v>
      </c>
      <c r="AK140" s="2367">
        <f t="shared" si="22"/>
        <v>0</v>
      </c>
      <c r="AL140" s="123" t="str">
        <f t="shared" si="23"/>
        <v>무부하 랙</v>
      </c>
      <c r="AR140" s="123"/>
      <c r="AS140" s="123"/>
      <c r="AU140" s="3084"/>
      <c r="AV140" s="123"/>
      <c r="AW140" s="123"/>
      <c r="AX140" s="3085"/>
      <c r="AY140" s="3086"/>
      <c r="AZ140" s="3087"/>
      <c r="BA140" s="3088"/>
      <c r="BB140" s="3089"/>
      <c r="BC140" s="3090"/>
      <c r="BD140" s="123"/>
    </row>
    <row r="141" spans="1:56">
      <c r="A141" s="3728"/>
      <c r="B141" s="2654" t="s">
        <v>1499</v>
      </c>
      <c r="C141" s="1142"/>
      <c r="D141" s="3731"/>
      <c r="E141" s="250" t="s">
        <v>3923</v>
      </c>
      <c r="F141" s="3340"/>
      <c r="G141" s="3709"/>
      <c r="H141" s="3676"/>
      <c r="I141" s="3679"/>
      <c r="J141" s="3682"/>
      <c r="K141" s="3685"/>
      <c r="L141" s="3521"/>
      <c r="M141" s="3690"/>
      <c r="N141" s="3693"/>
      <c r="O141" s="3696"/>
      <c r="P141" s="3699"/>
      <c r="Q141" s="3702"/>
      <c r="R141" s="3663"/>
      <c r="S141" s="3343"/>
      <c r="T141" s="3340"/>
      <c r="U141" s="3343"/>
      <c r="V141" s="3340"/>
      <c r="W141" s="3343"/>
      <c r="X141" s="3734"/>
      <c r="Y141" s="3716"/>
      <c r="Z141" s="3737"/>
      <c r="AA141" s="3712"/>
      <c r="AB141" s="3782"/>
      <c r="AC141" s="3214"/>
      <c r="AD141" s="3805"/>
      <c r="AE141" s="2501"/>
      <c r="AG141">
        <v>0</v>
      </c>
      <c r="AH141" s="1366">
        <f t="shared" si="20"/>
        <v>0</v>
      </c>
      <c r="AJ141" s="2367">
        <f t="shared" si="21"/>
        <v>0</v>
      </c>
      <c r="AK141" s="2367">
        <f t="shared" si="22"/>
        <v>0</v>
      </c>
      <c r="AL141" s="123" t="str">
        <f t="shared" si="23"/>
        <v>무부하 랙</v>
      </c>
      <c r="AR141" s="123"/>
      <c r="AS141" s="123"/>
      <c r="AU141" s="3084"/>
      <c r="AV141" s="123"/>
      <c r="AW141" s="123"/>
      <c r="AX141" s="3085"/>
      <c r="AY141" s="3086"/>
      <c r="AZ141" s="3087"/>
      <c r="BA141" s="3088"/>
      <c r="BB141" s="3089"/>
      <c r="BC141" s="3090"/>
      <c r="BD141" s="123"/>
    </row>
    <row r="142" spans="1:56">
      <c r="A142" s="3728"/>
      <c r="B142" s="2654" t="s">
        <v>1505</v>
      </c>
      <c r="C142" s="1142"/>
      <c r="D142" s="3731"/>
      <c r="E142" s="250" t="s">
        <v>3924</v>
      </c>
      <c r="F142" s="3340"/>
      <c r="G142" s="3709"/>
      <c r="H142" s="3676"/>
      <c r="I142" s="3679"/>
      <c r="J142" s="3682"/>
      <c r="K142" s="3685"/>
      <c r="L142" s="3521"/>
      <c r="M142" s="3690"/>
      <c r="N142" s="3693"/>
      <c r="O142" s="3696"/>
      <c r="P142" s="3699"/>
      <c r="Q142" s="3702"/>
      <c r="R142" s="3663"/>
      <c r="S142" s="3343"/>
      <c r="T142" s="3340"/>
      <c r="U142" s="3343"/>
      <c r="V142" s="3340"/>
      <c r="W142" s="3343"/>
      <c r="X142" s="3734"/>
      <c r="Y142" s="3716"/>
      <c r="Z142" s="3737"/>
      <c r="AA142" s="3712"/>
      <c r="AB142" s="3782"/>
      <c r="AC142" s="3214"/>
      <c r="AD142" s="3805"/>
      <c r="AE142" s="2501"/>
      <c r="AG142">
        <v>0</v>
      </c>
      <c r="AH142" s="1366">
        <f t="shared" si="20"/>
        <v>0</v>
      </c>
      <c r="AJ142" s="2367">
        <f t="shared" si="21"/>
        <v>0</v>
      </c>
      <c r="AK142" s="2367">
        <f t="shared" si="22"/>
        <v>0</v>
      </c>
      <c r="AL142" s="123" t="str">
        <f t="shared" si="23"/>
        <v>무부하 랙</v>
      </c>
      <c r="AR142" s="123"/>
      <c r="AS142" s="123"/>
      <c r="AU142" s="3084"/>
      <c r="AV142" s="123"/>
      <c r="AW142" s="123"/>
      <c r="AX142" s="3085"/>
      <c r="AY142" s="3086"/>
      <c r="AZ142" s="3087"/>
      <c r="BA142" s="3088"/>
      <c r="BB142" s="3089"/>
      <c r="BC142" s="3090"/>
      <c r="BD142" s="123"/>
    </row>
    <row r="143" spans="1:56">
      <c r="A143" s="3728"/>
      <c r="B143" s="2654" t="s">
        <v>1513</v>
      </c>
      <c r="C143" s="1142"/>
      <c r="D143" s="3731"/>
      <c r="E143" s="250" t="s">
        <v>3925</v>
      </c>
      <c r="F143" s="3340"/>
      <c r="G143" s="3709"/>
      <c r="H143" s="3676"/>
      <c r="I143" s="3679"/>
      <c r="J143" s="3682"/>
      <c r="K143" s="3685"/>
      <c r="L143" s="3521"/>
      <c r="M143" s="3690"/>
      <c r="N143" s="3693"/>
      <c r="O143" s="3696"/>
      <c r="P143" s="3699"/>
      <c r="Q143" s="3702"/>
      <c r="R143" s="3663"/>
      <c r="S143" s="3343"/>
      <c r="T143" s="3340"/>
      <c r="U143" s="3343"/>
      <c r="V143" s="3340"/>
      <c r="W143" s="3343"/>
      <c r="X143" s="3734"/>
      <c r="Y143" s="3716"/>
      <c r="Z143" s="3737"/>
      <c r="AA143" s="3712"/>
      <c r="AB143" s="3782"/>
      <c r="AC143" s="3214"/>
      <c r="AD143" s="3805"/>
      <c r="AE143" s="2501"/>
      <c r="AG143">
        <v>0</v>
      </c>
      <c r="AH143" s="1366">
        <f t="shared" si="20"/>
        <v>0</v>
      </c>
      <c r="AJ143" s="2367">
        <f t="shared" si="21"/>
        <v>0</v>
      </c>
      <c r="AK143" s="2367">
        <f t="shared" si="22"/>
        <v>0</v>
      </c>
      <c r="AL143" s="123" t="str">
        <f t="shared" si="23"/>
        <v>무부하 랙</v>
      </c>
      <c r="AR143" s="123"/>
      <c r="AS143" s="123"/>
      <c r="AU143" s="3084"/>
      <c r="AV143" s="123"/>
      <c r="AW143" s="123"/>
      <c r="AX143" s="3085"/>
      <c r="AY143" s="3086"/>
      <c r="AZ143" s="3087"/>
      <c r="BA143" s="3088"/>
      <c r="BB143" s="3089"/>
      <c r="BC143" s="3090"/>
      <c r="BD143" s="123"/>
    </row>
    <row r="144" spans="1:56" ht="15" thickBot="1">
      <c r="A144" s="3729"/>
      <c r="B144" s="1132" t="s">
        <v>3926</v>
      </c>
      <c r="C144" s="1143"/>
      <c r="D144" s="3732"/>
      <c r="E144" s="2661" t="s">
        <v>3927</v>
      </c>
      <c r="F144" s="3341"/>
      <c r="G144" s="3710"/>
      <c r="H144" s="3677"/>
      <c r="I144" s="3680"/>
      <c r="J144" s="3683"/>
      <c r="K144" s="3686"/>
      <c r="L144" s="3688"/>
      <c r="M144" s="3691"/>
      <c r="N144" s="3694"/>
      <c r="O144" s="3697"/>
      <c r="P144" s="3700"/>
      <c r="Q144" s="3703"/>
      <c r="R144" s="3664"/>
      <c r="S144" s="3344"/>
      <c r="T144" s="3341"/>
      <c r="U144" s="3344"/>
      <c r="V144" s="3341"/>
      <c r="W144" s="3344"/>
      <c r="X144" s="3735"/>
      <c r="Y144" s="3717"/>
      <c r="Z144" s="3738"/>
      <c r="AA144" s="3713"/>
      <c r="AB144" s="3783"/>
      <c r="AC144" s="3214"/>
      <c r="AD144" s="3806"/>
      <c r="AE144" s="2502"/>
      <c r="AG144">
        <v>0</v>
      </c>
      <c r="AH144" s="1366">
        <f t="shared" si="20"/>
        <v>0</v>
      </c>
      <c r="AJ144" s="2367">
        <f t="shared" si="21"/>
        <v>0</v>
      </c>
      <c r="AK144" s="2367">
        <f t="shared" si="22"/>
        <v>0</v>
      </c>
      <c r="AL144" s="123" t="str">
        <f t="shared" si="23"/>
        <v>무부하 랙</v>
      </c>
      <c r="AR144" s="123"/>
      <c r="AS144" s="123"/>
      <c r="AU144" s="3084"/>
      <c r="AV144" s="123"/>
      <c r="AW144" s="123"/>
      <c r="AX144" s="3085"/>
      <c r="AY144" s="3086"/>
      <c r="AZ144" s="3087"/>
      <c r="BA144" s="3088"/>
      <c r="BB144" s="3089"/>
      <c r="BC144" s="3090"/>
      <c r="BD144" s="123"/>
    </row>
    <row r="145" spans="1:56" ht="15" thickTop="1">
      <c r="A145" s="3727" t="s">
        <v>3882</v>
      </c>
      <c r="B145" s="1131" t="s">
        <v>1382</v>
      </c>
      <c r="C145" s="1141"/>
      <c r="D145" s="3656"/>
      <c r="E145" s="327" t="s">
        <v>3900</v>
      </c>
      <c r="F145" s="3354" t="s">
        <v>3901</v>
      </c>
      <c r="G145" s="3708" t="s">
        <v>3902</v>
      </c>
      <c r="H145" s="3675" t="str">
        <f>"4-DaHall 1-PDU-"&amp;L145&amp;"-"&amp;K145&amp;"-"&amp;M145</f>
        <v>4-DaHall 1-PDU-06-100-2</v>
      </c>
      <c r="I145" s="3678" t="str">
        <f>"4-DaHall 1-PDU-"&amp;P145&amp;"-"&amp;O145&amp;"-"&amp;Q145</f>
        <v>4-DaHall 1-PDU-05-100-2</v>
      </c>
      <c r="J145" s="3681">
        <v>220</v>
      </c>
      <c r="K145" s="3684">
        <v>100</v>
      </c>
      <c r="L145" s="3687" t="s">
        <v>6502</v>
      </c>
      <c r="M145" s="3689">
        <v>2</v>
      </c>
      <c r="N145" s="3692">
        <v>220</v>
      </c>
      <c r="O145" s="3695">
        <v>100</v>
      </c>
      <c r="P145" s="3698" t="s">
        <v>6491</v>
      </c>
      <c r="Q145" s="3701">
        <v>2</v>
      </c>
      <c r="R145" s="3662" t="s">
        <v>3886</v>
      </c>
      <c r="S145" s="3345" t="s">
        <v>3887</v>
      </c>
      <c r="T145" s="3354" t="s">
        <v>3888</v>
      </c>
      <c r="U145" s="3345" t="s">
        <v>3889</v>
      </c>
      <c r="V145" s="3354" t="s">
        <v>3744</v>
      </c>
      <c r="W145" s="3345" t="s">
        <v>3749</v>
      </c>
      <c r="X145" s="3733">
        <f>SUM('4층_부하량(월간_AVG)'!D20:F20)</f>
        <v>0</v>
      </c>
      <c r="Y145" s="3715">
        <f>SUM('4층_부하량(월간_AVG)'!N49:P49)</f>
        <v>0</v>
      </c>
      <c r="Z145" s="3714">
        <f t="shared" ref="Z145" si="25">SUM(X145:Y145)</f>
        <v>0</v>
      </c>
      <c r="AA145" s="3711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781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214" t="e" cm="1">
        <f t="array" ref="AC145">INDEX('각층분기별_유효전력최대(전월)'!A142:A2160,MATCH(1,("4-DaHall 1-PDU-02"='각층분기별_유효전력최대(전월)'!B144:B2160)*("[branch#001] [A] kWh last month"='각층분기별_유효전력최대(전월)'!C144:C2160),0))</f>
        <v>#N/A</v>
      </c>
      <c r="AD145" s="3545">
        <f>SUM(AA145:AB154)</f>
        <v>0</v>
      </c>
      <c r="AE145" s="2500"/>
      <c r="AG145">
        <v>0</v>
      </c>
      <c r="AH145" s="1366">
        <f t="shared" si="20"/>
        <v>0</v>
      </c>
      <c r="AJ145" s="2367">
        <f t="shared" si="21"/>
        <v>0</v>
      </c>
      <c r="AK145" s="2367">
        <f t="shared" si="22"/>
        <v>0</v>
      </c>
      <c r="AL145" s="123" t="str">
        <f t="shared" si="23"/>
        <v>무부하 랙</v>
      </c>
      <c r="AR145" s="123"/>
      <c r="AS145" s="123"/>
      <c r="AU145" s="3084"/>
      <c r="AV145" s="123"/>
      <c r="AW145" s="123"/>
      <c r="AX145" s="3085"/>
      <c r="AY145" s="3086"/>
      <c r="AZ145" s="3087"/>
      <c r="BA145" s="3088"/>
      <c r="BB145" s="3089"/>
      <c r="BC145" s="3090"/>
      <c r="BD145" s="123"/>
    </row>
    <row r="146" spans="1:56">
      <c r="A146" s="3728"/>
      <c r="B146" s="2654" t="s">
        <v>1383</v>
      </c>
      <c r="C146" s="1142"/>
      <c r="D146" s="3657"/>
      <c r="E146" s="250" t="s">
        <v>3903</v>
      </c>
      <c r="F146" s="3340"/>
      <c r="G146" s="3709"/>
      <c r="H146" s="3676"/>
      <c r="I146" s="3679"/>
      <c r="J146" s="3682"/>
      <c r="K146" s="3685"/>
      <c r="L146" s="3521"/>
      <c r="M146" s="3690"/>
      <c r="N146" s="3693"/>
      <c r="O146" s="3696"/>
      <c r="P146" s="3699"/>
      <c r="Q146" s="3702"/>
      <c r="R146" s="3663"/>
      <c r="S146" s="3343"/>
      <c r="T146" s="3340"/>
      <c r="U146" s="3343"/>
      <c r="V146" s="3340"/>
      <c r="W146" s="3343"/>
      <c r="X146" s="3734"/>
      <c r="Y146" s="3716"/>
      <c r="Z146" s="3507"/>
      <c r="AA146" s="3712"/>
      <c r="AB146" s="3782"/>
      <c r="AC146" s="3214"/>
      <c r="AD146" s="3535"/>
      <c r="AE146" s="2501"/>
      <c r="AG146">
        <v>0</v>
      </c>
      <c r="AH146" s="1366">
        <f t="shared" si="20"/>
        <v>0</v>
      </c>
      <c r="AJ146" s="2367">
        <f t="shared" si="21"/>
        <v>0</v>
      </c>
      <c r="AK146" s="2367">
        <f t="shared" si="22"/>
        <v>0</v>
      </c>
      <c r="AL146" s="123" t="str">
        <f t="shared" si="23"/>
        <v>무부하 랙</v>
      </c>
      <c r="AR146" s="123"/>
      <c r="AS146" s="123"/>
      <c r="AU146" s="3084"/>
      <c r="AV146" s="123"/>
      <c r="AW146" s="123"/>
      <c r="AX146" s="3085"/>
      <c r="AY146" s="3086"/>
      <c r="AZ146" s="3087"/>
      <c r="BA146" s="3088"/>
      <c r="BB146" s="3089"/>
      <c r="BC146" s="3090"/>
      <c r="BD146" s="123"/>
    </row>
    <row r="147" spans="1:56">
      <c r="A147" s="3728"/>
      <c r="B147" s="2654" t="s">
        <v>1389</v>
      </c>
      <c r="C147" s="1142"/>
      <c r="D147" s="3657"/>
      <c r="E147" s="250" t="s">
        <v>3904</v>
      </c>
      <c r="F147" s="3340"/>
      <c r="G147" s="3709"/>
      <c r="H147" s="3676"/>
      <c r="I147" s="3679"/>
      <c r="J147" s="3682"/>
      <c r="K147" s="3685"/>
      <c r="L147" s="3521"/>
      <c r="M147" s="3690"/>
      <c r="N147" s="3693"/>
      <c r="O147" s="3696"/>
      <c r="P147" s="3699"/>
      <c r="Q147" s="3702"/>
      <c r="R147" s="3663"/>
      <c r="S147" s="3343"/>
      <c r="T147" s="3340"/>
      <c r="U147" s="3343"/>
      <c r="V147" s="3340"/>
      <c r="W147" s="3343"/>
      <c r="X147" s="3734"/>
      <c r="Y147" s="3716"/>
      <c r="Z147" s="3507"/>
      <c r="AA147" s="3712"/>
      <c r="AB147" s="3782"/>
      <c r="AC147" s="3214"/>
      <c r="AD147" s="3535"/>
      <c r="AE147" s="2501"/>
      <c r="AG147">
        <v>0</v>
      </c>
      <c r="AH147" s="1366">
        <f t="shared" si="20"/>
        <v>0</v>
      </c>
      <c r="AJ147" s="2367">
        <f t="shared" si="21"/>
        <v>0</v>
      </c>
      <c r="AK147" s="2367">
        <f t="shared" si="22"/>
        <v>0</v>
      </c>
      <c r="AL147" s="123" t="str">
        <f t="shared" si="23"/>
        <v>무부하 랙</v>
      </c>
      <c r="AR147" s="123"/>
      <c r="AS147" s="123"/>
      <c r="AU147" s="3084"/>
      <c r="AV147" s="123"/>
      <c r="AW147" s="123"/>
      <c r="AX147" s="3085"/>
      <c r="AY147" s="3086"/>
      <c r="AZ147" s="3087"/>
      <c r="BA147" s="3088"/>
      <c r="BB147" s="3089"/>
      <c r="BC147" s="3090"/>
      <c r="BD147" s="123"/>
    </row>
    <row r="148" spans="1:56">
      <c r="A148" s="3728"/>
      <c r="B148" s="2654" t="s">
        <v>1395</v>
      </c>
      <c r="C148" s="1142"/>
      <c r="D148" s="3657"/>
      <c r="E148" s="250" t="s">
        <v>3905</v>
      </c>
      <c r="F148" s="3340"/>
      <c r="G148" s="3709"/>
      <c r="H148" s="3676"/>
      <c r="I148" s="3679"/>
      <c r="J148" s="3682"/>
      <c r="K148" s="3685"/>
      <c r="L148" s="3521"/>
      <c r="M148" s="3690"/>
      <c r="N148" s="3693"/>
      <c r="O148" s="3696"/>
      <c r="P148" s="3699"/>
      <c r="Q148" s="3702"/>
      <c r="R148" s="3663"/>
      <c r="S148" s="3343"/>
      <c r="T148" s="3340"/>
      <c r="U148" s="3343"/>
      <c r="V148" s="3340"/>
      <c r="W148" s="3343"/>
      <c r="X148" s="3734"/>
      <c r="Y148" s="3716"/>
      <c r="Z148" s="3507"/>
      <c r="AA148" s="3712"/>
      <c r="AB148" s="3782"/>
      <c r="AC148" s="3214"/>
      <c r="AD148" s="3535"/>
      <c r="AE148" s="2501"/>
      <c r="AG148">
        <v>0</v>
      </c>
      <c r="AH148" s="1366">
        <f t="shared" si="20"/>
        <v>0</v>
      </c>
      <c r="AJ148" s="2367">
        <f t="shared" si="21"/>
        <v>0</v>
      </c>
      <c r="AK148" s="2367">
        <f t="shared" si="22"/>
        <v>0</v>
      </c>
      <c r="AL148" s="123" t="str">
        <f t="shared" si="23"/>
        <v>무부하 랙</v>
      </c>
      <c r="AR148" s="123"/>
      <c r="AS148" s="123"/>
      <c r="AU148" s="3084"/>
      <c r="AV148" s="123"/>
      <c r="AW148" s="123"/>
      <c r="AX148" s="3085"/>
      <c r="AY148" s="3086"/>
      <c r="AZ148" s="3087"/>
      <c r="BA148" s="3088"/>
      <c r="BB148" s="3089"/>
      <c r="BC148" s="3090"/>
      <c r="BD148" s="123"/>
    </row>
    <row r="149" spans="1:56">
      <c r="A149" s="3728"/>
      <c r="B149" s="2654" t="s">
        <v>2887</v>
      </c>
      <c r="C149" s="1142"/>
      <c r="D149" s="3657"/>
      <c r="E149" s="250" t="s">
        <v>3906</v>
      </c>
      <c r="F149" s="3340"/>
      <c r="G149" s="3709"/>
      <c r="H149" s="3676"/>
      <c r="I149" s="3679"/>
      <c r="J149" s="3682"/>
      <c r="K149" s="3685"/>
      <c r="L149" s="3521"/>
      <c r="M149" s="3690"/>
      <c r="N149" s="3693"/>
      <c r="O149" s="3696"/>
      <c r="P149" s="3699"/>
      <c r="Q149" s="3702"/>
      <c r="R149" s="3663"/>
      <c r="S149" s="3343"/>
      <c r="T149" s="3340"/>
      <c r="U149" s="3343"/>
      <c r="V149" s="3340"/>
      <c r="W149" s="3343"/>
      <c r="X149" s="3734"/>
      <c r="Y149" s="3716"/>
      <c r="Z149" s="3507"/>
      <c r="AA149" s="3712"/>
      <c r="AB149" s="3782"/>
      <c r="AC149" s="3214"/>
      <c r="AD149" s="3535"/>
      <c r="AE149" s="2501"/>
      <c r="AG149">
        <v>0</v>
      </c>
      <c r="AH149" s="1366">
        <f t="shared" si="20"/>
        <v>0</v>
      </c>
      <c r="AJ149" s="2367">
        <f t="shared" si="21"/>
        <v>0</v>
      </c>
      <c r="AK149" s="2367">
        <f t="shared" si="22"/>
        <v>0</v>
      </c>
      <c r="AL149" s="123" t="str">
        <f t="shared" si="23"/>
        <v>무부하 랙</v>
      </c>
      <c r="AR149" s="123"/>
      <c r="AS149" s="123"/>
      <c r="AU149" s="3084"/>
      <c r="AV149" s="123"/>
      <c r="AW149" s="123"/>
      <c r="AX149" s="3085"/>
      <c r="AY149" s="3086"/>
      <c r="AZ149" s="3087"/>
      <c r="BA149" s="3088"/>
      <c r="BB149" s="3089"/>
      <c r="BC149" s="3090"/>
      <c r="BD149" s="123"/>
    </row>
    <row r="150" spans="1:56">
      <c r="A150" s="3728"/>
      <c r="B150" s="2654" t="s">
        <v>2893</v>
      </c>
      <c r="C150" s="1142"/>
      <c r="D150" s="3657"/>
      <c r="E150" s="250" t="s">
        <v>3907</v>
      </c>
      <c r="F150" s="3340"/>
      <c r="G150" s="3709"/>
      <c r="H150" s="3676"/>
      <c r="I150" s="3679"/>
      <c r="J150" s="3682"/>
      <c r="K150" s="3685"/>
      <c r="L150" s="3521"/>
      <c r="M150" s="3690"/>
      <c r="N150" s="3693"/>
      <c r="O150" s="3696"/>
      <c r="P150" s="3699"/>
      <c r="Q150" s="3702"/>
      <c r="R150" s="3663"/>
      <c r="S150" s="3343"/>
      <c r="T150" s="3340"/>
      <c r="U150" s="3343"/>
      <c r="V150" s="3340"/>
      <c r="W150" s="3343"/>
      <c r="X150" s="3734"/>
      <c r="Y150" s="3716"/>
      <c r="Z150" s="3507"/>
      <c r="AA150" s="3712"/>
      <c r="AB150" s="3782"/>
      <c r="AC150" s="3214"/>
      <c r="AD150" s="3535"/>
      <c r="AE150" s="2501"/>
      <c r="AG150">
        <v>0</v>
      </c>
      <c r="AH150" s="1366">
        <f t="shared" si="20"/>
        <v>0</v>
      </c>
      <c r="AJ150" s="2367">
        <f t="shared" si="21"/>
        <v>0</v>
      </c>
      <c r="AK150" s="2367">
        <f t="shared" si="22"/>
        <v>0</v>
      </c>
      <c r="AL150" s="123" t="str">
        <f t="shared" si="23"/>
        <v>무부하 랙</v>
      </c>
      <c r="AR150" s="123"/>
      <c r="AS150" s="123"/>
      <c r="AU150" s="3084"/>
      <c r="AV150" s="123"/>
      <c r="AW150" s="123"/>
      <c r="AX150" s="3085"/>
      <c r="AY150" s="3086"/>
      <c r="AZ150" s="3087"/>
      <c r="BA150" s="3088"/>
      <c r="BB150" s="3089"/>
      <c r="BC150" s="3090"/>
      <c r="BD150" s="123"/>
    </row>
    <row r="151" spans="1:56">
      <c r="A151" s="3728"/>
      <c r="B151" s="2654" t="s">
        <v>1432</v>
      </c>
      <c r="C151" s="1142"/>
      <c r="D151" s="3657"/>
      <c r="E151" s="250" t="s">
        <v>3908</v>
      </c>
      <c r="F151" s="3340"/>
      <c r="G151" s="3709"/>
      <c r="H151" s="3676"/>
      <c r="I151" s="3679"/>
      <c r="J151" s="3682"/>
      <c r="K151" s="3685"/>
      <c r="L151" s="3521"/>
      <c r="M151" s="3690"/>
      <c r="N151" s="3693"/>
      <c r="O151" s="3696"/>
      <c r="P151" s="3699"/>
      <c r="Q151" s="3702"/>
      <c r="R151" s="3663"/>
      <c r="S151" s="3343"/>
      <c r="T151" s="3340"/>
      <c r="U151" s="3343"/>
      <c r="V151" s="3340"/>
      <c r="W151" s="3343"/>
      <c r="X151" s="3734"/>
      <c r="Y151" s="3716"/>
      <c r="Z151" s="3507"/>
      <c r="AA151" s="3712"/>
      <c r="AB151" s="3782"/>
      <c r="AC151" s="3214"/>
      <c r="AD151" s="3535"/>
      <c r="AE151" s="2501"/>
      <c r="AG151">
        <v>0</v>
      </c>
      <c r="AH151" s="1366">
        <f t="shared" si="20"/>
        <v>0</v>
      </c>
      <c r="AJ151" s="2367">
        <f t="shared" si="21"/>
        <v>0</v>
      </c>
      <c r="AK151" s="2367">
        <f t="shared" si="22"/>
        <v>0</v>
      </c>
      <c r="AL151" s="123" t="str">
        <f t="shared" si="23"/>
        <v>무부하 랙</v>
      </c>
      <c r="AR151" s="123"/>
      <c r="AS151" s="123"/>
      <c r="AU151" s="3084"/>
      <c r="AV151" s="123"/>
      <c r="AW151" s="123"/>
      <c r="AX151" s="3085"/>
      <c r="AY151" s="3086"/>
      <c r="AZ151" s="3087"/>
      <c r="BA151" s="3088"/>
      <c r="BB151" s="3089"/>
      <c r="BC151" s="3090"/>
      <c r="BD151" s="123"/>
    </row>
    <row r="152" spans="1:56">
      <c r="A152" s="3728"/>
      <c r="B152" s="2654" t="s">
        <v>1438</v>
      </c>
      <c r="C152" s="1142"/>
      <c r="D152" s="3657"/>
      <c r="E152" s="250" t="s">
        <v>3909</v>
      </c>
      <c r="F152" s="3340"/>
      <c r="G152" s="3709"/>
      <c r="H152" s="3676"/>
      <c r="I152" s="3679"/>
      <c r="J152" s="3682"/>
      <c r="K152" s="3685"/>
      <c r="L152" s="3521"/>
      <c r="M152" s="3690"/>
      <c r="N152" s="3693"/>
      <c r="O152" s="3696"/>
      <c r="P152" s="3699"/>
      <c r="Q152" s="3702"/>
      <c r="R152" s="3663"/>
      <c r="S152" s="3343"/>
      <c r="T152" s="3340"/>
      <c r="U152" s="3343"/>
      <c r="V152" s="3340"/>
      <c r="W152" s="3343"/>
      <c r="X152" s="3734"/>
      <c r="Y152" s="3716"/>
      <c r="Z152" s="3507"/>
      <c r="AA152" s="3712"/>
      <c r="AB152" s="3782"/>
      <c r="AC152" s="3214"/>
      <c r="AD152" s="3535"/>
      <c r="AE152" s="2501"/>
      <c r="AG152">
        <v>0</v>
      </c>
      <c r="AH152" s="1366">
        <f t="shared" si="20"/>
        <v>0</v>
      </c>
      <c r="AJ152" s="2367">
        <f t="shared" si="21"/>
        <v>0</v>
      </c>
      <c r="AK152" s="2367">
        <f t="shared" si="22"/>
        <v>0</v>
      </c>
      <c r="AL152" s="123" t="str">
        <f t="shared" si="23"/>
        <v>무부하 랙</v>
      </c>
      <c r="AR152" s="123"/>
      <c r="AS152" s="123"/>
      <c r="AU152" s="3084"/>
      <c r="AV152" s="123"/>
      <c r="AW152" s="123"/>
      <c r="AX152" s="3085"/>
      <c r="AY152" s="3086"/>
      <c r="AZ152" s="3087"/>
      <c r="BA152" s="3088"/>
      <c r="BB152" s="3089"/>
      <c r="BC152" s="3090"/>
      <c r="BD152" s="123"/>
    </row>
    <row r="153" spans="1:56">
      <c r="A153" s="3728"/>
      <c r="B153" s="2654" t="s">
        <v>1444</v>
      </c>
      <c r="C153" s="1142"/>
      <c r="D153" s="3657"/>
      <c r="E153" s="250" t="s">
        <v>3910</v>
      </c>
      <c r="F153" s="3340"/>
      <c r="G153" s="3709"/>
      <c r="H153" s="3676"/>
      <c r="I153" s="3679"/>
      <c r="J153" s="3682"/>
      <c r="K153" s="3685"/>
      <c r="L153" s="3521"/>
      <c r="M153" s="3690"/>
      <c r="N153" s="3693"/>
      <c r="O153" s="3696"/>
      <c r="P153" s="3699"/>
      <c r="Q153" s="3702"/>
      <c r="R153" s="3663"/>
      <c r="S153" s="3343"/>
      <c r="T153" s="3340"/>
      <c r="U153" s="3343"/>
      <c r="V153" s="3340"/>
      <c r="W153" s="3343"/>
      <c r="X153" s="3734"/>
      <c r="Y153" s="3716"/>
      <c r="Z153" s="3507"/>
      <c r="AA153" s="3712"/>
      <c r="AB153" s="3782"/>
      <c r="AC153" s="3214"/>
      <c r="AD153" s="3535"/>
      <c r="AE153" s="2501"/>
      <c r="AG153">
        <v>0</v>
      </c>
      <c r="AH153" s="1366">
        <f t="shared" si="20"/>
        <v>0</v>
      </c>
      <c r="AJ153" s="2367">
        <f t="shared" si="21"/>
        <v>0</v>
      </c>
      <c r="AK153" s="2367">
        <f t="shared" si="22"/>
        <v>0</v>
      </c>
      <c r="AL153" s="123" t="str">
        <f t="shared" si="23"/>
        <v>무부하 랙</v>
      </c>
      <c r="AR153" s="123"/>
      <c r="AS153" s="123"/>
      <c r="AU153" s="3084"/>
      <c r="AV153" s="123"/>
      <c r="AW153" s="123"/>
      <c r="AX153" s="3085"/>
      <c r="AY153" s="3086"/>
      <c r="AZ153" s="3087"/>
      <c r="BA153" s="3088"/>
      <c r="BB153" s="3089"/>
      <c r="BC153" s="3090"/>
      <c r="BD153" s="123"/>
    </row>
    <row r="154" spans="1:56" ht="15" thickBot="1">
      <c r="A154" s="3729"/>
      <c r="B154" s="1132" t="s">
        <v>1450</v>
      </c>
      <c r="C154" s="1143"/>
      <c r="D154" s="3658"/>
      <c r="E154" s="2661" t="s">
        <v>3911</v>
      </c>
      <c r="F154" s="3341"/>
      <c r="G154" s="3710"/>
      <c r="H154" s="3677"/>
      <c r="I154" s="3680"/>
      <c r="J154" s="3683"/>
      <c r="K154" s="3686"/>
      <c r="L154" s="3688"/>
      <c r="M154" s="3691"/>
      <c r="N154" s="3694"/>
      <c r="O154" s="3697"/>
      <c r="P154" s="3700"/>
      <c r="Q154" s="3703"/>
      <c r="R154" s="3664"/>
      <c r="S154" s="3344"/>
      <c r="T154" s="3341"/>
      <c r="U154" s="3344"/>
      <c r="V154" s="3341"/>
      <c r="W154" s="3344"/>
      <c r="X154" s="3735"/>
      <c r="Y154" s="3717"/>
      <c r="Z154" s="3514"/>
      <c r="AA154" s="3713"/>
      <c r="AB154" s="3783"/>
      <c r="AC154" s="3214"/>
      <c r="AD154" s="3543"/>
      <c r="AE154" s="2502"/>
      <c r="AG154">
        <v>0</v>
      </c>
      <c r="AH154" s="1366">
        <f t="shared" si="20"/>
        <v>0</v>
      </c>
      <c r="AJ154" s="2367">
        <f t="shared" si="21"/>
        <v>0</v>
      </c>
      <c r="AK154" s="2367">
        <f t="shared" si="22"/>
        <v>0</v>
      </c>
      <c r="AL154" s="123" t="str">
        <f t="shared" si="23"/>
        <v>무부하 랙</v>
      </c>
      <c r="AR154" s="123"/>
      <c r="AS154" s="123"/>
      <c r="AU154" s="3084"/>
      <c r="AV154" s="123"/>
      <c r="AW154" s="123"/>
      <c r="AX154" s="3085"/>
      <c r="AY154" s="3086"/>
      <c r="AZ154" s="3087"/>
      <c r="BA154" s="3088"/>
      <c r="BB154" s="3089"/>
      <c r="BC154" s="3090"/>
      <c r="BD154" s="123"/>
    </row>
    <row r="155" spans="1:56" ht="22.2" thickTop="1">
      <c r="A155" s="3727" t="s">
        <v>3869</v>
      </c>
      <c r="B155" s="1131" t="s">
        <v>145</v>
      </c>
      <c r="C155" s="3130" t="s">
        <v>9301</v>
      </c>
      <c r="D155" s="3656">
        <f>2.2*2+0.55</f>
        <v>4.95</v>
      </c>
      <c r="E155" s="996" t="s">
        <v>3883</v>
      </c>
      <c r="F155" s="3354" t="s">
        <v>3884</v>
      </c>
      <c r="G155" s="3708" t="s">
        <v>3885</v>
      </c>
      <c r="H155" s="3675" t="str">
        <f>"4-DaHall 1-PDU-"&amp;L155&amp;"-"&amp;K155&amp;"-"&amp;M155</f>
        <v>4-DaHall 1-PDU-06-100-1</v>
      </c>
      <c r="I155" s="3678" t="str">
        <f>"4-DaHall 1-PDU-"&amp;P155&amp;"-"&amp;O155&amp;"-"&amp;Q155</f>
        <v>4-DaHall 1-PDU-05-100-1</v>
      </c>
      <c r="J155" s="3681">
        <v>220</v>
      </c>
      <c r="K155" s="3684">
        <v>100</v>
      </c>
      <c r="L155" s="3687" t="s">
        <v>6502</v>
      </c>
      <c r="M155" s="3689">
        <v>1</v>
      </c>
      <c r="N155" s="3692">
        <v>220</v>
      </c>
      <c r="O155" s="3695">
        <v>100</v>
      </c>
      <c r="P155" s="3698" t="s">
        <v>6503</v>
      </c>
      <c r="Q155" s="3701">
        <v>1</v>
      </c>
      <c r="R155" s="3662" t="s">
        <v>3886</v>
      </c>
      <c r="S155" s="3345" t="s">
        <v>3887</v>
      </c>
      <c r="T155" s="3354" t="s">
        <v>3888</v>
      </c>
      <c r="U155" s="3345" t="s">
        <v>3889</v>
      </c>
      <c r="V155" s="3354" t="s">
        <v>3744</v>
      </c>
      <c r="W155" s="3345" t="s">
        <v>3749</v>
      </c>
      <c r="X155" s="3733">
        <f>SUM('4층_부하량(월간_AVG)'!D19:F19)</f>
        <v>10.579549843542107</v>
      </c>
      <c r="Y155" s="3715">
        <f>SUM('4층_부하량(월간_AVG)'!N48:P48)</f>
        <v>8.9999479395326958</v>
      </c>
      <c r="Z155" s="3714">
        <f t="shared" ref="Z155" si="26">SUM(X155:Y155)</f>
        <v>19.579497783074803</v>
      </c>
      <c r="AA155" s="3711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1654.7</v>
      </c>
      <c r="AB155" s="3781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1416.6</v>
      </c>
      <c r="AC155" s="3214" t="e" cm="1">
        <f t="array" ref="AC155">INDEX('각층분기별_유효전력최대(전월)'!A152:A2170,MATCH(1,("4-DaHall 1-PDU-02"='각층분기별_유효전력최대(전월)'!B154:B2170)*("[branch#001] [A] kWh last month"='각층분기별_유효전력최대(전월)'!C154:C2170),0))</f>
        <v>#N/A</v>
      </c>
      <c r="AD155" s="3545">
        <f>SUM(AA155:AB164)</f>
        <v>3071.3</v>
      </c>
      <c r="AE155" s="2500"/>
      <c r="AG155">
        <v>20</v>
      </c>
      <c r="AH155" s="1366">
        <f t="shared" si="20"/>
        <v>-0.42050221692519685</v>
      </c>
      <c r="AJ155" s="2367">
        <f t="shared" si="21"/>
        <v>4.1280913978494622</v>
      </c>
      <c r="AK155" s="2367">
        <f t="shared" si="22"/>
        <v>0.82190860215053796</v>
      </c>
      <c r="AL155" s="123" t="str">
        <f t="shared" si="23"/>
        <v>적정함</v>
      </c>
      <c r="AR155" s="123"/>
      <c r="AS155" s="123"/>
      <c r="AU155" s="3084"/>
      <c r="AV155" s="123"/>
      <c r="AW155" s="123"/>
      <c r="AX155" s="3085"/>
      <c r="AY155" s="3086"/>
      <c r="AZ155" s="3087"/>
      <c r="BA155" s="3088"/>
      <c r="BB155" s="3089"/>
      <c r="BC155" s="3090"/>
      <c r="BD155" s="123"/>
    </row>
    <row r="156" spans="1:56">
      <c r="A156" s="3728"/>
      <c r="B156" s="2654" t="s">
        <v>1326</v>
      </c>
      <c r="C156" s="1142"/>
      <c r="D156" s="3657"/>
      <c r="E156" s="2653" t="s">
        <v>3890</v>
      </c>
      <c r="F156" s="3340"/>
      <c r="G156" s="3709"/>
      <c r="H156" s="3676"/>
      <c r="I156" s="3679"/>
      <c r="J156" s="3682"/>
      <c r="K156" s="3685"/>
      <c r="L156" s="3521"/>
      <c r="M156" s="3690"/>
      <c r="N156" s="3693"/>
      <c r="O156" s="3696"/>
      <c r="P156" s="3699"/>
      <c r="Q156" s="3702"/>
      <c r="R156" s="3663"/>
      <c r="S156" s="3343"/>
      <c r="T156" s="3340"/>
      <c r="U156" s="3343"/>
      <c r="V156" s="3340"/>
      <c r="W156" s="3343"/>
      <c r="X156" s="3734"/>
      <c r="Y156" s="3716"/>
      <c r="Z156" s="3507"/>
      <c r="AA156" s="3712"/>
      <c r="AB156" s="3782"/>
      <c r="AC156" s="3214"/>
      <c r="AD156" s="3535"/>
      <c r="AE156" s="2501"/>
      <c r="AG156">
        <v>0</v>
      </c>
      <c r="AH156" s="1366">
        <f t="shared" si="20"/>
        <v>0</v>
      </c>
      <c r="AJ156" s="2367">
        <f t="shared" si="21"/>
        <v>0</v>
      </c>
      <c r="AK156" s="2367">
        <f t="shared" si="22"/>
        <v>0</v>
      </c>
      <c r="AL156" s="123" t="str">
        <f t="shared" si="23"/>
        <v>무부하 랙</v>
      </c>
      <c r="AR156" s="123"/>
      <c r="AS156" s="123"/>
      <c r="AU156" s="3084"/>
      <c r="AV156" s="123"/>
      <c r="AW156" s="123"/>
      <c r="AX156" s="3085"/>
      <c r="AY156" s="3086"/>
      <c r="AZ156" s="3087"/>
      <c r="BA156" s="3088"/>
      <c r="BB156" s="3089"/>
      <c r="BC156" s="3090"/>
      <c r="BD156" s="123"/>
    </row>
    <row r="157" spans="1:56">
      <c r="A157" s="3728"/>
      <c r="B157" s="2654" t="s">
        <v>1332</v>
      </c>
      <c r="C157" s="1142"/>
      <c r="D157" s="3657"/>
      <c r="E157" s="2653" t="s">
        <v>3891</v>
      </c>
      <c r="F157" s="3340"/>
      <c r="G157" s="3709"/>
      <c r="H157" s="3676"/>
      <c r="I157" s="3679"/>
      <c r="J157" s="3682"/>
      <c r="K157" s="3685"/>
      <c r="L157" s="3521"/>
      <c r="M157" s="3690"/>
      <c r="N157" s="3693"/>
      <c r="O157" s="3696"/>
      <c r="P157" s="3699"/>
      <c r="Q157" s="3702"/>
      <c r="R157" s="3663"/>
      <c r="S157" s="3343"/>
      <c r="T157" s="3340"/>
      <c r="U157" s="3343"/>
      <c r="V157" s="3340"/>
      <c r="W157" s="3343"/>
      <c r="X157" s="3734"/>
      <c r="Y157" s="3716"/>
      <c r="Z157" s="3507"/>
      <c r="AA157" s="3712"/>
      <c r="AB157" s="3782"/>
      <c r="AC157" s="3214"/>
      <c r="AD157" s="3535"/>
      <c r="AE157" s="2501"/>
      <c r="AG157">
        <v>0</v>
      </c>
      <c r="AH157" s="1366">
        <f t="shared" si="20"/>
        <v>0</v>
      </c>
      <c r="AJ157" s="2367">
        <f t="shared" si="21"/>
        <v>0</v>
      </c>
      <c r="AK157" s="2367">
        <f t="shared" si="22"/>
        <v>0</v>
      </c>
      <c r="AL157" s="123" t="str">
        <f t="shared" si="23"/>
        <v>무부하 랙</v>
      </c>
      <c r="AR157" s="123"/>
      <c r="AS157" s="123"/>
      <c r="AU157" s="3084"/>
      <c r="AV157" s="123"/>
      <c r="AW157" s="123"/>
      <c r="AX157" s="3085"/>
      <c r="AY157" s="3086"/>
      <c r="AZ157" s="3087"/>
      <c r="BA157" s="3088"/>
      <c r="BB157" s="3089"/>
      <c r="BC157" s="3090"/>
      <c r="BD157" s="123"/>
    </row>
    <row r="158" spans="1:56" ht="21.6">
      <c r="A158" s="3728"/>
      <c r="B158" s="2654" t="s">
        <v>1338</v>
      </c>
      <c r="C158" s="1142" t="s">
        <v>9203</v>
      </c>
      <c r="D158" s="3657"/>
      <c r="E158" s="2653" t="s">
        <v>3892</v>
      </c>
      <c r="F158" s="3340"/>
      <c r="G158" s="3709"/>
      <c r="H158" s="3676"/>
      <c r="I158" s="3679"/>
      <c r="J158" s="3682"/>
      <c r="K158" s="3685"/>
      <c r="L158" s="3521"/>
      <c r="M158" s="3690"/>
      <c r="N158" s="3693"/>
      <c r="O158" s="3696"/>
      <c r="P158" s="3699"/>
      <c r="Q158" s="3702"/>
      <c r="R158" s="3663"/>
      <c r="S158" s="3343"/>
      <c r="T158" s="3340"/>
      <c r="U158" s="3343"/>
      <c r="V158" s="3340"/>
      <c r="W158" s="3343"/>
      <c r="X158" s="3734"/>
      <c r="Y158" s="3716"/>
      <c r="Z158" s="3507"/>
      <c r="AA158" s="3712"/>
      <c r="AB158" s="3782"/>
      <c r="AC158" s="3214"/>
      <c r="AD158" s="3535"/>
      <c r="AE158" s="2501"/>
      <c r="AG158">
        <v>0</v>
      </c>
      <c r="AH158" s="1366">
        <f t="shared" si="20"/>
        <v>0</v>
      </c>
      <c r="AJ158" s="2367">
        <f t="shared" si="21"/>
        <v>0</v>
      </c>
      <c r="AK158" s="2367">
        <f t="shared" si="22"/>
        <v>0</v>
      </c>
      <c r="AL158" s="123" t="str">
        <f t="shared" si="23"/>
        <v>무부하 랙</v>
      </c>
      <c r="AR158" s="123"/>
      <c r="AS158" s="123"/>
      <c r="AU158" s="3084"/>
      <c r="AV158" s="123"/>
      <c r="AW158" s="123"/>
      <c r="AX158" s="3085"/>
      <c r="AY158" s="3086"/>
      <c r="AZ158" s="3087"/>
      <c r="BA158" s="3088"/>
      <c r="BB158" s="3089"/>
      <c r="BC158" s="3090"/>
      <c r="BD158" s="123"/>
    </row>
    <row r="159" spans="1:56" ht="21.6">
      <c r="A159" s="3728"/>
      <c r="B159" s="2654" t="s">
        <v>1344</v>
      </c>
      <c r="C159" s="1142" t="s">
        <v>9185</v>
      </c>
      <c r="D159" s="3657"/>
      <c r="E159" s="2653" t="s">
        <v>3893</v>
      </c>
      <c r="F159" s="3340"/>
      <c r="G159" s="3709"/>
      <c r="H159" s="3676"/>
      <c r="I159" s="3679"/>
      <c r="J159" s="3682"/>
      <c r="K159" s="3685"/>
      <c r="L159" s="3521"/>
      <c r="M159" s="3690"/>
      <c r="N159" s="3693"/>
      <c r="O159" s="3696"/>
      <c r="P159" s="3699"/>
      <c r="Q159" s="3702"/>
      <c r="R159" s="3663"/>
      <c r="S159" s="3343"/>
      <c r="T159" s="3340"/>
      <c r="U159" s="3343"/>
      <c r="V159" s="3340"/>
      <c r="W159" s="3343"/>
      <c r="X159" s="3734"/>
      <c r="Y159" s="3716"/>
      <c r="Z159" s="3507"/>
      <c r="AA159" s="3712"/>
      <c r="AB159" s="3782"/>
      <c r="AC159" s="3214"/>
      <c r="AD159" s="3535"/>
      <c r="AE159" s="2501"/>
      <c r="AG159">
        <v>0</v>
      </c>
      <c r="AH159" s="1366">
        <f t="shared" si="20"/>
        <v>0</v>
      </c>
      <c r="AJ159" s="2367">
        <f t="shared" si="21"/>
        <v>0</v>
      </c>
      <c r="AK159" s="2367">
        <f t="shared" si="22"/>
        <v>0</v>
      </c>
      <c r="AL159" s="123" t="str">
        <f t="shared" si="23"/>
        <v>무부하 랙</v>
      </c>
      <c r="AR159" s="123"/>
      <c r="AS159" s="123"/>
      <c r="AU159" s="3084"/>
      <c r="AV159" s="123"/>
      <c r="AW159" s="123"/>
      <c r="AX159" s="3085"/>
      <c r="AY159" s="3086"/>
      <c r="AZ159" s="3087"/>
      <c r="BA159" s="3088"/>
      <c r="BB159" s="3089"/>
      <c r="BC159" s="3090"/>
      <c r="BD159" s="123"/>
    </row>
    <row r="160" spans="1:56">
      <c r="A160" s="3728"/>
      <c r="B160" s="2654" t="s">
        <v>1351</v>
      </c>
      <c r="C160" s="1142"/>
      <c r="D160" s="3657"/>
      <c r="E160" s="250" t="s">
        <v>3894</v>
      </c>
      <c r="F160" s="3340"/>
      <c r="G160" s="3709"/>
      <c r="H160" s="3676"/>
      <c r="I160" s="3679"/>
      <c r="J160" s="3682"/>
      <c r="K160" s="3685"/>
      <c r="L160" s="3521"/>
      <c r="M160" s="3690"/>
      <c r="N160" s="3693"/>
      <c r="O160" s="3696"/>
      <c r="P160" s="3699"/>
      <c r="Q160" s="3702"/>
      <c r="R160" s="3663"/>
      <c r="S160" s="3343"/>
      <c r="T160" s="3340"/>
      <c r="U160" s="3343"/>
      <c r="V160" s="3340"/>
      <c r="W160" s="3343"/>
      <c r="X160" s="3734"/>
      <c r="Y160" s="3716"/>
      <c r="Z160" s="3507"/>
      <c r="AA160" s="3712"/>
      <c r="AB160" s="3782"/>
      <c r="AC160" s="3214"/>
      <c r="AD160" s="3535"/>
      <c r="AE160" s="2501"/>
      <c r="AG160">
        <v>0</v>
      </c>
      <c r="AH160" s="1366">
        <f t="shared" si="20"/>
        <v>0</v>
      </c>
      <c r="AJ160" s="2367">
        <f t="shared" si="21"/>
        <v>0</v>
      </c>
      <c r="AK160" s="2367">
        <f t="shared" si="22"/>
        <v>0</v>
      </c>
      <c r="AL160" s="123" t="str">
        <f t="shared" si="23"/>
        <v>무부하 랙</v>
      </c>
      <c r="AR160" s="123"/>
      <c r="AS160" s="123"/>
      <c r="AU160" s="3084"/>
      <c r="AV160" s="123"/>
      <c r="AW160" s="123"/>
      <c r="AX160" s="3085"/>
      <c r="AY160" s="3086"/>
      <c r="AZ160" s="3087"/>
      <c r="BA160" s="3088"/>
      <c r="BB160" s="3089"/>
      <c r="BC160" s="3090"/>
      <c r="BD160" s="123"/>
    </row>
    <row r="161" spans="1:56" ht="21.6">
      <c r="A161" s="3728"/>
      <c r="B161" s="2654" t="s">
        <v>1357</v>
      </c>
      <c r="C161" s="1142" t="s">
        <v>9204</v>
      </c>
      <c r="D161" s="3657"/>
      <c r="E161" s="2653" t="s">
        <v>3895</v>
      </c>
      <c r="F161" s="3340"/>
      <c r="G161" s="3709"/>
      <c r="H161" s="3676"/>
      <c r="I161" s="3679"/>
      <c r="J161" s="3682"/>
      <c r="K161" s="3685"/>
      <c r="L161" s="3521"/>
      <c r="M161" s="3690"/>
      <c r="N161" s="3693"/>
      <c r="O161" s="3696"/>
      <c r="P161" s="3699"/>
      <c r="Q161" s="3702"/>
      <c r="R161" s="3663"/>
      <c r="S161" s="3343"/>
      <c r="T161" s="3340"/>
      <c r="U161" s="3343"/>
      <c r="V161" s="3340"/>
      <c r="W161" s="3343"/>
      <c r="X161" s="3734"/>
      <c r="Y161" s="3716"/>
      <c r="Z161" s="3507"/>
      <c r="AA161" s="3712"/>
      <c r="AB161" s="3782"/>
      <c r="AC161" s="3214"/>
      <c r="AD161" s="3535"/>
      <c r="AE161" s="2501"/>
      <c r="AG161">
        <v>0</v>
      </c>
      <c r="AH161" s="1366">
        <f t="shared" si="20"/>
        <v>0</v>
      </c>
      <c r="AJ161" s="2367">
        <f t="shared" si="21"/>
        <v>0</v>
      </c>
      <c r="AK161" s="2367">
        <f t="shared" si="22"/>
        <v>0</v>
      </c>
      <c r="AL161" s="123" t="str">
        <f t="shared" si="23"/>
        <v>무부하 랙</v>
      </c>
      <c r="AR161" s="123"/>
      <c r="AS161" s="123"/>
      <c r="AU161" s="3084"/>
      <c r="AV161" s="123"/>
      <c r="AW161" s="123"/>
      <c r="AX161" s="3085"/>
      <c r="AY161" s="3086"/>
      <c r="AZ161" s="3087"/>
      <c r="BA161" s="3088"/>
      <c r="BB161" s="3089"/>
      <c r="BC161" s="3090"/>
      <c r="BD161" s="123"/>
    </row>
    <row r="162" spans="1:56">
      <c r="A162" s="3728"/>
      <c r="B162" s="2654" t="s">
        <v>1363</v>
      </c>
      <c r="C162" s="1142"/>
      <c r="D162" s="3657"/>
      <c r="E162" s="250" t="s">
        <v>3896</v>
      </c>
      <c r="F162" s="3340"/>
      <c r="G162" s="3709"/>
      <c r="H162" s="3676"/>
      <c r="I162" s="3679"/>
      <c r="J162" s="3682"/>
      <c r="K162" s="3685"/>
      <c r="L162" s="3521"/>
      <c r="M162" s="3690"/>
      <c r="N162" s="3693"/>
      <c r="O162" s="3696"/>
      <c r="P162" s="3699"/>
      <c r="Q162" s="3702"/>
      <c r="R162" s="3663"/>
      <c r="S162" s="3343"/>
      <c r="T162" s="3340"/>
      <c r="U162" s="3343"/>
      <c r="V162" s="3340"/>
      <c r="W162" s="3343"/>
      <c r="X162" s="3734"/>
      <c r="Y162" s="3716"/>
      <c r="Z162" s="3507"/>
      <c r="AA162" s="3712"/>
      <c r="AB162" s="3782"/>
      <c r="AC162" s="3214"/>
      <c r="AD162" s="3535"/>
      <c r="AE162" s="2501"/>
      <c r="AG162">
        <v>0</v>
      </c>
      <c r="AH162" s="1366">
        <f t="shared" si="20"/>
        <v>0</v>
      </c>
      <c r="AJ162" s="2367">
        <f t="shared" si="21"/>
        <v>0</v>
      </c>
      <c r="AK162" s="2367">
        <f t="shared" si="22"/>
        <v>0</v>
      </c>
      <c r="AL162" s="123" t="str">
        <f t="shared" si="23"/>
        <v>무부하 랙</v>
      </c>
      <c r="AR162" s="123"/>
      <c r="AS162" s="123"/>
      <c r="AU162" s="3084"/>
      <c r="AV162" s="123"/>
      <c r="AW162" s="123"/>
      <c r="AX162" s="3085"/>
      <c r="AY162" s="3086"/>
      <c r="AZ162" s="3087"/>
      <c r="BA162" s="3088"/>
      <c r="BB162" s="3089"/>
      <c r="BC162" s="3090"/>
      <c r="BD162" s="123"/>
    </row>
    <row r="163" spans="1:56">
      <c r="A163" s="3728"/>
      <c r="B163" s="2654" t="s">
        <v>1369</v>
      </c>
      <c r="C163" s="1142"/>
      <c r="D163" s="3657"/>
      <c r="E163" s="250" t="s">
        <v>3897</v>
      </c>
      <c r="F163" s="3340"/>
      <c r="G163" s="3709"/>
      <c r="H163" s="3676"/>
      <c r="I163" s="3679"/>
      <c r="J163" s="3682"/>
      <c r="K163" s="3685"/>
      <c r="L163" s="3521"/>
      <c r="M163" s="3690"/>
      <c r="N163" s="3693"/>
      <c r="O163" s="3696"/>
      <c r="P163" s="3699"/>
      <c r="Q163" s="3702"/>
      <c r="R163" s="3663"/>
      <c r="S163" s="3343"/>
      <c r="T163" s="3340"/>
      <c r="U163" s="3343"/>
      <c r="V163" s="3340"/>
      <c r="W163" s="3343"/>
      <c r="X163" s="3734"/>
      <c r="Y163" s="3716"/>
      <c r="Z163" s="3507"/>
      <c r="AA163" s="3712"/>
      <c r="AB163" s="3782"/>
      <c r="AC163" s="3214"/>
      <c r="AD163" s="3535"/>
      <c r="AE163" s="2501"/>
      <c r="AG163">
        <v>0</v>
      </c>
      <c r="AH163" s="1366">
        <f t="shared" si="20"/>
        <v>0</v>
      </c>
      <c r="AJ163" s="2367">
        <f t="shared" si="21"/>
        <v>0</v>
      </c>
      <c r="AK163" s="2367">
        <f t="shared" si="22"/>
        <v>0</v>
      </c>
      <c r="AL163" s="123" t="str">
        <f t="shared" si="23"/>
        <v>무부하 랙</v>
      </c>
      <c r="AR163" s="123"/>
      <c r="AS163" s="123"/>
      <c r="AU163" s="3084"/>
      <c r="AV163" s="123"/>
      <c r="AW163" s="123"/>
      <c r="AX163" s="3085"/>
      <c r="AY163" s="3086"/>
      <c r="AZ163" s="3087"/>
      <c r="BA163" s="3088"/>
      <c r="BB163" s="3089"/>
      <c r="BC163" s="3090"/>
      <c r="BD163" s="123"/>
    </row>
    <row r="164" spans="1:56" ht="15" thickBot="1">
      <c r="A164" s="3729"/>
      <c r="B164" s="1132" t="s">
        <v>1376</v>
      </c>
      <c r="C164" s="1143"/>
      <c r="D164" s="3658"/>
      <c r="E164" s="2661" t="s">
        <v>3898</v>
      </c>
      <c r="F164" s="3341"/>
      <c r="G164" s="3710"/>
      <c r="H164" s="3677"/>
      <c r="I164" s="3680"/>
      <c r="J164" s="3683"/>
      <c r="K164" s="3686"/>
      <c r="L164" s="3688"/>
      <c r="M164" s="3691"/>
      <c r="N164" s="3694"/>
      <c r="O164" s="3697"/>
      <c r="P164" s="3700"/>
      <c r="Q164" s="3703"/>
      <c r="R164" s="3664"/>
      <c r="S164" s="3344"/>
      <c r="T164" s="3341"/>
      <c r="U164" s="3344"/>
      <c r="V164" s="3341"/>
      <c r="W164" s="3344"/>
      <c r="X164" s="3735"/>
      <c r="Y164" s="3717"/>
      <c r="Z164" s="3514"/>
      <c r="AA164" s="3713"/>
      <c r="AB164" s="3783"/>
      <c r="AC164" s="3214"/>
      <c r="AD164" s="3543"/>
      <c r="AE164" s="2502"/>
      <c r="AG164">
        <v>0</v>
      </c>
      <c r="AH164" s="1366">
        <f t="shared" si="20"/>
        <v>0</v>
      </c>
      <c r="AJ164" s="2367">
        <f t="shared" si="21"/>
        <v>0</v>
      </c>
      <c r="AK164" s="2367">
        <f t="shared" si="22"/>
        <v>0</v>
      </c>
      <c r="AL164" s="123" t="str">
        <f t="shared" si="23"/>
        <v>무부하 랙</v>
      </c>
      <c r="AR164" s="123"/>
      <c r="AS164" s="123"/>
      <c r="AU164" s="3084"/>
      <c r="AV164" s="123"/>
      <c r="AW164" s="123"/>
      <c r="AX164" s="3085"/>
      <c r="AY164" s="3086"/>
      <c r="AZ164" s="3087"/>
      <c r="BA164" s="3088"/>
      <c r="BB164" s="3089"/>
      <c r="BC164" s="3090"/>
      <c r="BD164" s="123"/>
    </row>
    <row r="165" spans="1:56" ht="22.2" thickTop="1">
      <c r="A165" s="3727" t="s">
        <v>9212</v>
      </c>
      <c r="B165" s="1131" t="s">
        <v>771</v>
      </c>
      <c r="C165" s="1141" t="s">
        <v>9186</v>
      </c>
      <c r="D165" s="3730">
        <f>0.55+2.2*2+1.1</f>
        <v>6.0500000000000007</v>
      </c>
      <c r="E165" s="996" t="s">
        <v>3870</v>
      </c>
      <c r="F165" s="3354" t="s">
        <v>3871</v>
      </c>
      <c r="G165" s="3708" t="s">
        <v>3872</v>
      </c>
      <c r="H165" s="3675" t="str">
        <f>"4-DaHall 1-PDU-"&amp;L165&amp;"-"&amp;K165&amp;"-"&amp;M165</f>
        <v>4-DaHall 1-PDU-02-100-6</v>
      </c>
      <c r="I165" s="3678" t="str">
        <f>"4-DaHall 1-PDU-"&amp;P165&amp;"-"&amp;O165&amp;"-"&amp;Q165</f>
        <v>4-DaHall 1-PDU-01-100-6</v>
      </c>
      <c r="J165" s="3681">
        <v>220</v>
      </c>
      <c r="K165" s="3684">
        <v>100</v>
      </c>
      <c r="L165" s="3687" t="s">
        <v>6494</v>
      </c>
      <c r="M165" s="3689">
        <v>6</v>
      </c>
      <c r="N165" s="3692">
        <v>220</v>
      </c>
      <c r="O165" s="3695">
        <v>100</v>
      </c>
      <c r="P165" s="3698" t="s">
        <v>6498</v>
      </c>
      <c r="Q165" s="3701">
        <v>6</v>
      </c>
      <c r="R165" s="3662" t="s">
        <v>3742</v>
      </c>
      <c r="S165" s="3345" t="s">
        <v>3747</v>
      </c>
      <c r="T165" s="3354" t="s">
        <v>3743</v>
      </c>
      <c r="U165" s="3345" t="s">
        <v>3748</v>
      </c>
      <c r="V165" s="3354" t="s">
        <v>3744</v>
      </c>
      <c r="W165" s="3345" t="s">
        <v>3749</v>
      </c>
      <c r="X165" s="3733">
        <f>SUM('4층_부하량(월간_AVG)'!D11:F11)</f>
        <v>12.26991079043764</v>
      </c>
      <c r="Y165" s="3715">
        <f>SUM('4층_부하량(월간_AVG)'!N40:P40)</f>
        <v>23.790832409003098</v>
      </c>
      <c r="Z165" s="3736">
        <f t="shared" ref="Z165" si="27">SUM(X165:Y165)</f>
        <v>36.060743199440736</v>
      </c>
      <c r="AA165" s="3739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1846.1</v>
      </c>
      <c r="AB165" s="3778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3615.3</v>
      </c>
      <c r="AC165" s="3214" t="e" cm="1">
        <f t="array" ref="AC165">INDEX('각층분기별_유효전력최대(전월)'!A162:A2180,MATCH(1,("4-DaHall 1-PDU-02"='각층분기별_유효전력최대(전월)'!B164:B2180)*("[branch#001] [A] kWh last month"='각층분기별_유효전력최대(전월)'!C164:C2180),0))</f>
        <v>#N/A</v>
      </c>
      <c r="AD165" s="3804">
        <f>SUM(AA165:AB174)</f>
        <v>5461.4</v>
      </c>
      <c r="AE165" s="2500"/>
      <c r="AG165">
        <v>37.099999999999994</v>
      </c>
      <c r="AH165" s="1366">
        <f t="shared" si="20"/>
        <v>-1.039256800559258</v>
      </c>
      <c r="AJ165" s="2367">
        <f t="shared" si="21"/>
        <v>7.3405913978494617</v>
      </c>
      <c r="AK165" s="2367">
        <f t="shared" si="22"/>
        <v>-1.290591397849461</v>
      </c>
      <c r="AL165" s="123" t="str">
        <f t="shared" si="23"/>
        <v>사용초과</v>
      </c>
      <c r="AR165" s="123"/>
      <c r="AS165" s="123"/>
      <c r="AU165" s="3084"/>
      <c r="AV165" s="123"/>
      <c r="AW165" s="123"/>
      <c r="AX165" s="3085"/>
      <c r="AY165" s="3086"/>
      <c r="AZ165" s="3087"/>
      <c r="BA165" s="3088"/>
      <c r="BB165" s="3089"/>
      <c r="BC165" s="3090"/>
      <c r="BD165" s="123"/>
    </row>
    <row r="166" spans="1:56">
      <c r="A166" s="3728"/>
      <c r="B166" s="2654" t="s">
        <v>1266</v>
      </c>
      <c r="C166" s="1142"/>
      <c r="D166" s="3731"/>
      <c r="E166" s="250" t="s">
        <v>3873</v>
      </c>
      <c r="F166" s="3340"/>
      <c r="G166" s="3709"/>
      <c r="H166" s="3676"/>
      <c r="I166" s="3679"/>
      <c r="J166" s="3682"/>
      <c r="K166" s="3685"/>
      <c r="L166" s="3521"/>
      <c r="M166" s="3690"/>
      <c r="N166" s="3693"/>
      <c r="O166" s="3696"/>
      <c r="P166" s="3699"/>
      <c r="Q166" s="3702"/>
      <c r="R166" s="3663"/>
      <c r="S166" s="3343"/>
      <c r="T166" s="3340"/>
      <c r="U166" s="3343"/>
      <c r="V166" s="3340"/>
      <c r="W166" s="3343"/>
      <c r="X166" s="3734"/>
      <c r="Y166" s="3716"/>
      <c r="Z166" s="3737"/>
      <c r="AA166" s="3740"/>
      <c r="AB166" s="3779"/>
      <c r="AC166" s="3214"/>
      <c r="AD166" s="3805"/>
      <c r="AE166" s="2501"/>
      <c r="AG166">
        <v>0</v>
      </c>
      <c r="AH166" s="1366">
        <f t="shared" si="20"/>
        <v>0</v>
      </c>
      <c r="AJ166" s="2367">
        <f t="shared" si="21"/>
        <v>0</v>
      </c>
      <c r="AK166" s="2367">
        <f t="shared" si="22"/>
        <v>0</v>
      </c>
      <c r="AL166" s="123" t="str">
        <f t="shared" si="23"/>
        <v>무부하 랙</v>
      </c>
      <c r="AR166" s="123"/>
      <c r="AS166" s="123"/>
      <c r="AU166" s="3084"/>
      <c r="AV166" s="123"/>
      <c r="AW166" s="123"/>
      <c r="AX166" s="3085"/>
      <c r="AY166" s="3086"/>
      <c r="AZ166" s="3087"/>
      <c r="BA166" s="3088"/>
      <c r="BB166" s="3089"/>
      <c r="BC166" s="3090"/>
      <c r="BD166" s="123"/>
    </row>
    <row r="167" spans="1:56" ht="21.6">
      <c r="A167" s="3728"/>
      <c r="B167" s="2654" t="s">
        <v>1278</v>
      </c>
      <c r="C167" s="1142" t="s">
        <v>9205</v>
      </c>
      <c r="D167" s="3731"/>
      <c r="E167" s="2653" t="s">
        <v>3874</v>
      </c>
      <c r="F167" s="3340"/>
      <c r="G167" s="3709"/>
      <c r="H167" s="3676"/>
      <c r="I167" s="3679"/>
      <c r="J167" s="3682"/>
      <c r="K167" s="3685"/>
      <c r="L167" s="3521"/>
      <c r="M167" s="3690"/>
      <c r="N167" s="3693"/>
      <c r="O167" s="3696"/>
      <c r="P167" s="3699"/>
      <c r="Q167" s="3702"/>
      <c r="R167" s="3663"/>
      <c r="S167" s="3343"/>
      <c r="T167" s="3340"/>
      <c r="U167" s="3343"/>
      <c r="V167" s="3340"/>
      <c r="W167" s="3343"/>
      <c r="X167" s="3734"/>
      <c r="Y167" s="3716"/>
      <c r="Z167" s="3737"/>
      <c r="AA167" s="3740"/>
      <c r="AB167" s="3779"/>
      <c r="AC167" s="3214"/>
      <c r="AD167" s="3805"/>
      <c r="AE167" s="2501"/>
      <c r="AG167">
        <v>0</v>
      </c>
      <c r="AH167" s="1366">
        <f t="shared" si="20"/>
        <v>0</v>
      </c>
      <c r="AJ167" s="2367">
        <f t="shared" si="21"/>
        <v>0</v>
      </c>
      <c r="AK167" s="2367">
        <f t="shared" si="22"/>
        <v>0</v>
      </c>
      <c r="AL167" s="123" t="str">
        <f t="shared" si="23"/>
        <v>무부하 랙</v>
      </c>
      <c r="AR167" s="123"/>
      <c r="AS167" s="123"/>
      <c r="AU167" s="3084"/>
      <c r="AV167" s="123"/>
      <c r="AW167" s="123"/>
      <c r="AX167" s="3085"/>
      <c r="AY167" s="3086"/>
      <c r="AZ167" s="3087"/>
      <c r="BA167" s="3088"/>
      <c r="BB167" s="3089"/>
      <c r="BC167" s="3090"/>
      <c r="BD167" s="123"/>
    </row>
    <row r="168" spans="1:56">
      <c r="A168" s="3728"/>
      <c r="B168" s="2654" t="s">
        <v>1284</v>
      </c>
      <c r="C168" s="1142"/>
      <c r="D168" s="3731"/>
      <c r="E168" s="250" t="s">
        <v>3875</v>
      </c>
      <c r="F168" s="3340"/>
      <c r="G168" s="3709"/>
      <c r="H168" s="3676"/>
      <c r="I168" s="3679"/>
      <c r="J168" s="3682"/>
      <c r="K168" s="3685"/>
      <c r="L168" s="3521"/>
      <c r="M168" s="3690"/>
      <c r="N168" s="3693"/>
      <c r="O168" s="3696"/>
      <c r="P168" s="3699"/>
      <c r="Q168" s="3702"/>
      <c r="R168" s="3663"/>
      <c r="S168" s="3343"/>
      <c r="T168" s="3340"/>
      <c r="U168" s="3343"/>
      <c r="V168" s="3340"/>
      <c r="W168" s="3343"/>
      <c r="X168" s="3734"/>
      <c r="Y168" s="3716"/>
      <c r="Z168" s="3737"/>
      <c r="AA168" s="3740"/>
      <c r="AB168" s="3779"/>
      <c r="AC168" s="3214"/>
      <c r="AD168" s="3805"/>
      <c r="AE168" s="2501"/>
      <c r="AG168">
        <v>0</v>
      </c>
      <c r="AH168" s="1366">
        <f t="shared" si="20"/>
        <v>0</v>
      </c>
      <c r="AJ168" s="2367">
        <f t="shared" si="21"/>
        <v>0</v>
      </c>
      <c r="AK168" s="2367">
        <f t="shared" si="22"/>
        <v>0</v>
      </c>
      <c r="AL168" s="123" t="str">
        <f t="shared" si="23"/>
        <v>무부하 랙</v>
      </c>
      <c r="AR168" s="123"/>
      <c r="AS168" s="123"/>
      <c r="AU168" s="3084"/>
      <c r="AV168" s="123"/>
      <c r="AW168" s="123"/>
      <c r="AX168" s="3085"/>
      <c r="AY168" s="3086"/>
      <c r="AZ168" s="3087"/>
      <c r="BA168" s="3088"/>
      <c r="BB168" s="3089"/>
      <c r="BC168" s="3090"/>
      <c r="BD168" s="123"/>
    </row>
    <row r="169" spans="1:56">
      <c r="A169" s="3728"/>
      <c r="B169" s="2654" t="s">
        <v>1290</v>
      </c>
      <c r="C169" s="1142"/>
      <c r="D169" s="3731"/>
      <c r="E169" s="250" t="s">
        <v>3876</v>
      </c>
      <c r="F169" s="3340"/>
      <c r="G169" s="3709"/>
      <c r="H169" s="3676"/>
      <c r="I169" s="3679"/>
      <c r="J169" s="3682"/>
      <c r="K169" s="3685"/>
      <c r="L169" s="3521"/>
      <c r="M169" s="3690"/>
      <c r="N169" s="3693"/>
      <c r="O169" s="3696"/>
      <c r="P169" s="3699"/>
      <c r="Q169" s="3702"/>
      <c r="R169" s="3663"/>
      <c r="S169" s="3343"/>
      <c r="T169" s="3340"/>
      <c r="U169" s="3343"/>
      <c r="V169" s="3340"/>
      <c r="W169" s="3343"/>
      <c r="X169" s="3734"/>
      <c r="Y169" s="3716"/>
      <c r="Z169" s="3737"/>
      <c r="AA169" s="3740"/>
      <c r="AB169" s="3779"/>
      <c r="AC169" s="3214"/>
      <c r="AD169" s="3805"/>
      <c r="AE169" s="2501"/>
      <c r="AG169">
        <v>0</v>
      </c>
      <c r="AH169" s="1366">
        <f t="shared" si="20"/>
        <v>0</v>
      </c>
      <c r="AJ169" s="2367">
        <f t="shared" si="21"/>
        <v>0</v>
      </c>
      <c r="AK169" s="2367">
        <f t="shared" si="22"/>
        <v>0</v>
      </c>
      <c r="AL169" s="123" t="str">
        <f t="shared" si="23"/>
        <v>무부하 랙</v>
      </c>
      <c r="AR169" s="123"/>
      <c r="AS169" s="123"/>
      <c r="AU169" s="3084"/>
      <c r="AV169" s="123"/>
      <c r="AW169" s="123"/>
      <c r="AX169" s="3085"/>
      <c r="AY169" s="3086"/>
      <c r="AZ169" s="3087"/>
      <c r="BA169" s="3088"/>
      <c r="BB169" s="3089"/>
      <c r="BC169" s="3090"/>
      <c r="BD169" s="123"/>
    </row>
    <row r="170" spans="1:56" ht="21.6">
      <c r="A170" s="3728"/>
      <c r="B170" s="2654" t="s">
        <v>1296</v>
      </c>
      <c r="C170" s="1142" t="s">
        <v>9206</v>
      </c>
      <c r="D170" s="3731"/>
      <c r="E170" s="2653" t="s">
        <v>3877</v>
      </c>
      <c r="F170" s="3340"/>
      <c r="G170" s="3709"/>
      <c r="H170" s="3676"/>
      <c r="I170" s="3679"/>
      <c r="J170" s="3682"/>
      <c r="K170" s="3685"/>
      <c r="L170" s="3521"/>
      <c r="M170" s="3690"/>
      <c r="N170" s="3693"/>
      <c r="O170" s="3696"/>
      <c r="P170" s="3699"/>
      <c r="Q170" s="3702"/>
      <c r="R170" s="3663"/>
      <c r="S170" s="3343"/>
      <c r="T170" s="3340"/>
      <c r="U170" s="3343"/>
      <c r="V170" s="3340"/>
      <c r="W170" s="3343"/>
      <c r="X170" s="3734"/>
      <c r="Y170" s="3716"/>
      <c r="Z170" s="3737"/>
      <c r="AA170" s="3740"/>
      <c r="AB170" s="3779"/>
      <c r="AC170" s="3214"/>
      <c r="AD170" s="3805"/>
      <c r="AE170" s="2501"/>
      <c r="AG170">
        <v>0</v>
      </c>
      <c r="AH170" s="1366">
        <f t="shared" si="20"/>
        <v>0</v>
      </c>
      <c r="AJ170" s="2367">
        <f t="shared" si="21"/>
        <v>0</v>
      </c>
      <c r="AK170" s="2367">
        <f t="shared" si="22"/>
        <v>0</v>
      </c>
      <c r="AL170" s="123" t="str">
        <f t="shared" si="23"/>
        <v>무부하 랙</v>
      </c>
      <c r="AR170" s="123"/>
      <c r="AS170" s="123"/>
      <c r="AU170" s="3084"/>
      <c r="AV170" s="123"/>
      <c r="AW170" s="123"/>
      <c r="AX170" s="3085"/>
      <c r="AY170" s="3086"/>
      <c r="AZ170" s="3087"/>
      <c r="BA170" s="3088"/>
      <c r="BB170" s="3089"/>
      <c r="BC170" s="3090"/>
      <c r="BD170" s="123"/>
    </row>
    <row r="171" spans="1:56" ht="21.6">
      <c r="A171" s="3728"/>
      <c r="B171" s="2654" t="s">
        <v>1302</v>
      </c>
      <c r="C171" s="1142" t="s">
        <v>9206</v>
      </c>
      <c r="D171" s="3731"/>
      <c r="E171" s="2653" t="s">
        <v>3878</v>
      </c>
      <c r="F171" s="3340"/>
      <c r="G171" s="3709"/>
      <c r="H171" s="3676"/>
      <c r="I171" s="3679"/>
      <c r="J171" s="3682"/>
      <c r="K171" s="3685"/>
      <c r="L171" s="3521"/>
      <c r="M171" s="3690"/>
      <c r="N171" s="3693"/>
      <c r="O171" s="3696"/>
      <c r="P171" s="3699"/>
      <c r="Q171" s="3702"/>
      <c r="R171" s="3663"/>
      <c r="S171" s="3343"/>
      <c r="T171" s="3340"/>
      <c r="U171" s="3343"/>
      <c r="V171" s="3340"/>
      <c r="W171" s="3343"/>
      <c r="X171" s="3734"/>
      <c r="Y171" s="3716"/>
      <c r="Z171" s="3737"/>
      <c r="AA171" s="3740"/>
      <c r="AB171" s="3779"/>
      <c r="AC171" s="3214"/>
      <c r="AD171" s="3805"/>
      <c r="AE171" s="2501"/>
      <c r="AG171">
        <v>0</v>
      </c>
      <c r="AH171" s="1366">
        <f t="shared" si="20"/>
        <v>0</v>
      </c>
      <c r="AJ171" s="2367">
        <f t="shared" si="21"/>
        <v>0</v>
      </c>
      <c r="AK171" s="2367">
        <f t="shared" si="22"/>
        <v>0</v>
      </c>
      <c r="AL171" s="123" t="str">
        <f t="shared" si="23"/>
        <v>무부하 랙</v>
      </c>
      <c r="AR171" s="123"/>
      <c r="AS171" s="123"/>
      <c r="AU171" s="3084"/>
      <c r="AV171" s="123"/>
      <c r="AW171" s="123"/>
      <c r="AX171" s="3085"/>
      <c r="AY171" s="3086"/>
      <c r="AZ171" s="3087"/>
      <c r="BA171" s="3088"/>
      <c r="BB171" s="3089"/>
      <c r="BC171" s="3090"/>
      <c r="BD171" s="123"/>
    </row>
    <row r="172" spans="1:56">
      <c r="A172" s="3728"/>
      <c r="B172" s="2654" t="s">
        <v>1308</v>
      </c>
      <c r="C172" s="1142"/>
      <c r="D172" s="3731"/>
      <c r="E172" s="250" t="s">
        <v>3879</v>
      </c>
      <c r="F172" s="3340"/>
      <c r="G172" s="3709"/>
      <c r="H172" s="3676"/>
      <c r="I172" s="3679"/>
      <c r="J172" s="3682"/>
      <c r="K172" s="3685"/>
      <c r="L172" s="3521"/>
      <c r="M172" s="3690"/>
      <c r="N172" s="3693"/>
      <c r="O172" s="3696"/>
      <c r="P172" s="3699"/>
      <c r="Q172" s="3702"/>
      <c r="R172" s="3663"/>
      <c r="S172" s="3343"/>
      <c r="T172" s="3340"/>
      <c r="U172" s="3343"/>
      <c r="V172" s="3340"/>
      <c r="W172" s="3343"/>
      <c r="X172" s="3734"/>
      <c r="Y172" s="3716"/>
      <c r="Z172" s="3737"/>
      <c r="AA172" s="3740"/>
      <c r="AB172" s="3779"/>
      <c r="AC172" s="3214"/>
      <c r="AD172" s="3805"/>
      <c r="AE172" s="2501"/>
      <c r="AG172">
        <v>0</v>
      </c>
      <c r="AH172" s="1366">
        <f t="shared" si="20"/>
        <v>0</v>
      </c>
      <c r="AJ172" s="2367">
        <f t="shared" si="21"/>
        <v>0</v>
      </c>
      <c r="AK172" s="2367">
        <f t="shared" si="22"/>
        <v>0</v>
      </c>
      <c r="AL172" s="123" t="str">
        <f t="shared" si="23"/>
        <v>무부하 랙</v>
      </c>
      <c r="AR172" s="123"/>
      <c r="AS172" s="123"/>
      <c r="AU172" s="3084"/>
      <c r="AV172" s="123"/>
      <c r="AW172" s="123"/>
      <c r="AX172" s="3085"/>
      <c r="AY172" s="3086"/>
      <c r="AZ172" s="3087"/>
      <c r="BA172" s="3088"/>
      <c r="BB172" s="3089"/>
      <c r="BC172" s="3090"/>
      <c r="BD172" s="123"/>
    </row>
    <row r="173" spans="1:56">
      <c r="A173" s="3728"/>
      <c r="B173" s="2654" t="s">
        <v>1314</v>
      </c>
      <c r="C173" s="1142" t="s">
        <v>9207</v>
      </c>
      <c r="D173" s="3731"/>
      <c r="E173" s="2653" t="s">
        <v>3880</v>
      </c>
      <c r="F173" s="3340"/>
      <c r="G173" s="3709"/>
      <c r="H173" s="3676"/>
      <c r="I173" s="3679"/>
      <c r="J173" s="3682"/>
      <c r="K173" s="3685"/>
      <c r="L173" s="3521"/>
      <c r="M173" s="3690"/>
      <c r="N173" s="3693"/>
      <c r="O173" s="3696"/>
      <c r="P173" s="3699"/>
      <c r="Q173" s="3702"/>
      <c r="R173" s="3663"/>
      <c r="S173" s="3343"/>
      <c r="T173" s="3340"/>
      <c r="U173" s="3343"/>
      <c r="V173" s="3340"/>
      <c r="W173" s="3343"/>
      <c r="X173" s="3734"/>
      <c r="Y173" s="3716"/>
      <c r="Z173" s="3737"/>
      <c r="AA173" s="3740"/>
      <c r="AB173" s="3779"/>
      <c r="AC173" s="3214"/>
      <c r="AD173" s="3805"/>
      <c r="AE173" s="2501"/>
      <c r="AG173">
        <v>0</v>
      </c>
      <c r="AH173" s="1366">
        <f t="shared" si="20"/>
        <v>0</v>
      </c>
      <c r="AJ173" s="2367">
        <f t="shared" si="21"/>
        <v>0</v>
      </c>
      <c r="AK173" s="2367">
        <f t="shared" si="22"/>
        <v>0</v>
      </c>
      <c r="AL173" s="123" t="str">
        <f t="shared" si="23"/>
        <v>무부하 랙</v>
      </c>
      <c r="AR173" s="123"/>
      <c r="AS173" s="123"/>
      <c r="AU173" s="3084"/>
      <c r="AV173" s="123"/>
      <c r="AW173" s="123"/>
      <c r="AX173" s="3085"/>
      <c r="AY173" s="3086"/>
      <c r="AZ173" s="3087"/>
      <c r="BA173" s="3088"/>
      <c r="BB173" s="3089"/>
      <c r="BC173" s="3090"/>
      <c r="BD173" s="123"/>
    </row>
    <row r="174" spans="1:56" ht="15" thickBot="1">
      <c r="A174" s="3729"/>
      <c r="B174" s="1132" t="s">
        <v>1320</v>
      </c>
      <c r="C174" s="1143"/>
      <c r="D174" s="3732"/>
      <c r="E174" s="2661" t="s">
        <v>3881</v>
      </c>
      <c r="F174" s="3341"/>
      <c r="G174" s="3710"/>
      <c r="H174" s="3677"/>
      <c r="I174" s="3680"/>
      <c r="J174" s="3683"/>
      <c r="K174" s="3686"/>
      <c r="L174" s="3688"/>
      <c r="M174" s="3691"/>
      <c r="N174" s="3694"/>
      <c r="O174" s="3697"/>
      <c r="P174" s="3700"/>
      <c r="Q174" s="3703"/>
      <c r="R174" s="3664"/>
      <c r="S174" s="3344"/>
      <c r="T174" s="3341"/>
      <c r="U174" s="3344"/>
      <c r="V174" s="3341"/>
      <c r="W174" s="3344"/>
      <c r="X174" s="3735"/>
      <c r="Y174" s="3717"/>
      <c r="Z174" s="3738"/>
      <c r="AA174" s="3741"/>
      <c r="AB174" s="3780"/>
      <c r="AC174" s="3214"/>
      <c r="AD174" s="3806"/>
      <c r="AE174" s="2502"/>
      <c r="AG174">
        <v>0</v>
      </c>
      <c r="AH174" s="1366">
        <f t="shared" si="20"/>
        <v>0</v>
      </c>
      <c r="AJ174" s="2367">
        <f t="shared" si="21"/>
        <v>0</v>
      </c>
      <c r="AK174" s="2367">
        <f t="shared" si="22"/>
        <v>0</v>
      </c>
      <c r="AL174" s="123" t="str">
        <f t="shared" si="23"/>
        <v>무부하 랙</v>
      </c>
      <c r="AR174" s="123"/>
      <c r="AS174" s="123"/>
      <c r="AU174" s="3084"/>
      <c r="AV174" s="123"/>
      <c r="AW174" s="123"/>
      <c r="AX174" s="3085"/>
      <c r="AY174" s="3086"/>
      <c r="AZ174" s="3087"/>
      <c r="BA174" s="3088"/>
      <c r="BB174" s="3089"/>
      <c r="BC174" s="3090"/>
      <c r="BD174" s="123"/>
    </row>
    <row r="175" spans="1:56" ht="22.2" thickTop="1">
      <c r="A175" s="3705" t="s">
        <v>3853</v>
      </c>
      <c r="B175" s="1131" t="s">
        <v>839</v>
      </c>
      <c r="C175" s="1141" t="s">
        <v>9208</v>
      </c>
      <c r="D175" s="3656">
        <f>2.2*8+1.1</f>
        <v>18.700000000000003</v>
      </c>
      <c r="E175" s="996" t="s">
        <v>3854</v>
      </c>
      <c r="F175" s="3354" t="s">
        <v>3855</v>
      </c>
      <c r="G175" s="3708" t="s">
        <v>3856</v>
      </c>
      <c r="H175" s="3675" t="str">
        <f>"4-DaHall 1-PDU-"&amp;L175&amp;"-"&amp;K175&amp;"-"&amp;M175</f>
        <v>4-DaHall 1-PDU-02-100-7</v>
      </c>
      <c r="I175" s="3678" t="str">
        <f>"4-DaHall 1-PDU-"&amp;P175&amp;"-"&amp;O175&amp;"-"&amp;Q175</f>
        <v>4-DaHall 1-PDU-01-100-7</v>
      </c>
      <c r="J175" s="3681">
        <v>220</v>
      </c>
      <c r="K175" s="3684">
        <v>100</v>
      </c>
      <c r="L175" s="3687" t="s">
        <v>6494</v>
      </c>
      <c r="M175" s="3689">
        <v>7</v>
      </c>
      <c r="N175" s="3692">
        <v>220</v>
      </c>
      <c r="O175" s="3695">
        <v>100</v>
      </c>
      <c r="P175" s="3698" t="s">
        <v>6498</v>
      </c>
      <c r="Q175" s="3701">
        <v>7</v>
      </c>
      <c r="R175" s="3662" t="s">
        <v>3742</v>
      </c>
      <c r="S175" s="3345" t="s">
        <v>3747</v>
      </c>
      <c r="T175" s="3354" t="s">
        <v>3743</v>
      </c>
      <c r="U175" s="3345" t="s">
        <v>3748</v>
      </c>
      <c r="V175" s="3354" t="s">
        <v>3744</v>
      </c>
      <c r="W175" s="3345" t="s">
        <v>3749</v>
      </c>
      <c r="X175" s="3733">
        <f>SUM('4층_부하량(월간_AVG)'!D12:F12)</f>
        <v>29.025108755804577</v>
      </c>
      <c r="Y175" s="3715">
        <f>SUM('4층_부하량(월간_AVG)'!N41:P41)</f>
        <v>12.555711806006379</v>
      </c>
      <c r="Z175" s="3714">
        <f t="shared" ref="Z175" si="28">SUM(X175:Y175)</f>
        <v>41.580820561810953</v>
      </c>
      <c r="AA175" s="3711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4479.1000000000004</v>
      </c>
      <c r="AB175" s="3781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1834.4</v>
      </c>
      <c r="AC175" s="3214" t="e" cm="1">
        <f t="array" ref="AC175">INDEX('각층분기별_유효전력최대(전월)'!A172:A2190,MATCH(1,("4-DaHall 1-PDU-02"='각층분기별_유효전력최대(전월)'!B174:B2190)*("[branch#001] [A] kWh last month"='각층분기별_유효전력최대(전월)'!C174:C2190),0))</f>
        <v>#N/A</v>
      </c>
      <c r="AD175" s="3545">
        <f>SUM(AA175:AB185)</f>
        <v>6313.5</v>
      </c>
      <c r="AE175" s="2500"/>
      <c r="AG175">
        <v>40.700000000000003</v>
      </c>
      <c r="AH175" s="1366">
        <f t="shared" si="20"/>
        <v>0.8808205618109497</v>
      </c>
      <c r="AJ175" s="2367">
        <f t="shared" si="21"/>
        <v>8.4858870967741939</v>
      </c>
      <c r="AK175" s="2367">
        <f t="shared" si="22"/>
        <v>10.214112903225809</v>
      </c>
      <c r="AL175" s="123" t="str">
        <f t="shared" si="23"/>
        <v>적정함</v>
      </c>
      <c r="AR175" s="123"/>
      <c r="AS175" s="123"/>
      <c r="AU175" s="3084"/>
      <c r="AV175" s="123"/>
      <c r="AW175" s="123"/>
      <c r="AX175" s="3085"/>
      <c r="AY175" s="3086"/>
      <c r="AZ175" s="3087"/>
      <c r="BA175" s="3088"/>
      <c r="BB175" s="3089"/>
      <c r="BC175" s="3090"/>
      <c r="BD175" s="123"/>
    </row>
    <row r="176" spans="1:56" ht="28.8">
      <c r="A176" s="3706"/>
      <c r="B176" s="2654" t="s">
        <v>2930</v>
      </c>
      <c r="C176" s="1142"/>
      <c r="D176" s="3657"/>
      <c r="E176" s="2653" t="s">
        <v>3857</v>
      </c>
      <c r="F176" s="3340"/>
      <c r="G176" s="3709"/>
      <c r="H176" s="3676"/>
      <c r="I176" s="3679"/>
      <c r="J176" s="3682"/>
      <c r="K176" s="3685"/>
      <c r="L176" s="3521"/>
      <c r="M176" s="3690"/>
      <c r="N176" s="3693"/>
      <c r="O176" s="3696"/>
      <c r="P176" s="3699"/>
      <c r="Q176" s="3702"/>
      <c r="R176" s="3663"/>
      <c r="S176" s="3343"/>
      <c r="T176" s="3340"/>
      <c r="U176" s="3343"/>
      <c r="V176" s="3340"/>
      <c r="W176" s="3343"/>
      <c r="X176" s="3734"/>
      <c r="Y176" s="3716"/>
      <c r="Z176" s="3507"/>
      <c r="AA176" s="3712"/>
      <c r="AB176" s="3782"/>
      <c r="AC176" s="3214"/>
      <c r="AD176" s="3535"/>
      <c r="AE176" s="2501" t="s">
        <v>3858</v>
      </c>
      <c r="AG176">
        <v>0</v>
      </c>
      <c r="AH176" s="1366">
        <f t="shared" si="20"/>
        <v>0</v>
      </c>
      <c r="AJ176" s="2367">
        <f t="shared" si="21"/>
        <v>0</v>
      </c>
      <c r="AK176" s="2367">
        <f t="shared" si="22"/>
        <v>0</v>
      </c>
      <c r="AL176" s="123" t="str">
        <f t="shared" si="23"/>
        <v>무부하 랙</v>
      </c>
      <c r="AR176" s="123"/>
      <c r="AS176" s="123"/>
      <c r="AU176" s="3084"/>
      <c r="AV176" s="123"/>
      <c r="AW176" s="123"/>
      <c r="AX176" s="3085"/>
      <c r="AY176" s="3086"/>
      <c r="AZ176" s="3087"/>
      <c r="BA176" s="3088"/>
      <c r="BB176" s="3089"/>
      <c r="BC176" s="3090"/>
      <c r="BD176" s="123"/>
    </row>
    <row r="177" spans="1:56" ht="21.6">
      <c r="A177" s="3706"/>
      <c r="B177" s="2654" t="s">
        <v>2936</v>
      </c>
      <c r="C177" s="1142" t="s">
        <v>9208</v>
      </c>
      <c r="D177" s="3657"/>
      <c r="E177" s="2653" t="s">
        <v>3859</v>
      </c>
      <c r="F177" s="3340"/>
      <c r="G177" s="3709"/>
      <c r="H177" s="3676"/>
      <c r="I177" s="3679"/>
      <c r="J177" s="3682"/>
      <c r="K177" s="3685"/>
      <c r="L177" s="3521"/>
      <c r="M177" s="3690"/>
      <c r="N177" s="3693"/>
      <c r="O177" s="3696"/>
      <c r="P177" s="3699"/>
      <c r="Q177" s="3702"/>
      <c r="R177" s="3663"/>
      <c r="S177" s="3343"/>
      <c r="T177" s="3340"/>
      <c r="U177" s="3343"/>
      <c r="V177" s="3340"/>
      <c r="W177" s="3343"/>
      <c r="X177" s="3734"/>
      <c r="Y177" s="3716"/>
      <c r="Z177" s="3507"/>
      <c r="AA177" s="3712"/>
      <c r="AB177" s="3782"/>
      <c r="AC177" s="3214"/>
      <c r="AD177" s="3535"/>
      <c r="AE177" s="2501"/>
      <c r="AG177">
        <v>0</v>
      </c>
      <c r="AH177" s="1366">
        <f t="shared" si="20"/>
        <v>0</v>
      </c>
      <c r="AJ177" s="2367">
        <f t="shared" si="21"/>
        <v>0</v>
      </c>
      <c r="AK177" s="2367">
        <f t="shared" si="22"/>
        <v>0</v>
      </c>
      <c r="AL177" s="123" t="str">
        <f t="shared" si="23"/>
        <v>무부하 랙</v>
      </c>
      <c r="AR177" s="123"/>
      <c r="AS177" s="123"/>
      <c r="AU177" s="3084"/>
      <c r="AV177" s="123"/>
      <c r="AW177" s="123"/>
      <c r="AX177" s="3085"/>
      <c r="AY177" s="3086"/>
      <c r="AZ177" s="3087"/>
      <c r="BA177" s="3088"/>
      <c r="BB177" s="3089"/>
      <c r="BC177" s="3090"/>
      <c r="BD177" s="123"/>
    </row>
    <row r="178" spans="1:56" ht="21.6">
      <c r="A178" s="3706"/>
      <c r="B178" s="2654" t="s">
        <v>2942</v>
      </c>
      <c r="C178" s="1142" t="s">
        <v>9209</v>
      </c>
      <c r="D178" s="3657"/>
      <c r="E178" s="2653" t="s">
        <v>3860</v>
      </c>
      <c r="F178" s="3340"/>
      <c r="G178" s="3709"/>
      <c r="H178" s="3676"/>
      <c r="I178" s="3679"/>
      <c r="J178" s="3682"/>
      <c r="K178" s="3685"/>
      <c r="L178" s="3521"/>
      <c r="M178" s="3690"/>
      <c r="N178" s="3693"/>
      <c r="O178" s="3696"/>
      <c r="P178" s="3699"/>
      <c r="Q178" s="3702"/>
      <c r="R178" s="3663"/>
      <c r="S178" s="3343"/>
      <c r="T178" s="3340"/>
      <c r="U178" s="3343"/>
      <c r="V178" s="3340"/>
      <c r="W178" s="3343"/>
      <c r="X178" s="3734"/>
      <c r="Y178" s="3716"/>
      <c r="Z178" s="3507"/>
      <c r="AA178" s="3712"/>
      <c r="AB178" s="3782"/>
      <c r="AC178" s="3214"/>
      <c r="AD178" s="3535"/>
      <c r="AE178" s="2501"/>
      <c r="AG178">
        <v>0</v>
      </c>
      <c r="AH178" s="1366">
        <f t="shared" si="20"/>
        <v>0</v>
      </c>
      <c r="AJ178" s="2367">
        <f t="shared" si="21"/>
        <v>0</v>
      </c>
      <c r="AK178" s="2367">
        <f t="shared" si="22"/>
        <v>0</v>
      </c>
      <c r="AL178" s="123" t="str">
        <f t="shared" si="23"/>
        <v>무부하 랙</v>
      </c>
      <c r="AR178" s="123"/>
      <c r="AS178" s="123"/>
      <c r="AU178" s="3084"/>
      <c r="AV178" s="123"/>
      <c r="AW178" s="123"/>
      <c r="AX178" s="3085"/>
      <c r="AY178" s="3086"/>
      <c r="AZ178" s="3087"/>
      <c r="BA178" s="3088"/>
      <c r="BB178" s="3089"/>
      <c r="BC178" s="3090"/>
      <c r="BD178" s="123"/>
    </row>
    <row r="179" spans="1:56" ht="21.6">
      <c r="A179" s="3706"/>
      <c r="B179" s="2654" t="s">
        <v>2948</v>
      </c>
      <c r="C179" s="1142" t="s">
        <v>9182</v>
      </c>
      <c r="D179" s="3657"/>
      <c r="E179" s="2653" t="s">
        <v>3861</v>
      </c>
      <c r="F179" s="3340"/>
      <c r="G179" s="3709"/>
      <c r="H179" s="3676"/>
      <c r="I179" s="3679"/>
      <c r="J179" s="3682"/>
      <c r="K179" s="3685"/>
      <c r="L179" s="3521"/>
      <c r="M179" s="3690"/>
      <c r="N179" s="3693"/>
      <c r="O179" s="3696"/>
      <c r="P179" s="3699"/>
      <c r="Q179" s="3702"/>
      <c r="R179" s="3663"/>
      <c r="S179" s="3343"/>
      <c r="T179" s="3340"/>
      <c r="U179" s="3343"/>
      <c r="V179" s="3340"/>
      <c r="W179" s="3343"/>
      <c r="X179" s="3734"/>
      <c r="Y179" s="3716"/>
      <c r="Z179" s="3507"/>
      <c r="AA179" s="3712"/>
      <c r="AB179" s="3782"/>
      <c r="AC179" s="3214"/>
      <c r="AD179" s="3535"/>
      <c r="AE179" s="2501"/>
      <c r="AG179">
        <v>0</v>
      </c>
      <c r="AH179" s="1366">
        <f t="shared" si="20"/>
        <v>0</v>
      </c>
      <c r="AJ179" s="2367">
        <f t="shared" si="21"/>
        <v>0</v>
      </c>
      <c r="AK179" s="2367">
        <f t="shared" si="22"/>
        <v>0</v>
      </c>
      <c r="AL179" s="123" t="str">
        <f t="shared" si="23"/>
        <v>무부하 랙</v>
      </c>
      <c r="AR179" s="123"/>
      <c r="AS179" s="123"/>
      <c r="AU179" s="3084"/>
      <c r="AV179" s="123"/>
      <c r="AW179" s="123"/>
      <c r="AX179" s="3085"/>
      <c r="AY179" s="3086"/>
      <c r="AZ179" s="3087"/>
      <c r="BA179" s="3088"/>
      <c r="BB179" s="3089"/>
      <c r="BC179" s="3090"/>
      <c r="BD179" s="123"/>
    </row>
    <row r="180" spans="1:56" ht="21.6">
      <c r="A180" s="3706"/>
      <c r="B180" s="2654" t="s">
        <v>2954</v>
      </c>
      <c r="C180" s="1142" t="s">
        <v>9182</v>
      </c>
      <c r="D180" s="3657"/>
      <c r="E180" s="2653" t="s">
        <v>3862</v>
      </c>
      <c r="F180" s="3340"/>
      <c r="G180" s="3709"/>
      <c r="H180" s="3676"/>
      <c r="I180" s="3679"/>
      <c r="J180" s="3682"/>
      <c r="K180" s="3685"/>
      <c r="L180" s="3521"/>
      <c r="M180" s="3690"/>
      <c r="N180" s="3693"/>
      <c r="O180" s="3696"/>
      <c r="P180" s="3699"/>
      <c r="Q180" s="3702"/>
      <c r="R180" s="3663"/>
      <c r="S180" s="3343"/>
      <c r="T180" s="3340"/>
      <c r="U180" s="3343"/>
      <c r="V180" s="3340"/>
      <c r="W180" s="3343"/>
      <c r="X180" s="3734"/>
      <c r="Y180" s="3716"/>
      <c r="Z180" s="3507"/>
      <c r="AA180" s="3712"/>
      <c r="AB180" s="3782"/>
      <c r="AC180" s="3214"/>
      <c r="AD180" s="3535"/>
      <c r="AE180" s="2501"/>
      <c r="AG180">
        <v>0</v>
      </c>
      <c r="AH180" s="1366">
        <f t="shared" si="20"/>
        <v>0</v>
      </c>
      <c r="AJ180" s="2367">
        <f t="shared" si="21"/>
        <v>0</v>
      </c>
      <c r="AK180" s="2367">
        <f t="shared" si="22"/>
        <v>0</v>
      </c>
      <c r="AL180" s="123" t="str">
        <f t="shared" si="23"/>
        <v>무부하 랙</v>
      </c>
      <c r="AR180" s="123"/>
      <c r="AS180" s="123"/>
      <c r="AU180" s="3084"/>
      <c r="AV180" s="123"/>
      <c r="AW180" s="123"/>
      <c r="AX180" s="3085"/>
      <c r="AY180" s="3086"/>
      <c r="AZ180" s="3087"/>
      <c r="BA180" s="3088"/>
      <c r="BB180" s="3089"/>
      <c r="BC180" s="3090"/>
      <c r="BD180" s="123"/>
    </row>
    <row r="181" spans="1:56" ht="21.6">
      <c r="A181" s="3706"/>
      <c r="B181" s="2654" t="s">
        <v>2960</v>
      </c>
      <c r="C181" s="1142" t="s">
        <v>9209</v>
      </c>
      <c r="D181" s="3657"/>
      <c r="E181" s="2653" t="s">
        <v>3863</v>
      </c>
      <c r="F181" s="3340"/>
      <c r="G181" s="3709"/>
      <c r="H181" s="3676"/>
      <c r="I181" s="3679"/>
      <c r="J181" s="3682"/>
      <c r="K181" s="3685"/>
      <c r="L181" s="3521"/>
      <c r="M181" s="3690"/>
      <c r="N181" s="3693"/>
      <c r="O181" s="3696"/>
      <c r="P181" s="3699"/>
      <c r="Q181" s="3702"/>
      <c r="R181" s="3663"/>
      <c r="S181" s="3343"/>
      <c r="T181" s="3340"/>
      <c r="U181" s="3343"/>
      <c r="V181" s="3340"/>
      <c r="W181" s="3343"/>
      <c r="X181" s="3734"/>
      <c r="Y181" s="3716"/>
      <c r="Z181" s="3507"/>
      <c r="AA181" s="3712"/>
      <c r="AB181" s="3782"/>
      <c r="AC181" s="3214"/>
      <c r="AD181" s="3535"/>
      <c r="AE181" s="2501"/>
      <c r="AG181">
        <v>0</v>
      </c>
      <c r="AH181" s="1366">
        <f t="shared" si="20"/>
        <v>0</v>
      </c>
      <c r="AJ181" s="2367">
        <f t="shared" si="21"/>
        <v>0</v>
      </c>
      <c r="AK181" s="2367">
        <f t="shared" si="22"/>
        <v>0</v>
      </c>
      <c r="AL181" s="123" t="str">
        <f t="shared" si="23"/>
        <v>무부하 랙</v>
      </c>
      <c r="AR181" s="123"/>
      <c r="AS181" s="123"/>
      <c r="AU181" s="3084"/>
      <c r="AV181" s="123"/>
      <c r="AW181" s="123"/>
      <c r="AX181" s="3085"/>
      <c r="AY181" s="3086"/>
      <c r="AZ181" s="3087"/>
      <c r="BA181" s="3088"/>
      <c r="BB181" s="3089"/>
      <c r="BC181" s="3090"/>
      <c r="BD181" s="123"/>
    </row>
    <row r="182" spans="1:56" ht="21.6">
      <c r="A182" s="3706"/>
      <c r="B182" s="2654" t="s">
        <v>2966</v>
      </c>
      <c r="C182" s="1142" t="s">
        <v>9182</v>
      </c>
      <c r="D182" s="3657"/>
      <c r="E182" s="2653" t="s">
        <v>3864</v>
      </c>
      <c r="F182" s="3340"/>
      <c r="G182" s="3709"/>
      <c r="H182" s="3676"/>
      <c r="I182" s="3679"/>
      <c r="J182" s="3682"/>
      <c r="K182" s="3685"/>
      <c r="L182" s="3521"/>
      <c r="M182" s="3690"/>
      <c r="N182" s="3693"/>
      <c r="O182" s="3696"/>
      <c r="P182" s="3699"/>
      <c r="Q182" s="3702"/>
      <c r="R182" s="3663"/>
      <c r="S182" s="3343"/>
      <c r="T182" s="3340"/>
      <c r="U182" s="3343"/>
      <c r="V182" s="3340"/>
      <c r="W182" s="3343"/>
      <c r="X182" s="3734"/>
      <c r="Y182" s="3716"/>
      <c r="Z182" s="3507"/>
      <c r="AA182" s="3712"/>
      <c r="AB182" s="3782"/>
      <c r="AC182" s="3214"/>
      <c r="AD182" s="3535"/>
      <c r="AE182" s="2501"/>
      <c r="AG182">
        <v>0</v>
      </c>
      <c r="AH182" s="1366">
        <f t="shared" si="20"/>
        <v>0</v>
      </c>
      <c r="AJ182" s="2367">
        <f t="shared" si="21"/>
        <v>0</v>
      </c>
      <c r="AK182" s="2367">
        <f t="shared" si="22"/>
        <v>0</v>
      </c>
      <c r="AL182" s="123" t="str">
        <f t="shared" si="23"/>
        <v>무부하 랙</v>
      </c>
      <c r="AR182" s="123"/>
      <c r="AS182" s="123"/>
      <c r="AU182" s="3084"/>
      <c r="AV182" s="123"/>
      <c r="AW182" s="123"/>
      <c r="AX182" s="3085"/>
      <c r="AY182" s="3086"/>
      <c r="AZ182" s="3087"/>
      <c r="BA182" s="3088"/>
      <c r="BB182" s="3089"/>
      <c r="BC182" s="3090"/>
      <c r="BD182" s="123"/>
    </row>
    <row r="183" spans="1:56" ht="21.6">
      <c r="A183" s="3706"/>
      <c r="B183" s="2654" t="s">
        <v>2972</v>
      </c>
      <c r="C183" s="1142" t="s">
        <v>9182</v>
      </c>
      <c r="D183" s="3657"/>
      <c r="E183" s="2653" t="s">
        <v>3865</v>
      </c>
      <c r="F183" s="3340"/>
      <c r="G183" s="3709"/>
      <c r="H183" s="3676"/>
      <c r="I183" s="3679"/>
      <c r="J183" s="3682"/>
      <c r="K183" s="3685"/>
      <c r="L183" s="3521"/>
      <c r="M183" s="3690"/>
      <c r="N183" s="3693"/>
      <c r="O183" s="3696"/>
      <c r="P183" s="3699"/>
      <c r="Q183" s="3702"/>
      <c r="R183" s="3663"/>
      <c r="S183" s="3343"/>
      <c r="T183" s="3340"/>
      <c r="U183" s="3343"/>
      <c r="V183" s="3340"/>
      <c r="W183" s="3343"/>
      <c r="X183" s="3734"/>
      <c r="Y183" s="3716"/>
      <c r="Z183" s="3507"/>
      <c r="AA183" s="3712"/>
      <c r="AB183" s="3782"/>
      <c r="AC183" s="3214"/>
      <c r="AD183" s="3535"/>
      <c r="AE183" s="2501"/>
      <c r="AG183">
        <v>0</v>
      </c>
      <c r="AH183" s="1366">
        <f t="shared" si="20"/>
        <v>0</v>
      </c>
      <c r="AJ183" s="2367">
        <f t="shared" si="21"/>
        <v>0</v>
      </c>
      <c r="AK183" s="2367">
        <f t="shared" si="22"/>
        <v>0</v>
      </c>
      <c r="AL183" s="123" t="str">
        <f t="shared" si="23"/>
        <v>무부하 랙</v>
      </c>
      <c r="AR183" s="123"/>
      <c r="AS183" s="123"/>
      <c r="AU183" s="3084"/>
      <c r="AV183" s="123"/>
      <c r="AW183" s="123"/>
      <c r="AX183" s="3085"/>
      <c r="AY183" s="3086"/>
      <c r="AZ183" s="3087"/>
      <c r="BA183" s="3088"/>
      <c r="BB183" s="3089"/>
      <c r="BC183" s="3090"/>
      <c r="BD183" s="123"/>
    </row>
    <row r="184" spans="1:56">
      <c r="A184" s="3706"/>
      <c r="B184" s="2654" t="s">
        <v>2973</v>
      </c>
      <c r="C184" s="1142"/>
      <c r="D184" s="3657"/>
      <c r="E184" s="250" t="s">
        <v>3866</v>
      </c>
      <c r="F184" s="3340"/>
      <c r="G184" s="3709"/>
      <c r="H184" s="3676"/>
      <c r="I184" s="3679"/>
      <c r="J184" s="3682"/>
      <c r="K184" s="3685"/>
      <c r="L184" s="3521"/>
      <c r="M184" s="3690"/>
      <c r="N184" s="3693"/>
      <c r="O184" s="3696"/>
      <c r="P184" s="3699"/>
      <c r="Q184" s="3702"/>
      <c r="R184" s="3663"/>
      <c r="S184" s="3343"/>
      <c r="T184" s="3340"/>
      <c r="U184" s="3343"/>
      <c r="V184" s="3340"/>
      <c r="W184" s="3343"/>
      <c r="X184" s="3734"/>
      <c r="Y184" s="3716"/>
      <c r="Z184" s="3507"/>
      <c r="AA184" s="3712"/>
      <c r="AB184" s="3782"/>
      <c r="AC184" s="3214"/>
      <c r="AD184" s="3535"/>
      <c r="AE184" s="2501"/>
      <c r="AG184">
        <v>0</v>
      </c>
      <c r="AH184" s="1366">
        <f t="shared" si="20"/>
        <v>0</v>
      </c>
      <c r="AJ184" s="2367">
        <f t="shared" si="21"/>
        <v>0</v>
      </c>
      <c r="AK184" s="2367">
        <f t="shared" si="22"/>
        <v>0</v>
      </c>
      <c r="AL184" s="123" t="str">
        <f t="shared" si="23"/>
        <v>무부하 랙</v>
      </c>
      <c r="AR184" s="123"/>
      <c r="AS184" s="123"/>
      <c r="AU184" s="3084"/>
      <c r="AV184" s="123"/>
      <c r="AW184" s="123"/>
      <c r="AX184" s="3085"/>
      <c r="AY184" s="3086"/>
      <c r="AZ184" s="3087"/>
      <c r="BA184" s="3088"/>
      <c r="BB184" s="3089"/>
      <c r="BC184" s="3090"/>
      <c r="BD184" s="123"/>
    </row>
    <row r="185" spans="1:56" ht="15" thickBot="1">
      <c r="A185" s="3707"/>
      <c r="B185" s="1132" t="s">
        <v>3867</v>
      </c>
      <c r="C185" s="1143" t="s">
        <v>9210</v>
      </c>
      <c r="D185" s="3658"/>
      <c r="E185" s="2672" t="s">
        <v>3868</v>
      </c>
      <c r="F185" s="3341"/>
      <c r="G185" s="3710"/>
      <c r="H185" s="3677"/>
      <c r="I185" s="3680"/>
      <c r="J185" s="3683"/>
      <c r="K185" s="3686"/>
      <c r="L185" s="3688"/>
      <c r="M185" s="3691"/>
      <c r="N185" s="3694"/>
      <c r="O185" s="3697"/>
      <c r="P185" s="3700"/>
      <c r="Q185" s="3703"/>
      <c r="R185" s="3664"/>
      <c r="S185" s="3344"/>
      <c r="T185" s="3341"/>
      <c r="U185" s="3344"/>
      <c r="V185" s="3341"/>
      <c r="W185" s="3344"/>
      <c r="X185" s="3735"/>
      <c r="Y185" s="3717"/>
      <c r="Z185" s="3514"/>
      <c r="AA185" s="3713"/>
      <c r="AB185" s="3783"/>
      <c r="AC185" s="3214"/>
      <c r="AD185" s="3543"/>
      <c r="AE185" s="2502"/>
      <c r="AG185">
        <v>0</v>
      </c>
      <c r="AH185" s="1366">
        <f t="shared" si="20"/>
        <v>0</v>
      </c>
      <c r="AJ185" s="2367">
        <f t="shared" si="21"/>
        <v>0</v>
      </c>
      <c r="AK185" s="2367">
        <f t="shared" si="22"/>
        <v>0</v>
      </c>
      <c r="AL185" s="123" t="str">
        <f t="shared" si="23"/>
        <v>무부하 랙</v>
      </c>
      <c r="AR185" s="123"/>
      <c r="AS185" s="123"/>
      <c r="AU185" s="3084"/>
      <c r="AV185" s="123"/>
      <c r="AW185" s="123"/>
      <c r="AX185" s="3085"/>
      <c r="AY185" s="3086"/>
      <c r="AZ185" s="3087"/>
      <c r="BA185" s="3088"/>
      <c r="BB185" s="3089"/>
      <c r="BC185" s="3090"/>
      <c r="BD185" s="123"/>
    </row>
    <row r="186" spans="1:56" ht="22.2" thickTop="1">
      <c r="A186" s="3705" t="s">
        <v>3836</v>
      </c>
      <c r="B186" s="1131" t="s">
        <v>892</v>
      </c>
      <c r="C186" s="1141" t="s">
        <v>9211</v>
      </c>
      <c r="D186" s="3656">
        <f>0.55+2.2*6</f>
        <v>13.750000000000002</v>
      </c>
      <c r="E186" s="996" t="s">
        <v>3837</v>
      </c>
      <c r="F186" s="3354" t="s">
        <v>3838</v>
      </c>
      <c r="G186" s="3708" t="s">
        <v>3839</v>
      </c>
      <c r="H186" s="3675" t="str">
        <f>"4-DaHall 1-PDU-"&amp;L186&amp;"-"&amp;K186&amp;"-"&amp;M186</f>
        <v>4-DaHall 1-PDU-04-100-8</v>
      </c>
      <c r="I186" s="3678" t="str">
        <f>"4-DaHall 1-PDU-"&amp;P186&amp;"-"&amp;O186&amp;"-"&amp;Q186</f>
        <v>4-DaHall 1-PDU-03-100-8</v>
      </c>
      <c r="J186" s="3681">
        <v>220</v>
      </c>
      <c r="K186" s="3684">
        <v>100</v>
      </c>
      <c r="L186" s="3687" t="s">
        <v>6496</v>
      </c>
      <c r="M186" s="3689">
        <v>8</v>
      </c>
      <c r="N186" s="3692">
        <v>220</v>
      </c>
      <c r="O186" s="3695">
        <v>100</v>
      </c>
      <c r="P186" s="3698" t="s">
        <v>6500</v>
      </c>
      <c r="Q186" s="3701">
        <v>8</v>
      </c>
      <c r="R186" s="3662" t="s">
        <v>3774</v>
      </c>
      <c r="S186" s="3345" t="s">
        <v>3775</v>
      </c>
      <c r="T186" s="3354" t="s">
        <v>3776</v>
      </c>
      <c r="U186" s="3345" t="s">
        <v>3777</v>
      </c>
      <c r="V186" s="3354" t="s">
        <v>3744</v>
      </c>
      <c r="W186" s="3345" t="s">
        <v>3749</v>
      </c>
      <c r="X186" s="3733">
        <f>SUM('4층_부하량(월간_AVG)'!N13:P13)</f>
        <v>22.365613183682324</v>
      </c>
      <c r="Y186" s="3715">
        <f>SUM('4층_부하량(월간_AVG)'!D55:F55)</f>
        <v>18.481394385227542</v>
      </c>
      <c r="Z186" s="3714">
        <f t="shared" ref="Z186" si="29">SUM(X186:Y186)</f>
        <v>40.847007568909866</v>
      </c>
      <c r="AA186" s="3711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3332.2</v>
      </c>
      <c r="AB186" s="3781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2694.9</v>
      </c>
      <c r="AC186" s="3214" t="e" cm="1">
        <f t="array" ref="AC186">INDEX('각층분기별_유효전력최대(전월)'!A183:A2201,MATCH(1,("4-DaHall 1-PDU-02"='각층분기별_유효전력최대(전월)'!B185:B2201)*("[branch#001] [A] kWh last month"='각층분기별_유효전력최대(전월)'!C185:C2201),0))</f>
        <v>#N/A</v>
      </c>
      <c r="AD186" s="3545">
        <f>SUM(AA186:AB197)</f>
        <v>6027.1</v>
      </c>
      <c r="AE186" s="2500"/>
      <c r="AG186">
        <v>39</v>
      </c>
      <c r="AH186" s="1366">
        <f t="shared" si="20"/>
        <v>1.8470075689098664</v>
      </c>
      <c r="AJ186" s="2367">
        <f t="shared" si="21"/>
        <v>8.1009408602150543</v>
      </c>
      <c r="AK186" s="2367">
        <f t="shared" si="22"/>
        <v>5.6490591397849474</v>
      </c>
      <c r="AL186" s="123" t="str">
        <f t="shared" si="23"/>
        <v>적정함</v>
      </c>
      <c r="AR186" s="123"/>
      <c r="AS186" s="123"/>
      <c r="AU186" s="3084"/>
      <c r="AV186" s="123"/>
      <c r="AW186" s="123"/>
      <c r="AX186" s="3085"/>
      <c r="AY186" s="3086"/>
      <c r="AZ186" s="3087"/>
      <c r="BA186" s="3088"/>
      <c r="BB186" s="3089"/>
      <c r="BC186" s="3090"/>
      <c r="BD186" s="123"/>
    </row>
    <row r="187" spans="1:56">
      <c r="A187" s="3706"/>
      <c r="B187" s="2654" t="s">
        <v>2979</v>
      </c>
      <c r="C187" s="1142"/>
      <c r="D187" s="3657"/>
      <c r="E187" s="250" t="s">
        <v>3840</v>
      </c>
      <c r="F187" s="3340"/>
      <c r="G187" s="3709"/>
      <c r="H187" s="3676"/>
      <c r="I187" s="3679"/>
      <c r="J187" s="3682"/>
      <c r="K187" s="3685"/>
      <c r="L187" s="3521"/>
      <c r="M187" s="3690"/>
      <c r="N187" s="3693"/>
      <c r="O187" s="3696"/>
      <c r="P187" s="3699"/>
      <c r="Q187" s="3702"/>
      <c r="R187" s="3663"/>
      <c r="S187" s="3343"/>
      <c r="T187" s="3340"/>
      <c r="U187" s="3343"/>
      <c r="V187" s="3340"/>
      <c r="W187" s="3343"/>
      <c r="X187" s="3734"/>
      <c r="Y187" s="3716"/>
      <c r="Z187" s="3507"/>
      <c r="AA187" s="3712"/>
      <c r="AB187" s="3782"/>
      <c r="AC187" s="3214"/>
      <c r="AD187" s="3535"/>
      <c r="AE187" s="2501"/>
      <c r="AG187">
        <v>0</v>
      </c>
      <c r="AH187" s="1366">
        <f t="shared" si="20"/>
        <v>0</v>
      </c>
      <c r="AJ187" s="2367">
        <f t="shared" si="21"/>
        <v>0</v>
      </c>
      <c r="AK187" s="2367">
        <f t="shared" si="22"/>
        <v>0</v>
      </c>
      <c r="AL187" s="123" t="str">
        <f t="shared" si="23"/>
        <v>무부하 랙</v>
      </c>
      <c r="AR187" s="123"/>
      <c r="AS187" s="123"/>
      <c r="AU187" s="3084"/>
      <c r="AV187" s="123"/>
      <c r="AW187" s="123"/>
      <c r="AX187" s="3085"/>
      <c r="AY187" s="3086"/>
      <c r="AZ187" s="3087"/>
      <c r="BA187" s="3088"/>
      <c r="BB187" s="3089"/>
      <c r="BC187" s="3090"/>
      <c r="BD187" s="123"/>
    </row>
    <row r="188" spans="1:56">
      <c r="A188" s="3706"/>
      <c r="B188" s="2654" t="s">
        <v>2985</v>
      </c>
      <c r="C188" s="1142"/>
      <c r="D188" s="3657"/>
      <c r="E188" s="250" t="s">
        <v>3841</v>
      </c>
      <c r="F188" s="3340"/>
      <c r="G188" s="3709"/>
      <c r="H188" s="3676"/>
      <c r="I188" s="3679"/>
      <c r="J188" s="3682"/>
      <c r="K188" s="3685"/>
      <c r="L188" s="3521"/>
      <c r="M188" s="3690"/>
      <c r="N188" s="3693"/>
      <c r="O188" s="3696"/>
      <c r="P188" s="3699"/>
      <c r="Q188" s="3702"/>
      <c r="R188" s="3663"/>
      <c r="S188" s="3343"/>
      <c r="T188" s="3340"/>
      <c r="U188" s="3343"/>
      <c r="V188" s="3340"/>
      <c r="W188" s="3343"/>
      <c r="X188" s="3734"/>
      <c r="Y188" s="3716"/>
      <c r="Z188" s="3507"/>
      <c r="AA188" s="3712"/>
      <c r="AB188" s="3782"/>
      <c r="AC188" s="3214"/>
      <c r="AD188" s="3535"/>
      <c r="AE188" s="2501"/>
      <c r="AG188">
        <v>0</v>
      </c>
      <c r="AH188" s="1366">
        <f t="shared" si="20"/>
        <v>0</v>
      </c>
      <c r="AJ188" s="2367">
        <f t="shared" si="21"/>
        <v>0</v>
      </c>
      <c r="AK188" s="2367">
        <f t="shared" si="22"/>
        <v>0</v>
      </c>
      <c r="AL188" s="123" t="str">
        <f t="shared" si="23"/>
        <v>무부하 랙</v>
      </c>
      <c r="AR188" s="123"/>
      <c r="AS188" s="123"/>
      <c r="AU188" s="3084"/>
      <c r="AV188" s="123"/>
      <c r="AW188" s="123"/>
      <c r="AX188" s="3085"/>
      <c r="AY188" s="3086"/>
      <c r="AZ188" s="3087"/>
      <c r="BA188" s="3088"/>
      <c r="BB188" s="3089"/>
      <c r="BC188" s="3090"/>
      <c r="BD188" s="123"/>
    </row>
    <row r="189" spans="1:56" ht="21.6">
      <c r="A189" s="3706"/>
      <c r="B189" s="2654" t="s">
        <v>2991</v>
      </c>
      <c r="C189" s="1142" t="s">
        <v>9185</v>
      </c>
      <c r="D189" s="3657"/>
      <c r="E189" s="2653" t="s">
        <v>3842</v>
      </c>
      <c r="F189" s="3340"/>
      <c r="G189" s="3709"/>
      <c r="H189" s="3676"/>
      <c r="I189" s="3679"/>
      <c r="J189" s="3682"/>
      <c r="K189" s="3685"/>
      <c r="L189" s="3521"/>
      <c r="M189" s="3690"/>
      <c r="N189" s="3693"/>
      <c r="O189" s="3696"/>
      <c r="P189" s="3699"/>
      <c r="Q189" s="3702"/>
      <c r="R189" s="3663"/>
      <c r="S189" s="3343"/>
      <c r="T189" s="3340"/>
      <c r="U189" s="3343"/>
      <c r="V189" s="3340"/>
      <c r="W189" s="3343"/>
      <c r="X189" s="3734"/>
      <c r="Y189" s="3716"/>
      <c r="Z189" s="3507"/>
      <c r="AA189" s="3712"/>
      <c r="AB189" s="3782"/>
      <c r="AC189" s="3214"/>
      <c r="AD189" s="3535"/>
      <c r="AE189" s="2501"/>
      <c r="AG189">
        <v>0</v>
      </c>
      <c r="AH189" s="1366">
        <f t="shared" si="20"/>
        <v>0</v>
      </c>
      <c r="AJ189" s="2367">
        <f t="shared" si="21"/>
        <v>0</v>
      </c>
      <c r="AK189" s="2367">
        <f t="shared" si="22"/>
        <v>0</v>
      </c>
      <c r="AL189" s="123" t="str">
        <f t="shared" si="23"/>
        <v>무부하 랙</v>
      </c>
      <c r="AR189" s="123"/>
      <c r="AS189" s="123"/>
      <c r="AU189" s="3084"/>
      <c r="AV189" s="123"/>
      <c r="AW189" s="123"/>
      <c r="AX189" s="3085"/>
      <c r="AY189" s="3086"/>
      <c r="AZ189" s="3087"/>
      <c r="BA189" s="3088"/>
      <c r="BB189" s="3089"/>
      <c r="BC189" s="3090"/>
      <c r="BD189" s="123"/>
    </row>
    <row r="190" spans="1:56" ht="21.6">
      <c r="A190" s="3706"/>
      <c r="B190" s="2654" t="s">
        <v>2997</v>
      </c>
      <c r="C190" s="1142" t="s">
        <v>9209</v>
      </c>
      <c r="D190" s="3657"/>
      <c r="E190" s="2653" t="s">
        <v>3843</v>
      </c>
      <c r="F190" s="3340"/>
      <c r="G190" s="3709"/>
      <c r="H190" s="3676"/>
      <c r="I190" s="3679"/>
      <c r="J190" s="3682"/>
      <c r="K190" s="3685"/>
      <c r="L190" s="3521"/>
      <c r="M190" s="3690"/>
      <c r="N190" s="3693"/>
      <c r="O190" s="3696"/>
      <c r="P190" s="3699"/>
      <c r="Q190" s="3702"/>
      <c r="R190" s="3663"/>
      <c r="S190" s="3343"/>
      <c r="T190" s="3340"/>
      <c r="U190" s="3343"/>
      <c r="V190" s="3340"/>
      <c r="W190" s="3343"/>
      <c r="X190" s="3734"/>
      <c r="Y190" s="3716"/>
      <c r="Z190" s="3507"/>
      <c r="AA190" s="3712"/>
      <c r="AB190" s="3782"/>
      <c r="AC190" s="3214"/>
      <c r="AD190" s="3535"/>
      <c r="AE190" s="2501"/>
      <c r="AG190">
        <v>0</v>
      </c>
      <c r="AH190" s="1366">
        <f t="shared" si="20"/>
        <v>0</v>
      </c>
      <c r="AJ190" s="2367">
        <f t="shared" si="21"/>
        <v>0</v>
      </c>
      <c r="AK190" s="2367">
        <f t="shared" si="22"/>
        <v>0</v>
      </c>
      <c r="AL190" s="123" t="str">
        <f t="shared" si="23"/>
        <v>무부하 랙</v>
      </c>
      <c r="AR190" s="123"/>
      <c r="AS190" s="123"/>
      <c r="AU190" s="3084"/>
      <c r="AV190" s="123"/>
      <c r="AW190" s="123"/>
      <c r="AX190" s="3085"/>
      <c r="AY190" s="3086"/>
      <c r="AZ190" s="3087"/>
      <c r="BA190" s="3088"/>
      <c r="BB190" s="3089"/>
      <c r="BC190" s="3090"/>
      <c r="BD190" s="123"/>
    </row>
    <row r="191" spans="1:56" ht="21.6">
      <c r="A191" s="3706"/>
      <c r="B191" s="2654" t="s">
        <v>3003</v>
      </c>
      <c r="C191" s="1142" t="s">
        <v>9186</v>
      </c>
      <c r="D191" s="3657"/>
      <c r="E191" s="2653" t="s">
        <v>3844</v>
      </c>
      <c r="F191" s="3340"/>
      <c r="G191" s="3709"/>
      <c r="H191" s="3676"/>
      <c r="I191" s="3679"/>
      <c r="J191" s="3682"/>
      <c r="K191" s="3685"/>
      <c r="L191" s="3521"/>
      <c r="M191" s="3690"/>
      <c r="N191" s="3693"/>
      <c r="O191" s="3696"/>
      <c r="P191" s="3699"/>
      <c r="Q191" s="3702"/>
      <c r="R191" s="3663"/>
      <c r="S191" s="3343"/>
      <c r="T191" s="3340"/>
      <c r="U191" s="3343"/>
      <c r="V191" s="3340"/>
      <c r="W191" s="3343"/>
      <c r="X191" s="3734"/>
      <c r="Y191" s="3716"/>
      <c r="Z191" s="3507"/>
      <c r="AA191" s="3712"/>
      <c r="AB191" s="3782"/>
      <c r="AC191" s="3214"/>
      <c r="AD191" s="3535"/>
      <c r="AE191" s="2501"/>
      <c r="AG191">
        <v>0</v>
      </c>
      <c r="AH191" s="1366">
        <f t="shared" si="20"/>
        <v>0</v>
      </c>
      <c r="AJ191" s="2367">
        <f t="shared" si="21"/>
        <v>0</v>
      </c>
      <c r="AK191" s="2367">
        <f t="shared" si="22"/>
        <v>0</v>
      </c>
      <c r="AL191" s="123" t="str">
        <f t="shared" si="23"/>
        <v>무부하 랙</v>
      </c>
      <c r="AR191" s="123"/>
      <c r="AS191" s="123"/>
      <c r="AU191" s="3084"/>
      <c r="AV191" s="123"/>
      <c r="AW191" s="123"/>
      <c r="AX191" s="3085"/>
      <c r="AY191" s="3086"/>
      <c r="AZ191" s="3087"/>
      <c r="BA191" s="3088"/>
      <c r="BB191" s="3089"/>
      <c r="BC191" s="3090"/>
      <c r="BD191" s="123"/>
    </row>
    <row r="192" spans="1:56">
      <c r="A192" s="3706"/>
      <c r="B192" s="2654" t="s">
        <v>3009</v>
      </c>
      <c r="C192" s="1142"/>
      <c r="D192" s="3657"/>
      <c r="E192" s="250" t="s">
        <v>3845</v>
      </c>
      <c r="F192" s="3340"/>
      <c r="G192" s="3709"/>
      <c r="H192" s="3676"/>
      <c r="I192" s="3679"/>
      <c r="J192" s="3682"/>
      <c r="K192" s="3685"/>
      <c r="L192" s="3521"/>
      <c r="M192" s="3690"/>
      <c r="N192" s="3693"/>
      <c r="O192" s="3696"/>
      <c r="P192" s="3699"/>
      <c r="Q192" s="3702"/>
      <c r="R192" s="3663"/>
      <c r="S192" s="3343"/>
      <c r="T192" s="3340"/>
      <c r="U192" s="3343"/>
      <c r="V192" s="3340"/>
      <c r="W192" s="3343"/>
      <c r="X192" s="3734"/>
      <c r="Y192" s="3716"/>
      <c r="Z192" s="3507"/>
      <c r="AA192" s="3712"/>
      <c r="AB192" s="3782"/>
      <c r="AC192" s="3214"/>
      <c r="AD192" s="3535"/>
      <c r="AE192" s="2501"/>
      <c r="AG192">
        <v>0</v>
      </c>
      <c r="AH192" s="1366">
        <f t="shared" si="20"/>
        <v>0</v>
      </c>
      <c r="AJ192" s="2367">
        <f t="shared" si="21"/>
        <v>0</v>
      </c>
      <c r="AK192" s="2367">
        <f t="shared" si="22"/>
        <v>0</v>
      </c>
      <c r="AL192" s="123" t="str">
        <f t="shared" si="23"/>
        <v>무부하 랙</v>
      </c>
      <c r="AR192" s="123"/>
      <c r="AS192" s="123"/>
      <c r="AU192" s="3084"/>
      <c r="AV192" s="123"/>
      <c r="AW192" s="123"/>
      <c r="AX192" s="3085"/>
      <c r="AY192" s="3086"/>
      <c r="AZ192" s="3087"/>
      <c r="BA192" s="3088"/>
      <c r="BB192" s="3089"/>
      <c r="BC192" s="3090"/>
      <c r="BD192" s="123"/>
    </row>
    <row r="193" spans="1:56" ht="21.6">
      <c r="A193" s="3706"/>
      <c r="B193" s="2654" t="s">
        <v>3015</v>
      </c>
      <c r="C193" s="1142" t="s">
        <v>9185</v>
      </c>
      <c r="D193" s="3657"/>
      <c r="E193" s="2653" t="s">
        <v>3846</v>
      </c>
      <c r="F193" s="3340"/>
      <c r="G193" s="3709"/>
      <c r="H193" s="3676"/>
      <c r="I193" s="3679"/>
      <c r="J193" s="3682"/>
      <c r="K193" s="3685"/>
      <c r="L193" s="3521"/>
      <c r="M193" s="3690"/>
      <c r="N193" s="3693"/>
      <c r="O193" s="3696"/>
      <c r="P193" s="3699"/>
      <c r="Q193" s="3702"/>
      <c r="R193" s="3663"/>
      <c r="S193" s="3343"/>
      <c r="T193" s="3340"/>
      <c r="U193" s="3343"/>
      <c r="V193" s="3340"/>
      <c r="W193" s="3343"/>
      <c r="X193" s="3734"/>
      <c r="Y193" s="3716"/>
      <c r="Z193" s="3507"/>
      <c r="AA193" s="3712"/>
      <c r="AB193" s="3782"/>
      <c r="AC193" s="3214"/>
      <c r="AD193" s="3535"/>
      <c r="AE193" s="2501"/>
      <c r="AG193">
        <v>0</v>
      </c>
      <c r="AH193" s="1366">
        <f t="shared" si="20"/>
        <v>0</v>
      </c>
      <c r="AJ193" s="2367">
        <f t="shared" si="21"/>
        <v>0</v>
      </c>
      <c r="AK193" s="2367">
        <f t="shared" si="22"/>
        <v>0</v>
      </c>
      <c r="AL193" s="123" t="str">
        <f t="shared" si="23"/>
        <v>무부하 랙</v>
      </c>
      <c r="AR193" s="123"/>
      <c r="AS193" s="123"/>
      <c r="AU193" s="3084"/>
      <c r="AV193" s="123"/>
      <c r="AW193" s="123"/>
      <c r="AX193" s="3085"/>
      <c r="AY193" s="3086"/>
      <c r="AZ193" s="3087"/>
      <c r="BA193" s="3088"/>
      <c r="BB193" s="3089"/>
      <c r="BC193" s="3090"/>
      <c r="BD193" s="123"/>
    </row>
    <row r="194" spans="1:56" ht="21.6">
      <c r="A194" s="3706"/>
      <c r="B194" s="2654" t="s">
        <v>3021</v>
      </c>
      <c r="C194" s="1142" t="s">
        <v>9182</v>
      </c>
      <c r="D194" s="3657"/>
      <c r="E194" s="2653" t="s">
        <v>3847</v>
      </c>
      <c r="F194" s="3340"/>
      <c r="G194" s="3709"/>
      <c r="H194" s="3676"/>
      <c r="I194" s="3679"/>
      <c r="J194" s="3682"/>
      <c r="K194" s="3685"/>
      <c r="L194" s="3521"/>
      <c r="M194" s="3690"/>
      <c r="N194" s="3693"/>
      <c r="O194" s="3696"/>
      <c r="P194" s="3699"/>
      <c r="Q194" s="3702"/>
      <c r="R194" s="3663"/>
      <c r="S194" s="3343"/>
      <c r="T194" s="3340"/>
      <c r="U194" s="3343"/>
      <c r="V194" s="3340"/>
      <c r="W194" s="3343"/>
      <c r="X194" s="3734"/>
      <c r="Y194" s="3716"/>
      <c r="Z194" s="3507"/>
      <c r="AA194" s="3712"/>
      <c r="AB194" s="3782"/>
      <c r="AC194" s="3214"/>
      <c r="AD194" s="3535"/>
      <c r="AE194" s="2501"/>
      <c r="AG194">
        <v>0</v>
      </c>
      <c r="AH194" s="1366">
        <f t="shared" si="20"/>
        <v>0</v>
      </c>
      <c r="AJ194" s="2367">
        <f t="shared" si="21"/>
        <v>0</v>
      </c>
      <c r="AK194" s="2367">
        <f t="shared" si="22"/>
        <v>0</v>
      </c>
      <c r="AL194" s="123" t="str">
        <f t="shared" si="23"/>
        <v>무부하 랙</v>
      </c>
      <c r="AR194" s="123"/>
      <c r="AS194" s="123"/>
      <c r="AU194" s="3084"/>
      <c r="AV194" s="123"/>
      <c r="AW194" s="123"/>
      <c r="AX194" s="3085"/>
      <c r="AY194" s="3086"/>
      <c r="AZ194" s="3087"/>
      <c r="BA194" s="3088"/>
      <c r="BB194" s="3089"/>
      <c r="BC194" s="3090"/>
      <c r="BD194" s="123"/>
    </row>
    <row r="195" spans="1:56" ht="21.6">
      <c r="A195" s="3706"/>
      <c r="B195" s="2654" t="s">
        <v>3022</v>
      </c>
      <c r="C195" s="1142" t="s">
        <v>9182</v>
      </c>
      <c r="D195" s="3657"/>
      <c r="E195" s="2653" t="s">
        <v>3848</v>
      </c>
      <c r="F195" s="3340"/>
      <c r="G195" s="3709"/>
      <c r="H195" s="3676"/>
      <c r="I195" s="3679"/>
      <c r="J195" s="3682"/>
      <c r="K195" s="3685"/>
      <c r="L195" s="3521"/>
      <c r="M195" s="3690"/>
      <c r="N195" s="3693"/>
      <c r="O195" s="3696"/>
      <c r="P195" s="3699"/>
      <c r="Q195" s="3702"/>
      <c r="R195" s="3663"/>
      <c r="S195" s="3343"/>
      <c r="T195" s="3340"/>
      <c r="U195" s="3343"/>
      <c r="V195" s="3340"/>
      <c r="W195" s="3343"/>
      <c r="X195" s="3734"/>
      <c r="Y195" s="3716"/>
      <c r="Z195" s="3507"/>
      <c r="AA195" s="3712"/>
      <c r="AB195" s="3782"/>
      <c r="AC195" s="3214"/>
      <c r="AD195" s="3535"/>
      <c r="AE195" s="2501"/>
      <c r="AG195">
        <v>0</v>
      </c>
      <c r="AH195" s="1366">
        <f t="shared" si="20"/>
        <v>0</v>
      </c>
      <c r="AJ195" s="2367">
        <f t="shared" si="21"/>
        <v>0</v>
      </c>
      <c r="AK195" s="2367">
        <f t="shared" si="22"/>
        <v>0</v>
      </c>
      <c r="AL195" s="123" t="str">
        <f t="shared" si="23"/>
        <v>무부하 랙</v>
      </c>
      <c r="AR195" s="123"/>
      <c r="AS195" s="123"/>
      <c r="AU195" s="3084"/>
      <c r="AV195" s="123"/>
      <c r="AW195" s="123"/>
      <c r="AX195" s="3085"/>
      <c r="AY195" s="3086"/>
      <c r="AZ195" s="3087"/>
      <c r="BA195" s="3088"/>
      <c r="BB195" s="3089"/>
      <c r="BC195" s="3090"/>
      <c r="BD195" s="123"/>
    </row>
    <row r="196" spans="1:56" ht="21.6">
      <c r="A196" s="3706"/>
      <c r="B196" s="2654" t="s">
        <v>3849</v>
      </c>
      <c r="C196" s="1142" t="s">
        <v>9182</v>
      </c>
      <c r="D196" s="3657"/>
      <c r="E196" s="2653" t="s">
        <v>3850</v>
      </c>
      <c r="F196" s="3340"/>
      <c r="G196" s="3709"/>
      <c r="H196" s="3676"/>
      <c r="I196" s="3679"/>
      <c r="J196" s="3682"/>
      <c r="K196" s="3685"/>
      <c r="L196" s="3521"/>
      <c r="M196" s="3690"/>
      <c r="N196" s="3693"/>
      <c r="O196" s="3696"/>
      <c r="P196" s="3699"/>
      <c r="Q196" s="3702"/>
      <c r="R196" s="3663"/>
      <c r="S196" s="3343"/>
      <c r="T196" s="3340"/>
      <c r="U196" s="3343"/>
      <c r="V196" s="3340"/>
      <c r="W196" s="3343"/>
      <c r="X196" s="3734"/>
      <c r="Y196" s="3716"/>
      <c r="Z196" s="3507"/>
      <c r="AA196" s="3712"/>
      <c r="AB196" s="3782"/>
      <c r="AC196" s="3214"/>
      <c r="AD196" s="3535"/>
      <c r="AE196" s="2501"/>
      <c r="AG196">
        <v>0</v>
      </c>
      <c r="AH196" s="1366">
        <f t="shared" si="20"/>
        <v>0</v>
      </c>
      <c r="AJ196" s="2367">
        <f t="shared" si="21"/>
        <v>0</v>
      </c>
      <c r="AK196" s="2367">
        <f t="shared" si="22"/>
        <v>0</v>
      </c>
      <c r="AL196" s="123" t="str">
        <f t="shared" si="23"/>
        <v>무부하 랙</v>
      </c>
      <c r="AR196" s="123"/>
      <c r="AS196" s="123"/>
      <c r="AU196" s="3084"/>
      <c r="AV196" s="123"/>
      <c r="AW196" s="123"/>
      <c r="AX196" s="3085"/>
      <c r="AY196" s="3086"/>
      <c r="AZ196" s="3087"/>
      <c r="BA196" s="3088"/>
      <c r="BB196" s="3089"/>
      <c r="BC196" s="3090"/>
      <c r="BD196" s="123"/>
    </row>
    <row r="197" spans="1:56" ht="15" thickBot="1">
      <c r="A197" s="3707"/>
      <c r="B197" s="1132" t="s">
        <v>3851</v>
      </c>
      <c r="C197" s="1143"/>
      <c r="D197" s="3658"/>
      <c r="E197" s="2672" t="s">
        <v>3852</v>
      </c>
      <c r="F197" s="3341"/>
      <c r="G197" s="3710"/>
      <c r="H197" s="3677"/>
      <c r="I197" s="3680"/>
      <c r="J197" s="3683"/>
      <c r="K197" s="3686"/>
      <c r="L197" s="3688"/>
      <c r="M197" s="3691"/>
      <c r="N197" s="3694"/>
      <c r="O197" s="3697"/>
      <c r="P197" s="3700"/>
      <c r="Q197" s="3703"/>
      <c r="R197" s="3664"/>
      <c r="S197" s="3344"/>
      <c r="T197" s="3341"/>
      <c r="U197" s="3344"/>
      <c r="V197" s="3341"/>
      <c r="W197" s="3344"/>
      <c r="X197" s="3735"/>
      <c r="Y197" s="3717"/>
      <c r="Z197" s="3514"/>
      <c r="AA197" s="3713"/>
      <c r="AB197" s="3783"/>
      <c r="AC197" s="3214"/>
      <c r="AD197" s="3543"/>
      <c r="AE197" s="2502"/>
      <c r="AG197">
        <v>0</v>
      </c>
      <c r="AH197" s="1366">
        <f t="shared" ref="AH197:AH260" si="30">Z197-AG197</f>
        <v>0</v>
      </c>
      <c r="AJ197" s="2367">
        <f t="shared" ref="AJ197:AJ233" si="31">AD197/(24*31)</f>
        <v>0</v>
      </c>
      <c r="AK197" s="2367">
        <f t="shared" ref="AK197:AK260" si="32">D197-AJ197</f>
        <v>0</v>
      </c>
      <c r="AL197" s="123" t="str">
        <f t="shared" ref="AL197:AL260" si="33">IF(SIGN(AK197)&gt;=0,IF(AD197=0,"무부하 랙","적정함"),"사용초과")</f>
        <v>무부하 랙</v>
      </c>
      <c r="AR197" s="123"/>
      <c r="AS197" s="123"/>
      <c r="AU197" s="3084"/>
      <c r="AV197" s="123"/>
      <c r="AW197" s="123"/>
      <c r="AX197" s="3085"/>
      <c r="AY197" s="3086"/>
      <c r="AZ197" s="3087"/>
      <c r="BA197" s="3088"/>
      <c r="BB197" s="3089"/>
      <c r="BC197" s="3090"/>
      <c r="BD197" s="123"/>
    </row>
    <row r="198" spans="1:56" ht="22.2" thickTop="1">
      <c r="A198" s="3705" t="s">
        <v>3817</v>
      </c>
      <c r="B198" s="2655" t="s">
        <v>938</v>
      </c>
      <c r="C198" s="1144" t="s">
        <v>9186</v>
      </c>
      <c r="D198" s="3656">
        <f>2.2*8</f>
        <v>17.600000000000001</v>
      </c>
      <c r="E198" s="1100" t="s">
        <v>3818</v>
      </c>
      <c r="F198" s="3354" t="s">
        <v>3819</v>
      </c>
      <c r="G198" s="3708" t="s">
        <v>3820</v>
      </c>
      <c r="H198" s="3675" t="str">
        <f>"4-DaHall 1-PDU-"&amp;L198&amp;"-"&amp;K198&amp;"-"&amp;M198</f>
        <v>4-DaHall 1-PDU-04-100-7</v>
      </c>
      <c r="I198" s="3678" t="str">
        <f>"4-DaHall 1-PDU-"&amp;P198&amp;"-"&amp;O198&amp;"-"&amp;Q198</f>
        <v>4-DaHall 1-PDU-03-100-7</v>
      </c>
      <c r="J198" s="3681">
        <v>220</v>
      </c>
      <c r="K198" s="3684">
        <v>100</v>
      </c>
      <c r="L198" s="3687" t="s">
        <v>6496</v>
      </c>
      <c r="M198" s="3689">
        <v>7</v>
      </c>
      <c r="N198" s="3692">
        <v>220</v>
      </c>
      <c r="O198" s="3695">
        <v>100</v>
      </c>
      <c r="P198" s="3698" t="s">
        <v>6500</v>
      </c>
      <c r="Q198" s="3701">
        <v>7</v>
      </c>
      <c r="R198" s="3662" t="s">
        <v>3774</v>
      </c>
      <c r="S198" s="3345" t="s">
        <v>3775</v>
      </c>
      <c r="T198" s="3354" t="s">
        <v>3776</v>
      </c>
      <c r="U198" s="3345" t="s">
        <v>3777</v>
      </c>
      <c r="V198" s="3354" t="s">
        <v>3744</v>
      </c>
      <c r="W198" s="3345" t="s">
        <v>3749</v>
      </c>
      <c r="X198" s="3733">
        <f>SUM('4층_부하량(월간_AVG)'!N12:P12)</f>
        <v>21.588904247311696</v>
      </c>
      <c r="Y198" s="3715">
        <f>SUM('4층_부하량(월간_AVG)'!D54:F54)</f>
        <v>28.816860546471965</v>
      </c>
      <c r="Z198" s="3714">
        <f t="shared" ref="Z198" si="34">SUM(X198:Y198)</f>
        <v>50.405764793783661</v>
      </c>
      <c r="AA198" s="3711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3181.8</v>
      </c>
      <c r="AB198" s="3781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4407.2</v>
      </c>
      <c r="AC198" s="3214" t="e" cm="1">
        <f t="array" ref="AC198">INDEX('각층분기별_유효전력최대(전월)'!A195:A2213,MATCH(1,("4-DaHall 1-PDU-02"='각층분기별_유효전력최대(전월)'!B197:B2213)*("[branch#001] [A] kWh last month"='각층분기별_유효전력최대(전월)'!C197:C2213),0))</f>
        <v>#N/A</v>
      </c>
      <c r="AD198" s="3545">
        <f>SUM(AA198:AB209)</f>
        <v>7589</v>
      </c>
      <c r="AE198" s="2504"/>
      <c r="AG198">
        <v>49.6</v>
      </c>
      <c r="AH198" s="1366">
        <f t="shared" si="30"/>
        <v>0.80576479378365917</v>
      </c>
      <c r="AJ198" s="2367">
        <f t="shared" si="31"/>
        <v>10.200268817204302</v>
      </c>
      <c r="AK198" s="2367">
        <f t="shared" si="32"/>
        <v>7.3997311827956995</v>
      </c>
      <c r="AL198" s="123" t="str">
        <f t="shared" si="33"/>
        <v>적정함</v>
      </c>
      <c r="AR198" s="123"/>
      <c r="AS198" s="123"/>
      <c r="AU198" s="3084"/>
      <c r="AV198" s="123"/>
      <c r="AW198" s="123"/>
      <c r="AX198" s="3085"/>
      <c r="AY198" s="3086"/>
      <c r="AZ198" s="3087"/>
      <c r="BA198" s="3088"/>
      <c r="BB198" s="3089"/>
      <c r="BC198" s="3090"/>
      <c r="BD198" s="123"/>
    </row>
    <row r="199" spans="1:56">
      <c r="A199" s="3706"/>
      <c r="B199" s="2654" t="s">
        <v>3821</v>
      </c>
      <c r="C199" s="1142" t="s">
        <v>9213</v>
      </c>
      <c r="D199" s="3657"/>
      <c r="E199" s="988" t="s">
        <v>3822</v>
      </c>
      <c r="F199" s="3340"/>
      <c r="G199" s="3709"/>
      <c r="H199" s="3676"/>
      <c r="I199" s="3679"/>
      <c r="J199" s="3682"/>
      <c r="K199" s="3685"/>
      <c r="L199" s="3521"/>
      <c r="M199" s="3690"/>
      <c r="N199" s="3693"/>
      <c r="O199" s="3696"/>
      <c r="P199" s="3699"/>
      <c r="Q199" s="3702"/>
      <c r="R199" s="3663"/>
      <c r="S199" s="3343"/>
      <c r="T199" s="3340"/>
      <c r="U199" s="3343"/>
      <c r="V199" s="3340"/>
      <c r="W199" s="3343"/>
      <c r="X199" s="3734"/>
      <c r="Y199" s="3716"/>
      <c r="Z199" s="3507"/>
      <c r="AA199" s="3712"/>
      <c r="AB199" s="3782"/>
      <c r="AC199" s="3214"/>
      <c r="AD199" s="3535"/>
      <c r="AE199" s="2501"/>
      <c r="AG199">
        <v>0</v>
      </c>
      <c r="AH199" s="1366">
        <f t="shared" si="30"/>
        <v>0</v>
      </c>
      <c r="AJ199" s="2367">
        <f t="shared" si="31"/>
        <v>0</v>
      </c>
      <c r="AK199" s="2367">
        <f t="shared" si="32"/>
        <v>0</v>
      </c>
      <c r="AL199" s="123" t="str">
        <f t="shared" si="33"/>
        <v>무부하 랙</v>
      </c>
      <c r="AR199" s="123"/>
      <c r="AS199" s="123"/>
      <c r="AU199" s="3084"/>
      <c r="AV199" s="123"/>
      <c r="AW199" s="123"/>
      <c r="AX199" s="3085"/>
      <c r="AY199" s="3086"/>
      <c r="AZ199" s="3087"/>
      <c r="BA199" s="3088"/>
      <c r="BB199" s="3089"/>
      <c r="BC199" s="3090"/>
      <c r="BD199" s="123"/>
    </row>
    <row r="200" spans="1:56">
      <c r="A200" s="3706"/>
      <c r="B200" s="2654" t="s">
        <v>3034</v>
      </c>
      <c r="C200" s="1142"/>
      <c r="D200" s="3657"/>
      <c r="E200" s="250" t="s">
        <v>3823</v>
      </c>
      <c r="F200" s="3340"/>
      <c r="G200" s="3709"/>
      <c r="H200" s="3676"/>
      <c r="I200" s="3679"/>
      <c r="J200" s="3682"/>
      <c r="K200" s="3685"/>
      <c r="L200" s="3521"/>
      <c r="M200" s="3690"/>
      <c r="N200" s="3693"/>
      <c r="O200" s="3696"/>
      <c r="P200" s="3699"/>
      <c r="Q200" s="3702"/>
      <c r="R200" s="3663"/>
      <c r="S200" s="3343"/>
      <c r="T200" s="3340"/>
      <c r="U200" s="3343"/>
      <c r="V200" s="3340"/>
      <c r="W200" s="3343"/>
      <c r="X200" s="3734"/>
      <c r="Y200" s="3716"/>
      <c r="Z200" s="3507"/>
      <c r="AA200" s="3712"/>
      <c r="AB200" s="3782"/>
      <c r="AC200" s="3214"/>
      <c r="AD200" s="3535"/>
      <c r="AE200" s="2501"/>
      <c r="AG200">
        <v>0</v>
      </c>
      <c r="AH200" s="1366">
        <f t="shared" si="30"/>
        <v>0</v>
      </c>
      <c r="AJ200" s="2367">
        <f t="shared" si="31"/>
        <v>0</v>
      </c>
      <c r="AK200" s="2367">
        <f t="shared" si="32"/>
        <v>0</v>
      </c>
      <c r="AL200" s="123" t="str">
        <f t="shared" si="33"/>
        <v>무부하 랙</v>
      </c>
      <c r="AR200" s="123"/>
      <c r="AS200" s="123"/>
      <c r="AU200" s="3084"/>
      <c r="AV200" s="123"/>
      <c r="AW200" s="123"/>
      <c r="AX200" s="3085"/>
      <c r="AY200" s="3086"/>
      <c r="AZ200" s="3087"/>
      <c r="BA200" s="3088"/>
      <c r="BB200" s="3089"/>
      <c r="BC200" s="3090"/>
      <c r="BD200" s="123"/>
    </row>
    <row r="201" spans="1:56">
      <c r="A201" s="3706"/>
      <c r="B201" s="2654" t="s">
        <v>3040</v>
      </c>
      <c r="C201" s="1142"/>
      <c r="D201" s="3657"/>
      <c r="E201" s="2653" t="s">
        <v>3824</v>
      </c>
      <c r="F201" s="3340"/>
      <c r="G201" s="3709"/>
      <c r="H201" s="3676"/>
      <c r="I201" s="3679"/>
      <c r="J201" s="3682"/>
      <c r="K201" s="3685"/>
      <c r="L201" s="3521"/>
      <c r="M201" s="3690"/>
      <c r="N201" s="3693"/>
      <c r="O201" s="3696"/>
      <c r="P201" s="3699"/>
      <c r="Q201" s="3702"/>
      <c r="R201" s="3663"/>
      <c r="S201" s="3343"/>
      <c r="T201" s="3340"/>
      <c r="U201" s="3343"/>
      <c r="V201" s="3340"/>
      <c r="W201" s="3343"/>
      <c r="X201" s="3734"/>
      <c r="Y201" s="3716"/>
      <c r="Z201" s="3507"/>
      <c r="AA201" s="3712"/>
      <c r="AB201" s="3782"/>
      <c r="AC201" s="3214"/>
      <c r="AD201" s="3535"/>
      <c r="AE201" s="2501"/>
      <c r="AG201">
        <v>0</v>
      </c>
      <c r="AH201" s="1366">
        <f t="shared" si="30"/>
        <v>0</v>
      </c>
      <c r="AJ201" s="2367">
        <f t="shared" si="31"/>
        <v>0</v>
      </c>
      <c r="AK201" s="2367">
        <f t="shared" si="32"/>
        <v>0</v>
      </c>
      <c r="AL201" s="123" t="str">
        <f t="shared" si="33"/>
        <v>무부하 랙</v>
      </c>
      <c r="AR201" s="123"/>
      <c r="AS201" s="123"/>
      <c r="AU201" s="3084"/>
      <c r="AV201" s="123"/>
      <c r="AW201" s="123"/>
      <c r="AX201" s="3085"/>
      <c r="AY201" s="3086"/>
      <c r="AZ201" s="3087"/>
      <c r="BA201" s="3088"/>
      <c r="BB201" s="3089"/>
      <c r="BC201" s="3090"/>
      <c r="BD201" s="123"/>
    </row>
    <row r="202" spans="1:56">
      <c r="A202" s="3706"/>
      <c r="B202" s="2654" t="s">
        <v>3046</v>
      </c>
      <c r="C202" s="1142"/>
      <c r="D202" s="3657"/>
      <c r="E202" s="250" t="s">
        <v>3825</v>
      </c>
      <c r="F202" s="3340"/>
      <c r="G202" s="3709"/>
      <c r="H202" s="3676"/>
      <c r="I202" s="3679"/>
      <c r="J202" s="3682"/>
      <c r="K202" s="3685"/>
      <c r="L202" s="3521"/>
      <c r="M202" s="3690"/>
      <c r="N202" s="3693"/>
      <c r="O202" s="3696"/>
      <c r="P202" s="3699"/>
      <c r="Q202" s="3702"/>
      <c r="R202" s="3663"/>
      <c r="S202" s="3343"/>
      <c r="T202" s="3340"/>
      <c r="U202" s="3343"/>
      <c r="V202" s="3340"/>
      <c r="W202" s="3343"/>
      <c r="X202" s="3734"/>
      <c r="Y202" s="3716"/>
      <c r="Z202" s="3507"/>
      <c r="AA202" s="3712"/>
      <c r="AB202" s="3782"/>
      <c r="AC202" s="3214"/>
      <c r="AD202" s="3535"/>
      <c r="AE202" s="2501"/>
      <c r="AG202">
        <v>0</v>
      </c>
      <c r="AH202" s="1366">
        <f t="shared" si="30"/>
        <v>0</v>
      </c>
      <c r="AJ202" s="2367">
        <f t="shared" si="31"/>
        <v>0</v>
      </c>
      <c r="AK202" s="2367">
        <f t="shared" si="32"/>
        <v>0</v>
      </c>
      <c r="AL202" s="123" t="str">
        <f t="shared" si="33"/>
        <v>무부하 랙</v>
      </c>
    </row>
    <row r="203" spans="1:56" ht="21.6">
      <c r="A203" s="3706"/>
      <c r="B203" s="2654" t="s">
        <v>3052</v>
      </c>
      <c r="C203" s="1142" t="s">
        <v>9182</v>
      </c>
      <c r="D203" s="3657"/>
      <c r="E203" s="2653" t="s">
        <v>3827</v>
      </c>
      <c r="F203" s="3340"/>
      <c r="G203" s="3709"/>
      <c r="H203" s="3676"/>
      <c r="I203" s="3679"/>
      <c r="J203" s="3682"/>
      <c r="K203" s="3685"/>
      <c r="L203" s="3521"/>
      <c r="M203" s="3690"/>
      <c r="N203" s="3693"/>
      <c r="O203" s="3696"/>
      <c r="P203" s="3699"/>
      <c r="Q203" s="3702"/>
      <c r="R203" s="3663"/>
      <c r="S203" s="3343"/>
      <c r="T203" s="3340"/>
      <c r="U203" s="3343"/>
      <c r="V203" s="3340"/>
      <c r="W203" s="3343"/>
      <c r="X203" s="3734"/>
      <c r="Y203" s="3716"/>
      <c r="Z203" s="3507"/>
      <c r="AA203" s="3712"/>
      <c r="AB203" s="3782"/>
      <c r="AC203" s="3214"/>
      <c r="AD203" s="3535"/>
      <c r="AE203" s="2501"/>
      <c r="AG203">
        <v>0</v>
      </c>
      <c r="AH203" s="1366">
        <f t="shared" si="30"/>
        <v>0</v>
      </c>
      <c r="AJ203" s="2367">
        <f t="shared" si="31"/>
        <v>0</v>
      </c>
      <c r="AK203" s="2367">
        <f t="shared" si="32"/>
        <v>0</v>
      </c>
      <c r="AL203" s="123" t="str">
        <f t="shared" si="33"/>
        <v>무부하 랙</v>
      </c>
    </row>
    <row r="204" spans="1:56" ht="21.6">
      <c r="A204" s="3706"/>
      <c r="B204" s="2654" t="s">
        <v>3058</v>
      </c>
      <c r="C204" s="1142" t="s">
        <v>9182</v>
      </c>
      <c r="D204" s="3657"/>
      <c r="E204" s="2653" t="s">
        <v>3828</v>
      </c>
      <c r="F204" s="3340"/>
      <c r="G204" s="3709"/>
      <c r="H204" s="3676"/>
      <c r="I204" s="3679"/>
      <c r="J204" s="3682"/>
      <c r="K204" s="3685"/>
      <c r="L204" s="3521"/>
      <c r="M204" s="3690"/>
      <c r="N204" s="3693"/>
      <c r="O204" s="3696"/>
      <c r="P204" s="3699"/>
      <c r="Q204" s="3702"/>
      <c r="R204" s="3663"/>
      <c r="S204" s="3343"/>
      <c r="T204" s="3340"/>
      <c r="U204" s="3343"/>
      <c r="V204" s="3340"/>
      <c r="W204" s="3343"/>
      <c r="X204" s="3734"/>
      <c r="Y204" s="3716"/>
      <c r="Z204" s="3507"/>
      <c r="AA204" s="3712"/>
      <c r="AB204" s="3782"/>
      <c r="AC204" s="3214"/>
      <c r="AD204" s="3535"/>
      <c r="AE204" s="2501"/>
      <c r="AG204">
        <v>0</v>
      </c>
      <c r="AH204" s="1366">
        <f t="shared" si="30"/>
        <v>0</v>
      </c>
      <c r="AJ204" s="2367">
        <f t="shared" si="31"/>
        <v>0</v>
      </c>
      <c r="AK204" s="2367">
        <f t="shared" si="32"/>
        <v>0</v>
      </c>
      <c r="AL204" s="123" t="str">
        <f t="shared" si="33"/>
        <v>무부하 랙</v>
      </c>
    </row>
    <row r="205" spans="1:56" ht="21.6">
      <c r="A205" s="3706"/>
      <c r="B205" s="2654" t="s">
        <v>3064</v>
      </c>
      <c r="C205" s="1142" t="s">
        <v>9182</v>
      </c>
      <c r="D205" s="3657"/>
      <c r="E205" s="2653" t="s">
        <v>3829</v>
      </c>
      <c r="F205" s="3340"/>
      <c r="G205" s="3709"/>
      <c r="H205" s="3676"/>
      <c r="I205" s="3679"/>
      <c r="J205" s="3682"/>
      <c r="K205" s="3685"/>
      <c r="L205" s="3521"/>
      <c r="M205" s="3690"/>
      <c r="N205" s="3693"/>
      <c r="O205" s="3696"/>
      <c r="P205" s="3699"/>
      <c r="Q205" s="3702"/>
      <c r="R205" s="3663"/>
      <c r="S205" s="3343"/>
      <c r="T205" s="3340"/>
      <c r="U205" s="3343"/>
      <c r="V205" s="3340"/>
      <c r="W205" s="3343"/>
      <c r="X205" s="3734"/>
      <c r="Y205" s="3716"/>
      <c r="Z205" s="3507"/>
      <c r="AA205" s="3712"/>
      <c r="AB205" s="3782"/>
      <c r="AC205" s="3214"/>
      <c r="AD205" s="3535"/>
      <c r="AE205" s="2501"/>
      <c r="AG205">
        <v>0</v>
      </c>
      <c r="AH205" s="1366">
        <f t="shared" si="30"/>
        <v>0</v>
      </c>
      <c r="AJ205" s="2367">
        <f t="shared" si="31"/>
        <v>0</v>
      </c>
      <c r="AK205" s="2367">
        <f t="shared" si="32"/>
        <v>0</v>
      </c>
      <c r="AL205" s="123" t="str">
        <f t="shared" si="33"/>
        <v>무부하 랙</v>
      </c>
    </row>
    <row r="206" spans="1:56" ht="21.6">
      <c r="A206" s="3706"/>
      <c r="B206" s="2654" t="s">
        <v>3070</v>
      </c>
      <c r="C206" s="1142" t="s">
        <v>9182</v>
      </c>
      <c r="D206" s="3657"/>
      <c r="E206" s="2653" t="s">
        <v>3830</v>
      </c>
      <c r="F206" s="3340"/>
      <c r="G206" s="3709"/>
      <c r="H206" s="3676"/>
      <c r="I206" s="3679"/>
      <c r="J206" s="3682"/>
      <c r="K206" s="3685"/>
      <c r="L206" s="3521"/>
      <c r="M206" s="3690"/>
      <c r="N206" s="3693"/>
      <c r="O206" s="3696"/>
      <c r="P206" s="3699"/>
      <c r="Q206" s="3702"/>
      <c r="R206" s="3663"/>
      <c r="S206" s="3343"/>
      <c r="T206" s="3340"/>
      <c r="U206" s="3343"/>
      <c r="V206" s="3340"/>
      <c r="W206" s="3343"/>
      <c r="X206" s="3734"/>
      <c r="Y206" s="3716"/>
      <c r="Z206" s="3507"/>
      <c r="AA206" s="3712"/>
      <c r="AB206" s="3782"/>
      <c r="AC206" s="3214"/>
      <c r="AD206" s="3535"/>
      <c r="AE206" s="2501"/>
      <c r="AG206">
        <v>0</v>
      </c>
      <c r="AH206" s="1366">
        <f t="shared" si="30"/>
        <v>0</v>
      </c>
      <c r="AJ206" s="2367">
        <f t="shared" si="31"/>
        <v>0</v>
      </c>
      <c r="AK206" s="2367">
        <f t="shared" si="32"/>
        <v>0</v>
      </c>
      <c r="AL206" s="123" t="str">
        <f t="shared" si="33"/>
        <v>무부하 랙</v>
      </c>
    </row>
    <row r="207" spans="1:56" ht="21.6">
      <c r="A207" s="3706"/>
      <c r="B207" s="2654" t="s">
        <v>3071</v>
      </c>
      <c r="C207" s="1142" t="s">
        <v>9182</v>
      </c>
      <c r="D207" s="3657"/>
      <c r="E207" s="2653" t="s">
        <v>3831</v>
      </c>
      <c r="F207" s="3340"/>
      <c r="G207" s="3709"/>
      <c r="H207" s="3676"/>
      <c r="I207" s="3679"/>
      <c r="J207" s="3682"/>
      <c r="K207" s="3685"/>
      <c r="L207" s="3521"/>
      <c r="M207" s="3690"/>
      <c r="N207" s="3693"/>
      <c r="O207" s="3696"/>
      <c r="P207" s="3699"/>
      <c r="Q207" s="3702"/>
      <c r="R207" s="3663"/>
      <c r="S207" s="3343"/>
      <c r="T207" s="3340"/>
      <c r="U207" s="3343"/>
      <c r="V207" s="3340"/>
      <c r="W207" s="3343"/>
      <c r="X207" s="3734"/>
      <c r="Y207" s="3716"/>
      <c r="Z207" s="3507"/>
      <c r="AA207" s="3712"/>
      <c r="AB207" s="3782"/>
      <c r="AC207" s="3214"/>
      <c r="AD207" s="3535"/>
      <c r="AE207" s="2501"/>
      <c r="AG207">
        <v>0</v>
      </c>
      <c r="AH207" s="1366">
        <f t="shared" si="30"/>
        <v>0</v>
      </c>
      <c r="AJ207" s="2367">
        <f t="shared" si="31"/>
        <v>0</v>
      </c>
      <c r="AK207" s="2367">
        <f t="shared" si="32"/>
        <v>0</v>
      </c>
      <c r="AL207" s="123" t="str">
        <f t="shared" si="33"/>
        <v>무부하 랙</v>
      </c>
    </row>
    <row r="208" spans="1:56">
      <c r="A208" s="3706"/>
      <c r="B208" s="2654" t="s">
        <v>3832</v>
      </c>
      <c r="C208" s="1142"/>
      <c r="D208" s="3657"/>
      <c r="E208" s="250" t="s">
        <v>3833</v>
      </c>
      <c r="F208" s="3340"/>
      <c r="G208" s="3709"/>
      <c r="H208" s="3676"/>
      <c r="I208" s="3679"/>
      <c r="J208" s="3682"/>
      <c r="K208" s="3685"/>
      <c r="L208" s="3521"/>
      <c r="M208" s="3690"/>
      <c r="N208" s="3693"/>
      <c r="O208" s="3696"/>
      <c r="P208" s="3699"/>
      <c r="Q208" s="3702"/>
      <c r="R208" s="3663"/>
      <c r="S208" s="3343"/>
      <c r="T208" s="3340"/>
      <c r="U208" s="3343"/>
      <c r="V208" s="3340"/>
      <c r="W208" s="3343"/>
      <c r="X208" s="3734"/>
      <c r="Y208" s="3716"/>
      <c r="Z208" s="3507"/>
      <c r="AA208" s="3712"/>
      <c r="AB208" s="3782"/>
      <c r="AC208" s="3214"/>
      <c r="AD208" s="3535"/>
      <c r="AE208" s="2501"/>
      <c r="AG208">
        <v>0</v>
      </c>
      <c r="AH208" s="1366">
        <f t="shared" si="30"/>
        <v>0</v>
      </c>
      <c r="AJ208" s="2367">
        <f t="shared" si="31"/>
        <v>0</v>
      </c>
      <c r="AK208" s="2367">
        <f t="shared" si="32"/>
        <v>0</v>
      </c>
      <c r="AL208" s="123" t="str">
        <f t="shared" si="33"/>
        <v>무부하 랙</v>
      </c>
    </row>
    <row r="209" spans="1:38" ht="15" thickBot="1">
      <c r="A209" s="3707"/>
      <c r="B209" s="1132" t="s">
        <v>3834</v>
      </c>
      <c r="C209" s="1143" t="s">
        <v>9214</v>
      </c>
      <c r="D209" s="3658"/>
      <c r="E209" s="2672" t="s">
        <v>3835</v>
      </c>
      <c r="F209" s="3341"/>
      <c r="G209" s="3710"/>
      <c r="H209" s="3677"/>
      <c r="I209" s="3680"/>
      <c r="J209" s="3683"/>
      <c r="K209" s="3686"/>
      <c r="L209" s="3688"/>
      <c r="M209" s="3691"/>
      <c r="N209" s="3694"/>
      <c r="O209" s="3697"/>
      <c r="P209" s="3700"/>
      <c r="Q209" s="3703"/>
      <c r="R209" s="3664"/>
      <c r="S209" s="3344"/>
      <c r="T209" s="3341"/>
      <c r="U209" s="3344"/>
      <c r="V209" s="3341"/>
      <c r="W209" s="3344"/>
      <c r="X209" s="3735"/>
      <c r="Y209" s="3717"/>
      <c r="Z209" s="3514"/>
      <c r="AA209" s="3713"/>
      <c r="AB209" s="3783"/>
      <c r="AC209" s="3214"/>
      <c r="AD209" s="3543"/>
      <c r="AE209" s="2502"/>
      <c r="AG209">
        <v>0</v>
      </c>
      <c r="AH209" s="1366">
        <f t="shared" si="30"/>
        <v>0</v>
      </c>
      <c r="AJ209" s="2367">
        <f t="shared" si="31"/>
        <v>0</v>
      </c>
      <c r="AK209" s="2367">
        <f t="shared" si="32"/>
        <v>0</v>
      </c>
      <c r="AL209" s="123" t="str">
        <f t="shared" si="33"/>
        <v>무부하 랙</v>
      </c>
    </row>
    <row r="210" spans="1:38" ht="15" thickTop="1">
      <c r="A210" s="3705" t="s">
        <v>3800</v>
      </c>
      <c r="B210" s="1131" t="s">
        <v>986</v>
      </c>
      <c r="C210" s="1141"/>
      <c r="D210" s="3656">
        <f>1.1*4</f>
        <v>4.4000000000000004</v>
      </c>
      <c r="E210" s="327" t="s">
        <v>3801</v>
      </c>
      <c r="F210" s="3354" t="s">
        <v>3802</v>
      </c>
      <c r="G210" s="3708" t="s">
        <v>3803</v>
      </c>
      <c r="H210" s="3675" t="str">
        <f>"4-DaHall 1-PDU-"&amp;L210&amp;"-"&amp;K210&amp;"-"&amp;M210</f>
        <v>4-DaHall 1-PDU-04-100-6</v>
      </c>
      <c r="I210" s="3678" t="str">
        <f>"4-DaHall 1-PDU-"&amp;P210&amp;"-"&amp;O210&amp;"-"&amp;Q210</f>
        <v>4-DaHall 1-PDU-03-100-6</v>
      </c>
      <c r="J210" s="3681">
        <v>220</v>
      </c>
      <c r="K210" s="3684">
        <v>100</v>
      </c>
      <c r="L210" s="3687" t="s">
        <v>6496</v>
      </c>
      <c r="M210" s="3689">
        <v>6</v>
      </c>
      <c r="N210" s="3692">
        <v>220</v>
      </c>
      <c r="O210" s="3695">
        <v>100</v>
      </c>
      <c r="P210" s="3698" t="s">
        <v>6500</v>
      </c>
      <c r="Q210" s="3701">
        <v>6</v>
      </c>
      <c r="R210" s="3662" t="s">
        <v>3774</v>
      </c>
      <c r="S210" s="3345" t="s">
        <v>3775</v>
      </c>
      <c r="T210" s="3354" t="s">
        <v>3776</v>
      </c>
      <c r="U210" s="3345" t="s">
        <v>3777</v>
      </c>
      <c r="V210" s="3354" t="s">
        <v>3744</v>
      </c>
      <c r="W210" s="3345" t="s">
        <v>3749</v>
      </c>
      <c r="X210" s="3733">
        <f>SUM('4층_부하량(월간_AVG)'!N11:P11)</f>
        <v>14.426753218749552</v>
      </c>
      <c r="Y210" s="3715">
        <f>SUM('4층_부하량(월간_AVG)'!D53:F53)</f>
        <v>10.277521570985932</v>
      </c>
      <c r="Z210" s="3714">
        <f t="shared" ref="Z210" si="35">SUM(X210:Y210)</f>
        <v>24.704274789735486</v>
      </c>
      <c r="AA210" s="3711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2287.6</v>
      </c>
      <c r="AB210" s="3781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1539.5</v>
      </c>
      <c r="AC210" s="3214" t="e" cm="1">
        <f t="array" ref="AC210">INDEX('각층분기별_유효전력최대(전월)'!A207:A2225,MATCH(1,("4-DaHall 1-PDU-02"='각층분기별_유효전력최대(전월)'!B209:B2225)*("[branch#001] [A] kWh last month"='각층분기별_유효전력최대(전월)'!C209:C2225),0))</f>
        <v>#N/A</v>
      </c>
      <c r="AD210" s="3545">
        <f>SUM(AA210:AB221)</f>
        <v>3827.1</v>
      </c>
      <c r="AE210" s="2500"/>
      <c r="AG210">
        <v>25</v>
      </c>
      <c r="AH210" s="1366">
        <f t="shared" si="30"/>
        <v>-0.29572521026451426</v>
      </c>
      <c r="AJ210" s="2367">
        <f t="shared" si="31"/>
        <v>5.1439516129032254</v>
      </c>
      <c r="AK210" s="2367">
        <f t="shared" si="32"/>
        <v>-0.74395161290322509</v>
      </c>
      <c r="AL210" s="123" t="str">
        <f t="shared" si="33"/>
        <v>사용초과</v>
      </c>
    </row>
    <row r="211" spans="1:38" ht="32.4">
      <c r="A211" s="3706"/>
      <c r="B211" s="2654" t="s">
        <v>3077</v>
      </c>
      <c r="C211" s="1142" t="s">
        <v>9215</v>
      </c>
      <c r="D211" s="3657"/>
      <c r="E211" s="2653" t="s">
        <v>3804</v>
      </c>
      <c r="F211" s="3340"/>
      <c r="G211" s="3709"/>
      <c r="H211" s="3676"/>
      <c r="I211" s="3679"/>
      <c r="J211" s="3682"/>
      <c r="K211" s="3685"/>
      <c r="L211" s="3521"/>
      <c r="M211" s="3690"/>
      <c r="N211" s="3693"/>
      <c r="O211" s="3696"/>
      <c r="P211" s="3699"/>
      <c r="Q211" s="3702"/>
      <c r="R211" s="3663"/>
      <c r="S211" s="3343"/>
      <c r="T211" s="3340"/>
      <c r="U211" s="3343"/>
      <c r="V211" s="3340"/>
      <c r="W211" s="3343"/>
      <c r="X211" s="3734"/>
      <c r="Y211" s="3716"/>
      <c r="Z211" s="3507"/>
      <c r="AA211" s="3712"/>
      <c r="AB211" s="3782"/>
      <c r="AC211" s="3214"/>
      <c r="AD211" s="3535"/>
      <c r="AE211" s="2501"/>
      <c r="AG211">
        <v>0</v>
      </c>
      <c r="AH211" s="1366">
        <f t="shared" si="30"/>
        <v>0</v>
      </c>
      <c r="AJ211" s="2367">
        <f t="shared" si="31"/>
        <v>0</v>
      </c>
      <c r="AK211" s="2367">
        <f t="shared" si="32"/>
        <v>0</v>
      </c>
      <c r="AL211" s="123" t="str">
        <f t="shared" si="33"/>
        <v>무부하 랙</v>
      </c>
    </row>
    <row r="212" spans="1:38">
      <c r="A212" s="3706"/>
      <c r="B212" s="2654" t="s">
        <v>3083</v>
      </c>
      <c r="C212" s="1142"/>
      <c r="D212" s="3657"/>
      <c r="E212" s="250" t="s">
        <v>3805</v>
      </c>
      <c r="F212" s="3340"/>
      <c r="G212" s="3709"/>
      <c r="H212" s="3676"/>
      <c r="I212" s="3679"/>
      <c r="J212" s="3682"/>
      <c r="K212" s="3685"/>
      <c r="L212" s="3521"/>
      <c r="M212" s="3690"/>
      <c r="N212" s="3693"/>
      <c r="O212" s="3696"/>
      <c r="P212" s="3699"/>
      <c r="Q212" s="3702"/>
      <c r="R212" s="3663"/>
      <c r="S212" s="3343"/>
      <c r="T212" s="3340"/>
      <c r="U212" s="3343"/>
      <c r="V212" s="3340"/>
      <c r="W212" s="3343"/>
      <c r="X212" s="3734"/>
      <c r="Y212" s="3716"/>
      <c r="Z212" s="3507"/>
      <c r="AA212" s="3712"/>
      <c r="AB212" s="3782"/>
      <c r="AC212" s="3214"/>
      <c r="AD212" s="3535"/>
      <c r="AE212" s="2501"/>
      <c r="AG212">
        <v>0</v>
      </c>
      <c r="AH212" s="1366">
        <f t="shared" si="30"/>
        <v>0</v>
      </c>
      <c r="AJ212" s="2367">
        <f t="shared" si="31"/>
        <v>0</v>
      </c>
      <c r="AK212" s="2367">
        <f t="shared" si="32"/>
        <v>0</v>
      </c>
      <c r="AL212" s="123" t="str">
        <f t="shared" si="33"/>
        <v>무부하 랙</v>
      </c>
    </row>
    <row r="213" spans="1:38" ht="21.6">
      <c r="A213" s="3706"/>
      <c r="B213" s="2654" t="s">
        <v>3089</v>
      </c>
      <c r="C213" s="1142" t="s">
        <v>9216</v>
      </c>
      <c r="D213" s="3657"/>
      <c r="E213" s="2653" t="s">
        <v>3806</v>
      </c>
      <c r="F213" s="3340"/>
      <c r="G213" s="3709"/>
      <c r="H213" s="3676"/>
      <c r="I213" s="3679"/>
      <c r="J213" s="3682"/>
      <c r="K213" s="3685"/>
      <c r="L213" s="3521"/>
      <c r="M213" s="3690"/>
      <c r="N213" s="3693"/>
      <c r="O213" s="3696"/>
      <c r="P213" s="3699"/>
      <c r="Q213" s="3702"/>
      <c r="R213" s="3663"/>
      <c r="S213" s="3343"/>
      <c r="T213" s="3340"/>
      <c r="U213" s="3343"/>
      <c r="V213" s="3340"/>
      <c r="W213" s="3343"/>
      <c r="X213" s="3734"/>
      <c r="Y213" s="3716"/>
      <c r="Z213" s="3507"/>
      <c r="AA213" s="3712"/>
      <c r="AB213" s="3782"/>
      <c r="AC213" s="3214"/>
      <c r="AD213" s="3535"/>
      <c r="AE213" s="2501"/>
      <c r="AG213">
        <v>0</v>
      </c>
      <c r="AH213" s="1366">
        <f t="shared" si="30"/>
        <v>0</v>
      </c>
      <c r="AJ213" s="2367">
        <f t="shared" si="31"/>
        <v>0</v>
      </c>
      <c r="AK213" s="2367">
        <f t="shared" si="32"/>
        <v>0</v>
      </c>
      <c r="AL213" s="123" t="str">
        <f t="shared" si="33"/>
        <v>무부하 랙</v>
      </c>
    </row>
    <row r="214" spans="1:38" ht="21.6">
      <c r="A214" s="3706"/>
      <c r="B214" s="2654" t="s">
        <v>1007</v>
      </c>
      <c r="C214" s="1142" t="s">
        <v>9216</v>
      </c>
      <c r="D214" s="3657"/>
      <c r="E214" s="2653" t="s">
        <v>3807</v>
      </c>
      <c r="F214" s="3340"/>
      <c r="G214" s="3709"/>
      <c r="H214" s="3676"/>
      <c r="I214" s="3679"/>
      <c r="J214" s="3682"/>
      <c r="K214" s="3685"/>
      <c r="L214" s="3521"/>
      <c r="M214" s="3690"/>
      <c r="N214" s="3693"/>
      <c r="O214" s="3696"/>
      <c r="P214" s="3699"/>
      <c r="Q214" s="3702"/>
      <c r="R214" s="3663"/>
      <c r="S214" s="3343"/>
      <c r="T214" s="3340"/>
      <c r="U214" s="3343"/>
      <c r="V214" s="3340"/>
      <c r="W214" s="3343"/>
      <c r="X214" s="3734"/>
      <c r="Y214" s="3716"/>
      <c r="Z214" s="3507"/>
      <c r="AA214" s="3712"/>
      <c r="AB214" s="3782"/>
      <c r="AC214" s="3214"/>
      <c r="AD214" s="3535"/>
      <c r="AE214" s="2501"/>
      <c r="AG214">
        <v>0</v>
      </c>
      <c r="AH214" s="1366">
        <f t="shared" si="30"/>
        <v>0</v>
      </c>
      <c r="AJ214" s="2367">
        <f t="shared" si="31"/>
        <v>0</v>
      </c>
      <c r="AK214" s="2367">
        <f t="shared" si="32"/>
        <v>0</v>
      </c>
      <c r="AL214" s="123" t="str">
        <f t="shared" si="33"/>
        <v>무부하 랙</v>
      </c>
    </row>
    <row r="215" spans="1:38">
      <c r="A215" s="3706"/>
      <c r="B215" s="2654" t="s">
        <v>3100</v>
      </c>
      <c r="C215" s="1142"/>
      <c r="D215" s="3657"/>
      <c r="E215" s="250" t="s">
        <v>3808</v>
      </c>
      <c r="F215" s="3340"/>
      <c r="G215" s="3709"/>
      <c r="H215" s="3676"/>
      <c r="I215" s="3679"/>
      <c r="J215" s="3682"/>
      <c r="K215" s="3685"/>
      <c r="L215" s="3521"/>
      <c r="M215" s="3690"/>
      <c r="N215" s="3693"/>
      <c r="O215" s="3696"/>
      <c r="P215" s="3699"/>
      <c r="Q215" s="3702"/>
      <c r="R215" s="3663"/>
      <c r="S215" s="3343"/>
      <c r="T215" s="3340"/>
      <c r="U215" s="3343"/>
      <c r="V215" s="3340"/>
      <c r="W215" s="3343"/>
      <c r="X215" s="3734"/>
      <c r="Y215" s="3716"/>
      <c r="Z215" s="3507"/>
      <c r="AA215" s="3712"/>
      <c r="AB215" s="3782"/>
      <c r="AC215" s="3214"/>
      <c r="AD215" s="3535"/>
      <c r="AE215" s="2503"/>
      <c r="AG215">
        <v>0</v>
      </c>
      <c r="AH215" s="1366">
        <f t="shared" si="30"/>
        <v>0</v>
      </c>
      <c r="AJ215" s="2367">
        <f t="shared" si="31"/>
        <v>0</v>
      </c>
      <c r="AK215" s="2367">
        <f t="shared" si="32"/>
        <v>0</v>
      </c>
      <c r="AL215" s="123" t="str">
        <f t="shared" si="33"/>
        <v>무부하 랙</v>
      </c>
    </row>
    <row r="216" spans="1:38">
      <c r="A216" s="3706"/>
      <c r="B216" s="2654" t="s">
        <v>3106</v>
      </c>
      <c r="C216" s="1142"/>
      <c r="D216" s="3657"/>
      <c r="E216" s="250" t="s">
        <v>3809</v>
      </c>
      <c r="F216" s="3340"/>
      <c r="G216" s="3709"/>
      <c r="H216" s="3676"/>
      <c r="I216" s="3679"/>
      <c r="J216" s="3682"/>
      <c r="K216" s="3685"/>
      <c r="L216" s="3521"/>
      <c r="M216" s="3690"/>
      <c r="N216" s="3693"/>
      <c r="O216" s="3696"/>
      <c r="P216" s="3699"/>
      <c r="Q216" s="3702"/>
      <c r="R216" s="3663"/>
      <c r="S216" s="3343"/>
      <c r="T216" s="3340"/>
      <c r="U216" s="3343"/>
      <c r="V216" s="3340"/>
      <c r="W216" s="3343"/>
      <c r="X216" s="3734"/>
      <c r="Y216" s="3716"/>
      <c r="Z216" s="3507"/>
      <c r="AA216" s="3712"/>
      <c r="AB216" s="3782"/>
      <c r="AC216" s="3214"/>
      <c r="AD216" s="3535"/>
      <c r="AE216" s="2501"/>
      <c r="AG216">
        <v>0</v>
      </c>
      <c r="AH216" s="1366">
        <f t="shared" si="30"/>
        <v>0</v>
      </c>
      <c r="AJ216" s="2367">
        <f t="shared" si="31"/>
        <v>0</v>
      </c>
      <c r="AK216" s="2367">
        <f t="shared" si="32"/>
        <v>0</v>
      </c>
      <c r="AL216" s="123" t="str">
        <f t="shared" si="33"/>
        <v>무부하 랙</v>
      </c>
    </row>
    <row r="217" spans="1:38">
      <c r="A217" s="3706"/>
      <c r="B217" s="2654" t="s">
        <v>3112</v>
      </c>
      <c r="C217" s="1142"/>
      <c r="D217" s="3657"/>
      <c r="E217" s="250" t="s">
        <v>3810</v>
      </c>
      <c r="F217" s="3340"/>
      <c r="G217" s="3709"/>
      <c r="H217" s="3676"/>
      <c r="I217" s="3679"/>
      <c r="J217" s="3682"/>
      <c r="K217" s="3685"/>
      <c r="L217" s="3521"/>
      <c r="M217" s="3690"/>
      <c r="N217" s="3693"/>
      <c r="O217" s="3696"/>
      <c r="P217" s="3699"/>
      <c r="Q217" s="3702"/>
      <c r="R217" s="3663"/>
      <c r="S217" s="3343"/>
      <c r="T217" s="3340"/>
      <c r="U217" s="3343"/>
      <c r="V217" s="3340"/>
      <c r="W217" s="3343"/>
      <c r="X217" s="3734"/>
      <c r="Y217" s="3716"/>
      <c r="Z217" s="3507"/>
      <c r="AA217" s="3712"/>
      <c r="AB217" s="3782"/>
      <c r="AC217" s="3214"/>
      <c r="AD217" s="3535"/>
      <c r="AE217" s="2501"/>
      <c r="AG217">
        <v>0</v>
      </c>
      <c r="AH217" s="1366">
        <f t="shared" si="30"/>
        <v>0</v>
      </c>
      <c r="AJ217" s="2367">
        <f t="shared" si="31"/>
        <v>0</v>
      </c>
      <c r="AK217" s="2367">
        <f t="shared" si="32"/>
        <v>0</v>
      </c>
      <c r="AL217" s="123" t="str">
        <f t="shared" si="33"/>
        <v>무부하 랙</v>
      </c>
    </row>
    <row r="218" spans="1:38">
      <c r="A218" s="3706"/>
      <c r="B218" s="2654" t="s">
        <v>3118</v>
      </c>
      <c r="C218" s="1142"/>
      <c r="D218" s="3657"/>
      <c r="E218" s="250" t="s">
        <v>3811</v>
      </c>
      <c r="F218" s="3340"/>
      <c r="G218" s="3709"/>
      <c r="H218" s="3676"/>
      <c r="I218" s="3679"/>
      <c r="J218" s="3682"/>
      <c r="K218" s="3685"/>
      <c r="L218" s="3521"/>
      <c r="M218" s="3690"/>
      <c r="N218" s="3693"/>
      <c r="O218" s="3696"/>
      <c r="P218" s="3699"/>
      <c r="Q218" s="3702"/>
      <c r="R218" s="3663"/>
      <c r="S218" s="3343"/>
      <c r="T218" s="3340"/>
      <c r="U218" s="3343"/>
      <c r="V218" s="3340"/>
      <c r="W218" s="3343"/>
      <c r="X218" s="3734"/>
      <c r="Y218" s="3716"/>
      <c r="Z218" s="3507"/>
      <c r="AA218" s="3712"/>
      <c r="AB218" s="3782"/>
      <c r="AC218" s="3214"/>
      <c r="AD218" s="3535"/>
      <c r="AE218" s="2501"/>
      <c r="AG218">
        <v>0</v>
      </c>
      <c r="AH218" s="1366">
        <f t="shared" si="30"/>
        <v>0</v>
      </c>
      <c r="AJ218" s="2367">
        <f t="shared" si="31"/>
        <v>0</v>
      </c>
      <c r="AK218" s="2367">
        <f t="shared" si="32"/>
        <v>0</v>
      </c>
      <c r="AL218" s="123" t="str">
        <f t="shared" si="33"/>
        <v>무부하 랙</v>
      </c>
    </row>
    <row r="219" spans="1:38">
      <c r="A219" s="3706"/>
      <c r="B219" s="2654" t="s">
        <v>3119</v>
      </c>
      <c r="C219" s="1142"/>
      <c r="D219" s="3657"/>
      <c r="E219" s="250" t="s">
        <v>3812</v>
      </c>
      <c r="F219" s="3340"/>
      <c r="G219" s="3709"/>
      <c r="H219" s="3676"/>
      <c r="I219" s="3679"/>
      <c r="J219" s="3682"/>
      <c r="K219" s="3685"/>
      <c r="L219" s="3521"/>
      <c r="M219" s="3690"/>
      <c r="N219" s="3693"/>
      <c r="O219" s="3696"/>
      <c r="P219" s="3699"/>
      <c r="Q219" s="3702"/>
      <c r="R219" s="3663"/>
      <c r="S219" s="3343"/>
      <c r="T219" s="3340"/>
      <c r="U219" s="3343"/>
      <c r="V219" s="3340"/>
      <c r="W219" s="3343"/>
      <c r="X219" s="3734"/>
      <c r="Y219" s="3716"/>
      <c r="Z219" s="3507"/>
      <c r="AA219" s="3712"/>
      <c r="AB219" s="3782"/>
      <c r="AC219" s="3214"/>
      <c r="AD219" s="3535"/>
      <c r="AE219" s="2501"/>
      <c r="AG219">
        <v>0</v>
      </c>
      <c r="AH219" s="1366">
        <f t="shared" si="30"/>
        <v>0</v>
      </c>
      <c r="AJ219" s="2367">
        <f t="shared" si="31"/>
        <v>0</v>
      </c>
      <c r="AK219" s="2367">
        <f t="shared" si="32"/>
        <v>0</v>
      </c>
      <c r="AL219" s="123" t="str">
        <f t="shared" si="33"/>
        <v>무부하 랙</v>
      </c>
    </row>
    <row r="220" spans="1:38">
      <c r="A220" s="3706"/>
      <c r="B220" s="2654" t="s">
        <v>3813</v>
      </c>
      <c r="C220" s="1142"/>
      <c r="D220" s="3657"/>
      <c r="E220" s="250" t="s">
        <v>3814</v>
      </c>
      <c r="F220" s="3340"/>
      <c r="G220" s="3709"/>
      <c r="H220" s="3676"/>
      <c r="I220" s="3679"/>
      <c r="J220" s="3682"/>
      <c r="K220" s="3685"/>
      <c r="L220" s="3521"/>
      <c r="M220" s="3690"/>
      <c r="N220" s="3693"/>
      <c r="O220" s="3696"/>
      <c r="P220" s="3699"/>
      <c r="Q220" s="3702"/>
      <c r="R220" s="3663"/>
      <c r="S220" s="3343"/>
      <c r="T220" s="3340"/>
      <c r="U220" s="3343"/>
      <c r="V220" s="3340"/>
      <c r="W220" s="3343"/>
      <c r="X220" s="3734"/>
      <c r="Y220" s="3716"/>
      <c r="Z220" s="3507"/>
      <c r="AA220" s="3712"/>
      <c r="AB220" s="3782"/>
      <c r="AC220" s="3214"/>
      <c r="AD220" s="3535"/>
      <c r="AE220" s="2501"/>
      <c r="AG220">
        <v>0</v>
      </c>
      <c r="AH220" s="1366">
        <f t="shared" si="30"/>
        <v>0</v>
      </c>
      <c r="AJ220" s="2367">
        <f t="shared" si="31"/>
        <v>0</v>
      </c>
      <c r="AK220" s="2367">
        <f t="shared" si="32"/>
        <v>0</v>
      </c>
      <c r="AL220" s="123" t="str">
        <f t="shared" si="33"/>
        <v>무부하 랙</v>
      </c>
    </row>
    <row r="221" spans="1:38" ht="33" thickBot="1">
      <c r="A221" s="3707"/>
      <c r="B221" s="1132" t="s">
        <v>3815</v>
      </c>
      <c r="C221" s="1143" t="s">
        <v>9217</v>
      </c>
      <c r="D221" s="3658"/>
      <c r="E221" s="2672" t="s">
        <v>3816</v>
      </c>
      <c r="F221" s="3341"/>
      <c r="G221" s="3710"/>
      <c r="H221" s="3677"/>
      <c r="I221" s="3680"/>
      <c r="J221" s="3683"/>
      <c r="K221" s="3686"/>
      <c r="L221" s="3688"/>
      <c r="M221" s="3691"/>
      <c r="N221" s="3694"/>
      <c r="O221" s="3697"/>
      <c r="P221" s="3700"/>
      <c r="Q221" s="3703"/>
      <c r="R221" s="3664"/>
      <c r="S221" s="3344"/>
      <c r="T221" s="3341"/>
      <c r="U221" s="3344"/>
      <c r="V221" s="3341"/>
      <c r="W221" s="3344"/>
      <c r="X221" s="3735"/>
      <c r="Y221" s="3717"/>
      <c r="Z221" s="3514"/>
      <c r="AA221" s="3713"/>
      <c r="AB221" s="3783"/>
      <c r="AC221" s="3214"/>
      <c r="AD221" s="3543"/>
      <c r="AE221" s="2502"/>
      <c r="AG221">
        <v>0</v>
      </c>
      <c r="AH221" s="1366">
        <f t="shared" si="30"/>
        <v>0</v>
      </c>
      <c r="AJ221" s="2367">
        <f t="shared" si="31"/>
        <v>0</v>
      </c>
      <c r="AK221" s="2367">
        <f t="shared" si="32"/>
        <v>0</v>
      </c>
      <c r="AL221" s="123" t="str">
        <f t="shared" si="33"/>
        <v>무부하 랙</v>
      </c>
    </row>
    <row r="222" spans="1:38" ht="33" thickTop="1">
      <c r="A222" s="3705" t="s">
        <v>3782</v>
      </c>
      <c r="B222" s="1131" t="s">
        <v>1030</v>
      </c>
      <c r="C222" s="1141" t="s">
        <v>9218</v>
      </c>
      <c r="D222" s="3656">
        <f>1.1+2.2</f>
        <v>3.3000000000000003</v>
      </c>
      <c r="E222" s="996" t="s">
        <v>3783</v>
      </c>
      <c r="F222" s="3354" t="s">
        <v>3784</v>
      </c>
      <c r="G222" s="3708" t="s">
        <v>3785</v>
      </c>
      <c r="H222" s="3675" t="str">
        <f>"4-DaHall 1-PDU-"&amp;L222&amp;"-"&amp;K222&amp;"-"&amp;M222</f>
        <v>4-DaHall 1-PDU-04-100-5</v>
      </c>
      <c r="I222" s="3678" t="str">
        <f>"4-DaHall 1-PDU-"&amp;P222&amp;"-"&amp;O222&amp;"-"&amp;Q222</f>
        <v>4-DaHall 1-PDU-03-100-5</v>
      </c>
      <c r="J222" s="3681">
        <v>220</v>
      </c>
      <c r="K222" s="3684">
        <v>100</v>
      </c>
      <c r="L222" s="3687" t="s">
        <v>6496</v>
      </c>
      <c r="M222" s="3689">
        <v>5</v>
      </c>
      <c r="N222" s="3692">
        <v>220</v>
      </c>
      <c r="O222" s="3695">
        <v>100</v>
      </c>
      <c r="P222" s="3698" t="s">
        <v>6500</v>
      </c>
      <c r="Q222" s="3701">
        <v>5</v>
      </c>
      <c r="R222" s="3662" t="s">
        <v>3774</v>
      </c>
      <c r="S222" s="3345" t="s">
        <v>3775</v>
      </c>
      <c r="T222" s="3354" t="s">
        <v>3776</v>
      </c>
      <c r="U222" s="3345" t="s">
        <v>3777</v>
      </c>
      <c r="V222" s="3354" t="s">
        <v>3744</v>
      </c>
      <c r="W222" s="3345" t="s">
        <v>3749</v>
      </c>
      <c r="X222" s="3733">
        <f>SUM('4층_부하량(월간_AVG)'!N10:P10)</f>
        <v>9.8120829610517539</v>
      </c>
      <c r="Y222" s="3715">
        <f>SUM('4층_부하량(월간_AVG)'!D52:F52)</f>
        <v>6.4563675703259147</v>
      </c>
      <c r="Z222" s="3714">
        <f t="shared" ref="Z222" si="36">SUM(X222:Y222)</f>
        <v>16.268450531377667</v>
      </c>
      <c r="AA222" s="3711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1526.8</v>
      </c>
      <c r="AB222" s="3781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1023.4</v>
      </c>
      <c r="AC222" s="3214" t="e" cm="1">
        <f t="array" ref="AC222">INDEX('각층분기별_유효전력최대(전월)'!A219:A2237,MATCH(1,("4-DaHall 1-PDU-02"='각층분기별_유효전력최대(전월)'!B221:B2237)*("[branch#001] [A] kWh last month"='각층분기별_유효전력최대(전월)'!C221:C2237),0))</f>
        <v>#N/A</v>
      </c>
      <c r="AD222" s="3545">
        <f>SUM(AA222:AB233)</f>
        <v>2550.1999999999998</v>
      </c>
      <c r="AE222" s="2500"/>
      <c r="AG222">
        <v>16.200000000000003</v>
      </c>
      <c r="AH222" s="1366">
        <f t="shared" si="30"/>
        <v>6.8450531377663992E-2</v>
      </c>
      <c r="AJ222" s="2367">
        <f t="shared" si="31"/>
        <v>3.4276881720430104</v>
      </c>
      <c r="AK222" s="2367">
        <f t="shared" si="32"/>
        <v>-0.12768817204301008</v>
      </c>
      <c r="AL222" s="123" t="str">
        <f t="shared" si="33"/>
        <v>사용초과</v>
      </c>
    </row>
    <row r="223" spans="1:38">
      <c r="A223" s="3706"/>
      <c r="B223" s="2654" t="s">
        <v>3786</v>
      </c>
      <c r="C223" s="1142"/>
      <c r="D223" s="3657"/>
      <c r="E223" s="250" t="s">
        <v>3787</v>
      </c>
      <c r="F223" s="3340"/>
      <c r="G223" s="3709"/>
      <c r="H223" s="3676"/>
      <c r="I223" s="3679"/>
      <c r="J223" s="3682"/>
      <c r="K223" s="3685"/>
      <c r="L223" s="3521"/>
      <c r="M223" s="3690"/>
      <c r="N223" s="3693"/>
      <c r="O223" s="3696"/>
      <c r="P223" s="3699"/>
      <c r="Q223" s="3702"/>
      <c r="R223" s="3663"/>
      <c r="S223" s="3343"/>
      <c r="T223" s="3340"/>
      <c r="U223" s="3343"/>
      <c r="V223" s="3340"/>
      <c r="W223" s="3343"/>
      <c r="X223" s="3734"/>
      <c r="Y223" s="3716"/>
      <c r="Z223" s="3507"/>
      <c r="AA223" s="3712"/>
      <c r="AB223" s="3782"/>
      <c r="AC223" s="3214"/>
      <c r="AD223" s="3535"/>
      <c r="AE223" s="2501"/>
      <c r="AG223">
        <v>0</v>
      </c>
      <c r="AH223" s="1366">
        <f t="shared" si="30"/>
        <v>0</v>
      </c>
      <c r="AJ223" s="2367">
        <f t="shared" si="31"/>
        <v>0</v>
      </c>
      <c r="AK223" s="2367">
        <f t="shared" si="32"/>
        <v>0</v>
      </c>
      <c r="AL223" s="123" t="str">
        <f t="shared" si="33"/>
        <v>무부하 랙</v>
      </c>
    </row>
    <row r="224" spans="1:38">
      <c r="A224" s="3706"/>
      <c r="B224" s="2654" t="s">
        <v>3130</v>
      </c>
      <c r="C224" s="1142"/>
      <c r="D224" s="3657"/>
      <c r="E224" s="250" t="s">
        <v>3788</v>
      </c>
      <c r="F224" s="3340"/>
      <c r="G224" s="3709"/>
      <c r="H224" s="3676"/>
      <c r="I224" s="3679"/>
      <c r="J224" s="3682"/>
      <c r="K224" s="3685"/>
      <c r="L224" s="3521"/>
      <c r="M224" s="3690"/>
      <c r="N224" s="3693"/>
      <c r="O224" s="3696"/>
      <c r="P224" s="3699"/>
      <c r="Q224" s="3702"/>
      <c r="R224" s="3663"/>
      <c r="S224" s="3343"/>
      <c r="T224" s="3340"/>
      <c r="U224" s="3343"/>
      <c r="V224" s="3340"/>
      <c r="W224" s="3343"/>
      <c r="X224" s="3734"/>
      <c r="Y224" s="3716"/>
      <c r="Z224" s="3507"/>
      <c r="AA224" s="3712"/>
      <c r="AB224" s="3782"/>
      <c r="AC224" s="3214"/>
      <c r="AD224" s="3535"/>
      <c r="AE224" s="2501"/>
      <c r="AG224">
        <v>0</v>
      </c>
      <c r="AH224" s="1366">
        <f t="shared" si="30"/>
        <v>0</v>
      </c>
      <c r="AJ224" s="2367">
        <f t="shared" si="31"/>
        <v>0</v>
      </c>
      <c r="AK224" s="2367">
        <f t="shared" si="32"/>
        <v>0</v>
      </c>
      <c r="AL224" s="123" t="str">
        <f t="shared" si="33"/>
        <v>무부하 랙</v>
      </c>
    </row>
    <row r="225" spans="1:38">
      <c r="A225" s="3706"/>
      <c r="B225" s="2654" t="s">
        <v>3136</v>
      </c>
      <c r="C225" s="1142"/>
      <c r="D225" s="3657"/>
      <c r="E225" s="250" t="s">
        <v>3789</v>
      </c>
      <c r="F225" s="3340"/>
      <c r="G225" s="3709"/>
      <c r="H225" s="3676"/>
      <c r="I225" s="3679"/>
      <c r="J225" s="3682"/>
      <c r="K225" s="3685"/>
      <c r="L225" s="3521"/>
      <c r="M225" s="3690"/>
      <c r="N225" s="3693"/>
      <c r="O225" s="3696"/>
      <c r="P225" s="3699"/>
      <c r="Q225" s="3702"/>
      <c r="R225" s="3663"/>
      <c r="S225" s="3343"/>
      <c r="T225" s="3340"/>
      <c r="U225" s="3343"/>
      <c r="V225" s="3340"/>
      <c r="W225" s="3343"/>
      <c r="X225" s="3734"/>
      <c r="Y225" s="3716"/>
      <c r="Z225" s="3507"/>
      <c r="AA225" s="3712"/>
      <c r="AB225" s="3782"/>
      <c r="AC225" s="3214"/>
      <c r="AD225" s="3535"/>
      <c r="AE225" s="2501"/>
      <c r="AG225">
        <v>0</v>
      </c>
      <c r="AH225" s="1366">
        <f t="shared" si="30"/>
        <v>0</v>
      </c>
      <c r="AJ225" s="2367">
        <f t="shared" si="31"/>
        <v>0</v>
      </c>
      <c r="AK225" s="2367">
        <f t="shared" si="32"/>
        <v>0</v>
      </c>
      <c r="AL225" s="123" t="str">
        <f t="shared" si="33"/>
        <v>무부하 랙</v>
      </c>
    </row>
    <row r="226" spans="1:38">
      <c r="A226" s="3706"/>
      <c r="B226" s="2654" t="s">
        <v>3142</v>
      </c>
      <c r="C226" s="1142"/>
      <c r="D226" s="3657"/>
      <c r="E226" s="250" t="s">
        <v>3790</v>
      </c>
      <c r="F226" s="3340"/>
      <c r="G226" s="3709"/>
      <c r="H226" s="3676"/>
      <c r="I226" s="3679"/>
      <c r="J226" s="3682"/>
      <c r="K226" s="3685"/>
      <c r="L226" s="3521"/>
      <c r="M226" s="3690"/>
      <c r="N226" s="3693"/>
      <c r="O226" s="3696"/>
      <c r="P226" s="3699"/>
      <c r="Q226" s="3702"/>
      <c r="R226" s="3663"/>
      <c r="S226" s="3343"/>
      <c r="T226" s="3340"/>
      <c r="U226" s="3343"/>
      <c r="V226" s="3340"/>
      <c r="W226" s="3343"/>
      <c r="X226" s="3734"/>
      <c r="Y226" s="3716"/>
      <c r="Z226" s="3507"/>
      <c r="AA226" s="3712"/>
      <c r="AB226" s="3782"/>
      <c r="AC226" s="3214"/>
      <c r="AD226" s="3535"/>
      <c r="AE226" s="2501"/>
      <c r="AG226">
        <v>0</v>
      </c>
      <c r="AH226" s="1366">
        <f t="shared" si="30"/>
        <v>0</v>
      </c>
      <c r="AJ226" s="2367">
        <f t="shared" si="31"/>
        <v>0</v>
      </c>
      <c r="AK226" s="2367">
        <f t="shared" si="32"/>
        <v>0</v>
      </c>
      <c r="AL226" s="123" t="str">
        <f t="shared" si="33"/>
        <v>무부하 랙</v>
      </c>
    </row>
    <row r="227" spans="1:38">
      <c r="A227" s="3706"/>
      <c r="B227" s="2654" t="s">
        <v>3148</v>
      </c>
      <c r="C227" s="1142"/>
      <c r="D227" s="3657"/>
      <c r="E227" s="250" t="s">
        <v>3791</v>
      </c>
      <c r="F227" s="3340"/>
      <c r="G227" s="3709"/>
      <c r="H227" s="3676"/>
      <c r="I227" s="3679"/>
      <c r="J227" s="3682"/>
      <c r="K227" s="3685"/>
      <c r="L227" s="3521"/>
      <c r="M227" s="3690"/>
      <c r="N227" s="3693"/>
      <c r="O227" s="3696"/>
      <c r="P227" s="3699"/>
      <c r="Q227" s="3702"/>
      <c r="R227" s="3663"/>
      <c r="S227" s="3343"/>
      <c r="T227" s="3340"/>
      <c r="U227" s="3343"/>
      <c r="V227" s="3340"/>
      <c r="W227" s="3343"/>
      <c r="X227" s="3734"/>
      <c r="Y227" s="3716"/>
      <c r="Z227" s="3507"/>
      <c r="AA227" s="3712"/>
      <c r="AB227" s="3782"/>
      <c r="AC227" s="3214"/>
      <c r="AD227" s="3535"/>
      <c r="AE227" s="2501"/>
      <c r="AG227">
        <v>0</v>
      </c>
      <c r="AH227" s="1366">
        <f t="shared" si="30"/>
        <v>0</v>
      </c>
      <c r="AJ227" s="2367">
        <f t="shared" si="31"/>
        <v>0</v>
      </c>
      <c r="AK227" s="2367">
        <f t="shared" si="32"/>
        <v>0</v>
      </c>
      <c r="AL227" s="123" t="str">
        <f t="shared" si="33"/>
        <v>무부하 랙</v>
      </c>
    </row>
    <row r="228" spans="1:38">
      <c r="A228" s="3706"/>
      <c r="B228" s="2654" t="s">
        <v>3154</v>
      </c>
      <c r="C228" s="1142"/>
      <c r="D228" s="3657"/>
      <c r="E228" s="250" t="s">
        <v>3792</v>
      </c>
      <c r="F228" s="3340"/>
      <c r="G228" s="3709"/>
      <c r="H228" s="3676"/>
      <c r="I228" s="3679"/>
      <c r="J228" s="3682"/>
      <c r="K228" s="3685"/>
      <c r="L228" s="3521"/>
      <c r="M228" s="3690"/>
      <c r="N228" s="3693"/>
      <c r="O228" s="3696"/>
      <c r="P228" s="3699"/>
      <c r="Q228" s="3702"/>
      <c r="R228" s="3663"/>
      <c r="S228" s="3343"/>
      <c r="T228" s="3340"/>
      <c r="U228" s="3343"/>
      <c r="V228" s="3340"/>
      <c r="W228" s="3343"/>
      <c r="X228" s="3734"/>
      <c r="Y228" s="3716"/>
      <c r="Z228" s="3507"/>
      <c r="AA228" s="3712"/>
      <c r="AB228" s="3782"/>
      <c r="AC228" s="3214"/>
      <c r="AD228" s="3535"/>
      <c r="AE228" s="2501"/>
      <c r="AG228">
        <v>0</v>
      </c>
      <c r="AH228" s="1366">
        <f t="shared" si="30"/>
        <v>0</v>
      </c>
      <c r="AJ228" s="2367">
        <f t="shared" si="31"/>
        <v>0</v>
      </c>
      <c r="AK228" s="2367">
        <f t="shared" si="32"/>
        <v>0</v>
      </c>
      <c r="AL228" s="123" t="str">
        <f t="shared" si="33"/>
        <v>무부하 랙</v>
      </c>
    </row>
    <row r="229" spans="1:38" ht="21.6">
      <c r="A229" s="3706"/>
      <c r="B229" s="2654" t="s">
        <v>3160</v>
      </c>
      <c r="C229" s="1142" t="s">
        <v>9174</v>
      </c>
      <c r="D229" s="3657"/>
      <c r="E229" s="2653" t="s">
        <v>3793</v>
      </c>
      <c r="F229" s="3340"/>
      <c r="G229" s="3709"/>
      <c r="H229" s="3676"/>
      <c r="I229" s="3679"/>
      <c r="J229" s="3682"/>
      <c r="K229" s="3685"/>
      <c r="L229" s="3521"/>
      <c r="M229" s="3690"/>
      <c r="N229" s="3693"/>
      <c r="O229" s="3696"/>
      <c r="P229" s="3699"/>
      <c r="Q229" s="3702"/>
      <c r="R229" s="3663"/>
      <c r="S229" s="3343"/>
      <c r="T229" s="3340"/>
      <c r="U229" s="3343"/>
      <c r="V229" s="3340"/>
      <c r="W229" s="3343"/>
      <c r="X229" s="3734"/>
      <c r="Y229" s="3716"/>
      <c r="Z229" s="3507"/>
      <c r="AA229" s="3712"/>
      <c r="AB229" s="3782"/>
      <c r="AC229" s="3214"/>
      <c r="AD229" s="3535"/>
      <c r="AE229" s="2501"/>
      <c r="AG229">
        <v>0</v>
      </c>
      <c r="AH229" s="1366">
        <f t="shared" si="30"/>
        <v>0</v>
      </c>
      <c r="AJ229" s="2367">
        <f t="shared" si="31"/>
        <v>0</v>
      </c>
      <c r="AK229" s="2367">
        <f t="shared" si="32"/>
        <v>0</v>
      </c>
      <c r="AL229" s="123" t="str">
        <f t="shared" si="33"/>
        <v>무부하 랙</v>
      </c>
    </row>
    <row r="230" spans="1:38">
      <c r="A230" s="3706"/>
      <c r="B230" s="2654" t="s">
        <v>3166</v>
      </c>
      <c r="C230" s="1142"/>
      <c r="D230" s="3657"/>
      <c r="E230" s="250" t="s">
        <v>3794</v>
      </c>
      <c r="F230" s="3340"/>
      <c r="G230" s="3709"/>
      <c r="H230" s="3676"/>
      <c r="I230" s="3679"/>
      <c r="J230" s="3682"/>
      <c r="K230" s="3685"/>
      <c r="L230" s="3521"/>
      <c r="M230" s="3690"/>
      <c r="N230" s="3693"/>
      <c r="O230" s="3696"/>
      <c r="P230" s="3699"/>
      <c r="Q230" s="3702"/>
      <c r="R230" s="3663"/>
      <c r="S230" s="3343"/>
      <c r="T230" s="3340"/>
      <c r="U230" s="3343"/>
      <c r="V230" s="3340"/>
      <c r="W230" s="3343"/>
      <c r="X230" s="3734"/>
      <c r="Y230" s="3716"/>
      <c r="Z230" s="3507"/>
      <c r="AA230" s="3712"/>
      <c r="AB230" s="3782"/>
      <c r="AC230" s="3214"/>
      <c r="AD230" s="3535"/>
      <c r="AE230" s="2501"/>
      <c r="AG230">
        <v>0</v>
      </c>
      <c r="AH230" s="1366">
        <f t="shared" si="30"/>
        <v>0</v>
      </c>
      <c r="AJ230" s="2367">
        <f t="shared" si="31"/>
        <v>0</v>
      </c>
      <c r="AK230" s="2367">
        <f t="shared" si="32"/>
        <v>0</v>
      </c>
      <c r="AL230" s="123" t="str">
        <f t="shared" si="33"/>
        <v>무부하 랙</v>
      </c>
    </row>
    <row r="231" spans="1:38">
      <c r="A231" s="3706"/>
      <c r="B231" s="2654" t="s">
        <v>3167</v>
      </c>
      <c r="C231" s="1142"/>
      <c r="D231" s="3657"/>
      <c r="E231" s="250" t="s">
        <v>3795</v>
      </c>
      <c r="F231" s="3340"/>
      <c r="G231" s="3709"/>
      <c r="H231" s="3676"/>
      <c r="I231" s="3679"/>
      <c r="J231" s="3682"/>
      <c r="K231" s="3685"/>
      <c r="L231" s="3521"/>
      <c r="M231" s="3690"/>
      <c r="N231" s="3693"/>
      <c r="O231" s="3696"/>
      <c r="P231" s="3699"/>
      <c r="Q231" s="3702"/>
      <c r="R231" s="3663"/>
      <c r="S231" s="3343"/>
      <c r="T231" s="3340"/>
      <c r="U231" s="3343"/>
      <c r="V231" s="3340"/>
      <c r="W231" s="3343"/>
      <c r="X231" s="3734"/>
      <c r="Y231" s="3716"/>
      <c r="Z231" s="3507"/>
      <c r="AA231" s="3712"/>
      <c r="AB231" s="3782"/>
      <c r="AC231" s="3214"/>
      <c r="AD231" s="3535"/>
      <c r="AE231" s="2501"/>
      <c r="AG231">
        <v>0</v>
      </c>
      <c r="AH231" s="1366">
        <f t="shared" si="30"/>
        <v>0</v>
      </c>
      <c r="AJ231" s="2367">
        <f t="shared" si="31"/>
        <v>0</v>
      </c>
      <c r="AK231" s="2367">
        <f t="shared" si="32"/>
        <v>0</v>
      </c>
      <c r="AL231" s="123" t="str">
        <f t="shared" si="33"/>
        <v>무부하 랙</v>
      </c>
    </row>
    <row r="232" spans="1:38">
      <c r="A232" s="3706"/>
      <c r="B232" s="2654" t="s">
        <v>3796</v>
      </c>
      <c r="C232" s="1142"/>
      <c r="D232" s="3657"/>
      <c r="E232" s="250" t="s">
        <v>3797</v>
      </c>
      <c r="F232" s="3340"/>
      <c r="G232" s="3709"/>
      <c r="H232" s="3676"/>
      <c r="I232" s="3679"/>
      <c r="J232" s="3682"/>
      <c r="K232" s="3685"/>
      <c r="L232" s="3521"/>
      <c r="M232" s="3690"/>
      <c r="N232" s="3693"/>
      <c r="O232" s="3696"/>
      <c r="P232" s="3699"/>
      <c r="Q232" s="3702"/>
      <c r="R232" s="3663"/>
      <c r="S232" s="3343"/>
      <c r="T232" s="3340"/>
      <c r="U232" s="3343"/>
      <c r="V232" s="3340"/>
      <c r="W232" s="3343"/>
      <c r="X232" s="3734"/>
      <c r="Y232" s="3716"/>
      <c r="Z232" s="3507"/>
      <c r="AA232" s="3712"/>
      <c r="AB232" s="3782"/>
      <c r="AC232" s="3214"/>
      <c r="AD232" s="3535"/>
      <c r="AE232" s="2501"/>
      <c r="AG232">
        <v>0</v>
      </c>
      <c r="AH232" s="1366">
        <f t="shared" si="30"/>
        <v>0</v>
      </c>
      <c r="AJ232" s="2367">
        <f t="shared" si="31"/>
        <v>0</v>
      </c>
      <c r="AK232" s="2367">
        <f t="shared" si="32"/>
        <v>0</v>
      </c>
      <c r="AL232" s="123" t="str">
        <f t="shared" si="33"/>
        <v>무부하 랙</v>
      </c>
    </row>
    <row r="233" spans="1:38" ht="15" thickBot="1">
      <c r="A233" s="3707"/>
      <c r="B233" s="1132" t="s">
        <v>3798</v>
      </c>
      <c r="C233" s="1143"/>
      <c r="D233" s="3658"/>
      <c r="E233" s="2661" t="s">
        <v>3799</v>
      </c>
      <c r="F233" s="3341"/>
      <c r="G233" s="3710"/>
      <c r="H233" s="3677"/>
      <c r="I233" s="3680"/>
      <c r="J233" s="3683"/>
      <c r="K233" s="3686"/>
      <c r="L233" s="3688"/>
      <c r="M233" s="3691"/>
      <c r="N233" s="3694"/>
      <c r="O233" s="3697"/>
      <c r="P233" s="3700"/>
      <c r="Q233" s="3703"/>
      <c r="R233" s="3664"/>
      <c r="S233" s="3344"/>
      <c r="T233" s="3341"/>
      <c r="U233" s="3344"/>
      <c r="V233" s="3341"/>
      <c r="W233" s="3344"/>
      <c r="X233" s="3735"/>
      <c r="Y233" s="3717"/>
      <c r="Z233" s="3514"/>
      <c r="AA233" s="3713"/>
      <c r="AB233" s="3783"/>
      <c r="AC233" s="3214"/>
      <c r="AD233" s="3543"/>
      <c r="AE233" s="2502"/>
      <c r="AG233">
        <v>0</v>
      </c>
      <c r="AH233" s="1366">
        <f t="shared" si="30"/>
        <v>0</v>
      </c>
      <c r="AJ233" s="2367">
        <f t="shared" si="31"/>
        <v>0</v>
      </c>
      <c r="AK233" s="2367">
        <f t="shared" si="32"/>
        <v>0</v>
      </c>
      <c r="AL233" s="123" t="str">
        <f t="shared" si="33"/>
        <v>무부하 랙</v>
      </c>
    </row>
    <row r="234" spans="1:38" ht="15" thickTop="1">
      <c r="AH234" s="1366">
        <f>SUM(AH5:AH233)</f>
        <v>-60.739768181366109</v>
      </c>
    </row>
    <row r="235" spans="1:38">
      <c r="Z235" s="864">
        <f>SUM(Z5:Z233)-SUM(Z7:Z8)</f>
        <v>1083.8840077206555</v>
      </c>
      <c r="AA235" s="1362">
        <f>SUM(AA5:AA233)/1000</f>
        <v>103.63880000000002</v>
      </c>
      <c r="AB235" s="1362"/>
      <c r="AC235" s="1362"/>
      <c r="AD235" s="1362"/>
    </row>
    <row r="236" spans="1:38">
      <c r="Y236" s="2071" t="s">
        <v>2472</v>
      </c>
      <c r="Z236" s="1366"/>
    </row>
  </sheetData>
  <mergeCells count="739">
    <mergeCell ref="AR3:AR4"/>
    <mergeCell ref="AS3:AS4"/>
    <mergeCell ref="AT3:AT4"/>
    <mergeCell ref="AV3:AW3"/>
    <mergeCell ref="AX3:AZ3"/>
    <mergeCell ref="BA3:BB3"/>
    <mergeCell ref="BC3:BC4"/>
    <mergeCell ref="BD3:BD4"/>
    <mergeCell ref="AJ3:AJ4"/>
    <mergeCell ref="AK3:AK4"/>
    <mergeCell ref="AL3:AL4"/>
    <mergeCell ref="AE16:AE21"/>
    <mergeCell ref="AE25:AE29"/>
    <mergeCell ref="AE22:AE24"/>
    <mergeCell ref="AE30:AE35"/>
    <mergeCell ref="AD73:AD82"/>
    <mergeCell ref="AD63:AD72"/>
    <mergeCell ref="AD55:AD56"/>
    <mergeCell ref="AE57:AE62"/>
    <mergeCell ref="AE52:AE54"/>
    <mergeCell ref="AE46:AE51"/>
    <mergeCell ref="AE40:AE42"/>
    <mergeCell ref="AE43:AE45"/>
    <mergeCell ref="AE36:AE39"/>
    <mergeCell ref="AD22:AD24"/>
    <mergeCell ref="AD30:AD35"/>
    <mergeCell ref="AD43:AD45"/>
    <mergeCell ref="AD36:AD39"/>
    <mergeCell ref="AD16:AD21"/>
    <mergeCell ref="AD25:AD29"/>
    <mergeCell ref="AD165:AD174"/>
    <mergeCell ref="AD155:AD164"/>
    <mergeCell ref="AD145:AD154"/>
    <mergeCell ref="AD134:AD144"/>
    <mergeCell ref="AD123:AD133"/>
    <mergeCell ref="AD115:AD122"/>
    <mergeCell ref="AD103:AD114"/>
    <mergeCell ref="AD93:AD102"/>
    <mergeCell ref="AD83:AD92"/>
    <mergeCell ref="A1:AE1"/>
    <mergeCell ref="AA3:AB3"/>
    <mergeCell ref="AE3:AE4"/>
    <mergeCell ref="AE9:AE14"/>
    <mergeCell ref="AD222:AD233"/>
    <mergeCell ref="AD210:AD221"/>
    <mergeCell ref="AD198:AD209"/>
    <mergeCell ref="AD186:AD197"/>
    <mergeCell ref="AD175:AD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A52:A54"/>
    <mergeCell ref="F52:F54"/>
    <mergeCell ref="G52:G54"/>
    <mergeCell ref="AD57:AD62"/>
    <mergeCell ref="AD52:AD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T9:T12"/>
    <mergeCell ref="Y93:Y102"/>
    <mergeCell ref="X93:X102"/>
    <mergeCell ref="AA63:AA72"/>
    <mergeCell ref="Z63:Z72"/>
    <mergeCell ref="Y63:Y72"/>
    <mergeCell ref="X63:X72"/>
    <mergeCell ref="AD46:AD51"/>
    <mergeCell ref="AD40:AD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G40:G42"/>
    <mergeCell ref="A3:A4"/>
    <mergeCell ref="F3:G3"/>
    <mergeCell ref="X3:Z3"/>
    <mergeCell ref="AD3:AD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R25:R29"/>
    <mergeCell ref="AC3:AC4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</mergeCells>
  <phoneticPr fontId="13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workbookViewId="0">
      <selection sqref="A1:E1"/>
    </sheetView>
  </sheetViews>
  <sheetFormatPr defaultRowHeight="14.4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1" width="17.69921875" customWidth="1"/>
  </cols>
  <sheetData>
    <row r="1" spans="1:11" ht="25.2" customHeight="1" thickBot="1">
      <c r="A1" s="3811" t="s">
        <v>9299</v>
      </c>
      <c r="B1" s="3812"/>
      <c r="C1" s="3812"/>
      <c r="D1" s="3812"/>
      <c r="E1" s="3813"/>
      <c r="G1" s="3068" t="s">
        <v>9274</v>
      </c>
      <c r="H1" s="3069" t="s">
        <v>9275</v>
      </c>
      <c r="I1" s="3069" t="s">
        <v>9276</v>
      </c>
      <c r="J1" s="3070" t="s">
        <v>9277</v>
      </c>
      <c r="K1" s="3071" t="s">
        <v>9278</v>
      </c>
    </row>
    <row r="2" spans="1:11" ht="16.2" thickBot="1">
      <c r="G2" s="3072" t="s">
        <v>9297</v>
      </c>
      <c r="H2" s="3073">
        <f>SUM(B5:B16)</f>
        <v>177.8</v>
      </c>
      <c r="I2" s="3127">
        <f>SUM(C5:C18)</f>
        <v>41.585071236559145</v>
      </c>
      <c r="J2" s="3128">
        <f>H2-I2</f>
        <v>136.21492876344087</v>
      </c>
      <c r="K2" s="3129" t="str">
        <f>IF(G2="","고객명 입력필요", IF(SIGN(J2)&gt;=0,IF(I2=0,"미사용 랙","적정 사용"),"사용초과"))</f>
        <v>적정 사용</v>
      </c>
    </row>
    <row r="3" spans="1:11">
      <c r="G3" s="3121" t="s">
        <v>9298</v>
      </c>
    </row>
    <row r="4" spans="1:11" ht="15.6">
      <c r="A4" s="3074" t="s">
        <v>9279</v>
      </c>
      <c r="B4" s="3074" t="s">
        <v>9265</v>
      </c>
      <c r="C4" s="3075" t="s">
        <v>9267</v>
      </c>
      <c r="D4" s="3076" t="s">
        <v>9268</v>
      </c>
      <c r="E4" s="3066" t="s">
        <v>9269</v>
      </c>
    </row>
    <row r="5" spans="1:11" ht="15.6">
      <c r="A5" s="3077" t="s">
        <v>9280</v>
      </c>
      <c r="B5" s="3062">
        <f>'7층_랙별_계통_및_부하량'!BI2</f>
        <v>45.600000000000023</v>
      </c>
      <c r="C5" s="3120">
        <f>'7층_랙별_계통_및_부하량'!BJ2</f>
        <v>34.712500000000006</v>
      </c>
      <c r="D5" s="3062">
        <f>'[2]7층_랙별_계통_및_부하량'!BJ2</f>
        <v>9.6875000000000142</v>
      </c>
      <c r="E5" s="3078" t="str">
        <f>'[2]7층_랙별_계통_및_부하량'!BK2</f>
        <v>적정 사용</v>
      </c>
    </row>
    <row r="6" spans="1:11" ht="15.6">
      <c r="A6" s="3077" t="s">
        <v>9281</v>
      </c>
      <c r="B6" s="3062">
        <f>'6층_랙별_계통 및_부하량'!AY2</f>
        <v>1.6</v>
      </c>
      <c r="C6" s="3120">
        <f>'6층_랙별_계통 및_부하량'!AZ2</f>
        <v>0.17862903225806454</v>
      </c>
      <c r="D6" s="3062">
        <f>'[2]6층_랙별_계통 및_부하량'!AZ2</f>
        <v>1.4213709677419355</v>
      </c>
      <c r="E6" s="3078" t="str">
        <f>'[2]6층_랙별_계통 및_부하량'!BA2</f>
        <v>적정 사용</v>
      </c>
    </row>
    <row r="7" spans="1:11" ht="15.6">
      <c r="A7" s="3077" t="s">
        <v>9282</v>
      </c>
      <c r="B7" s="3062">
        <f>'5층_랙별_계통 및_부하량'!AY2</f>
        <v>17</v>
      </c>
      <c r="C7" s="3120">
        <f>'5층_랙별_계통 및_부하량'!AZ2</f>
        <v>6.6514784946236558</v>
      </c>
      <c r="D7" s="3062">
        <f>'[2]5층_랙별_계통 및_부하량'!AZ2</f>
        <v>9.5485215053763426</v>
      </c>
      <c r="E7" s="3078" t="str">
        <f>'[2]5층_랙별_계통 및_부하량'!BA2</f>
        <v>적정 사용</v>
      </c>
    </row>
    <row r="8" spans="1:11" ht="15.6">
      <c r="A8" s="3077" t="s">
        <v>9283</v>
      </c>
      <c r="B8" s="3062">
        <f>'4층_랙별_계통 및_부하량'!BA2</f>
        <v>113.6</v>
      </c>
      <c r="C8" s="3120">
        <f>'4층_랙별_계통 및_부하량'!BB2</f>
        <v>4.2463709677419352E-2</v>
      </c>
      <c r="D8" s="3062">
        <f>'[2]4층_랙별_계통 및_부하량'!BB2</f>
        <v>22.554973118279563</v>
      </c>
      <c r="E8" s="3078" t="str">
        <f>'[2]4층_랙별_계통 및_부하량'!BC2</f>
        <v>적정 사용</v>
      </c>
    </row>
    <row r="9" spans="1:11" ht="15.6">
      <c r="A9" s="3079" t="s">
        <v>9284</v>
      </c>
      <c r="B9" s="3062"/>
      <c r="C9" s="3120"/>
      <c r="D9" s="3062"/>
      <c r="E9" s="3078"/>
    </row>
    <row r="10" spans="1:11" ht="15.6">
      <c r="A10" s="3079" t="s">
        <v>9285</v>
      </c>
      <c r="B10" s="3062"/>
      <c r="C10" s="3120"/>
      <c r="D10" s="3062"/>
      <c r="E10" s="3078"/>
    </row>
    <row r="11" spans="1:11" ht="15.6">
      <c r="A11" s="3079" t="s">
        <v>9286</v>
      </c>
      <c r="B11" s="3062"/>
      <c r="C11" s="3120"/>
      <c r="D11" s="3062"/>
      <c r="E11" s="3078"/>
    </row>
    <row r="12" spans="1:11" ht="15.6">
      <c r="A12" s="3079" t="s">
        <v>9287</v>
      </c>
      <c r="B12" s="3062"/>
      <c r="C12" s="3120"/>
      <c r="D12" s="3062"/>
      <c r="E12" s="3078"/>
    </row>
    <row r="13" spans="1:11" ht="15.6">
      <c r="A13" s="3079" t="s">
        <v>9288</v>
      </c>
      <c r="B13" s="3062"/>
      <c r="C13" s="3120"/>
      <c r="D13" s="3062"/>
      <c r="E13" s="3078"/>
    </row>
    <row r="14" spans="1:11" ht="15.6">
      <c r="A14" s="3079" t="s">
        <v>9289</v>
      </c>
      <c r="B14" s="3062"/>
      <c r="C14" s="3120"/>
      <c r="D14" s="3062"/>
      <c r="E14" s="3078"/>
    </row>
    <row r="15" spans="1:11" ht="15.6">
      <c r="A15" s="3079" t="s">
        <v>9290</v>
      </c>
      <c r="B15" s="3062"/>
      <c r="C15" s="3120"/>
      <c r="D15" s="3062"/>
      <c r="E15" s="3078"/>
    </row>
    <row r="16" spans="1:11" ht="15.6">
      <c r="A16" s="3079" t="s">
        <v>9291</v>
      </c>
      <c r="B16" s="3062"/>
      <c r="C16" s="3120"/>
      <c r="D16" s="3062"/>
      <c r="E16" s="3078"/>
    </row>
    <row r="17" spans="1:5" ht="15.6">
      <c r="A17" s="3079" t="s">
        <v>9292</v>
      </c>
      <c r="B17" s="3062"/>
      <c r="C17" s="3120"/>
      <c r="D17" s="3062"/>
      <c r="E17" s="3078"/>
    </row>
    <row r="18" spans="1:5" ht="15.6">
      <c r="A18" s="3079" t="s">
        <v>9293</v>
      </c>
      <c r="B18" s="3062"/>
      <c r="C18" s="3120"/>
      <c r="D18" s="3062"/>
      <c r="E18" s="3078"/>
    </row>
  </sheetData>
  <mergeCells count="1">
    <mergeCell ref="A1:E1"/>
  </mergeCells>
  <phoneticPr fontId="1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L860"/>
  <sheetViews>
    <sheetView zoomScaleNormal="100" workbookViewId="0">
      <selection activeCell="C36" sqref="C36"/>
    </sheetView>
  </sheetViews>
  <sheetFormatPr defaultRowHeight="14.4"/>
  <cols>
    <col min="1" max="1" width="20.3984375" bestFit="1" customWidth="1"/>
    <col min="2" max="3" width="29.69921875" style="2583" customWidth="1"/>
    <col min="4" max="4" width="20.3984375" bestFit="1" customWidth="1"/>
    <col min="5" max="6" width="31.8984375" style="2583" customWidth="1"/>
    <col min="7" max="7" width="20.3984375" bestFit="1" customWidth="1"/>
    <col min="8" max="9" width="28.09765625" style="2583" customWidth="1"/>
    <col min="10" max="10" width="20.3984375" bestFit="1" customWidth="1"/>
    <col min="11" max="11" width="27.8984375" style="2583" customWidth="1"/>
    <col min="12" max="12" width="28.09765625" style="2583" customWidth="1"/>
  </cols>
  <sheetData>
    <row r="1" spans="1:12">
      <c r="A1" s="2584" t="s">
        <v>9312</v>
      </c>
      <c r="B1" s="2582"/>
      <c r="C1" s="2582"/>
    </row>
    <row r="2" spans="1:12">
      <c r="A2" s="3815" t="s">
        <v>6634</v>
      </c>
      <c r="B2" s="3814" t="s">
        <v>8716</v>
      </c>
      <c r="C2" s="3814" t="s">
        <v>9311</v>
      </c>
      <c r="D2" s="3815" t="s">
        <v>6635</v>
      </c>
      <c r="E2" s="3814" t="s">
        <v>8716</v>
      </c>
      <c r="F2" s="3814" t="s">
        <v>9311</v>
      </c>
      <c r="G2" s="3815" t="s">
        <v>7539</v>
      </c>
      <c r="H2" s="3814" t="s">
        <v>8716</v>
      </c>
      <c r="I2" s="3814" t="s">
        <v>9311</v>
      </c>
      <c r="J2" s="3815" t="s">
        <v>7540</v>
      </c>
      <c r="K2" s="3814" t="s">
        <v>8716</v>
      </c>
      <c r="L2" s="3814" t="s">
        <v>9311</v>
      </c>
    </row>
    <row r="3" spans="1:12">
      <c r="A3" s="3815"/>
      <c r="B3" s="3814"/>
      <c r="C3" s="3814"/>
      <c r="D3" s="3815"/>
      <c r="E3" s="3814"/>
      <c r="F3" s="3814"/>
      <c r="G3" s="3815"/>
      <c r="H3" s="3814"/>
      <c r="I3" s="3814"/>
      <c r="J3" s="3815"/>
      <c r="K3" s="3814"/>
      <c r="L3" s="3814"/>
    </row>
    <row r="4" spans="1:12">
      <c r="A4" t="s">
        <v>9313</v>
      </c>
      <c r="B4" t="s">
        <v>9433</v>
      </c>
      <c r="C4">
        <v>-1.7000000000000001E-2</v>
      </c>
      <c r="D4" t="s">
        <v>9341</v>
      </c>
      <c r="E4" t="s">
        <v>9433</v>
      </c>
      <c r="F4">
        <v>0</v>
      </c>
      <c r="G4" t="s">
        <v>6551</v>
      </c>
      <c r="H4" t="s">
        <v>9445</v>
      </c>
      <c r="I4">
        <v>36.453000000000003</v>
      </c>
      <c r="J4" t="s">
        <v>6593</v>
      </c>
      <c r="K4" t="s">
        <v>9445</v>
      </c>
      <c r="L4">
        <v>0</v>
      </c>
    </row>
    <row r="5" spans="1:12" ht="13.95" customHeight="1">
      <c r="A5" t="s">
        <v>9313</v>
      </c>
      <c r="B5" t="s">
        <v>9434</v>
      </c>
      <c r="C5">
        <v>33.735999999999997</v>
      </c>
      <c r="D5" t="s">
        <v>9341</v>
      </c>
      <c r="E5" t="s">
        <v>9434</v>
      </c>
      <c r="F5">
        <v>33.398000000000003</v>
      </c>
      <c r="G5" t="s">
        <v>6551</v>
      </c>
      <c r="H5" t="s">
        <v>9446</v>
      </c>
      <c r="I5">
        <v>13.907999999999999</v>
      </c>
      <c r="J5" t="s">
        <v>6593</v>
      </c>
      <c r="K5" t="s">
        <v>9446</v>
      </c>
      <c r="L5">
        <v>0</v>
      </c>
    </row>
    <row r="6" spans="1:12" ht="13.95" customHeight="1">
      <c r="A6" t="s">
        <v>9313</v>
      </c>
      <c r="B6" t="s">
        <v>9435</v>
      </c>
      <c r="C6">
        <v>0</v>
      </c>
      <c r="D6" t="s">
        <v>9341</v>
      </c>
      <c r="E6" t="s">
        <v>9435</v>
      </c>
      <c r="F6">
        <v>0</v>
      </c>
      <c r="G6" t="s">
        <v>6551</v>
      </c>
      <c r="H6" t="s">
        <v>9447</v>
      </c>
      <c r="I6">
        <v>0</v>
      </c>
      <c r="J6" t="s">
        <v>6593</v>
      </c>
      <c r="K6" t="s">
        <v>9447</v>
      </c>
      <c r="L6">
        <v>0.61199999999999999</v>
      </c>
    </row>
    <row r="7" spans="1:12" ht="13.95" customHeight="1">
      <c r="A7" t="s">
        <v>9313</v>
      </c>
      <c r="B7" t="s">
        <v>9436</v>
      </c>
      <c r="C7">
        <v>33.198</v>
      </c>
      <c r="D7" t="s">
        <v>9341</v>
      </c>
      <c r="E7" t="s">
        <v>9436</v>
      </c>
      <c r="F7">
        <v>33.491999999999997</v>
      </c>
      <c r="G7" t="s">
        <v>6551</v>
      </c>
      <c r="H7" t="s">
        <v>9448</v>
      </c>
      <c r="I7">
        <v>0</v>
      </c>
      <c r="J7" t="s">
        <v>6593</v>
      </c>
      <c r="K7" t="s">
        <v>9448</v>
      </c>
      <c r="L7">
        <v>0</v>
      </c>
    </row>
    <row r="8" spans="1:12" ht="13.95" customHeight="1">
      <c r="A8" t="s">
        <v>9318</v>
      </c>
      <c r="B8" t="s">
        <v>9433</v>
      </c>
      <c r="C8">
        <v>34.265999999999998</v>
      </c>
      <c r="D8" t="s">
        <v>9342</v>
      </c>
      <c r="E8" t="s">
        <v>9433</v>
      </c>
      <c r="F8">
        <v>33.734999999999999</v>
      </c>
      <c r="G8" t="s">
        <v>6551</v>
      </c>
      <c r="H8" t="s">
        <v>9449</v>
      </c>
      <c r="I8">
        <v>0</v>
      </c>
      <c r="J8" t="s">
        <v>6593</v>
      </c>
      <c r="K8" t="s">
        <v>9449</v>
      </c>
      <c r="L8">
        <v>1.1020000000000001</v>
      </c>
    </row>
    <row r="9" spans="1:12" ht="13.95" customHeight="1">
      <c r="A9" t="s">
        <v>9318</v>
      </c>
      <c r="B9" t="s">
        <v>9434</v>
      </c>
      <c r="C9">
        <v>0</v>
      </c>
      <c r="D9" t="s">
        <v>9342</v>
      </c>
      <c r="E9" t="s">
        <v>9434</v>
      </c>
      <c r="F9">
        <v>0</v>
      </c>
      <c r="G9" t="s">
        <v>6551</v>
      </c>
      <c r="H9" t="s">
        <v>9450</v>
      </c>
      <c r="I9">
        <v>0</v>
      </c>
      <c r="J9" t="s">
        <v>6593</v>
      </c>
      <c r="K9" t="s">
        <v>9450</v>
      </c>
      <c r="L9">
        <v>0</v>
      </c>
    </row>
    <row r="10" spans="1:12" ht="13.95" customHeight="1">
      <c r="A10" t="s">
        <v>9318</v>
      </c>
      <c r="B10" t="s">
        <v>9435</v>
      </c>
      <c r="C10">
        <v>34.512</v>
      </c>
      <c r="D10" t="s">
        <v>9342</v>
      </c>
      <c r="E10" t="s">
        <v>9435</v>
      </c>
      <c r="F10">
        <v>39.161999999999999</v>
      </c>
      <c r="G10" t="s">
        <v>6551</v>
      </c>
      <c r="H10" t="s">
        <v>9451</v>
      </c>
      <c r="I10">
        <v>0</v>
      </c>
      <c r="J10" t="s">
        <v>6593</v>
      </c>
      <c r="K10" t="s">
        <v>9451</v>
      </c>
      <c r="L10">
        <v>1.3109999999999999</v>
      </c>
    </row>
    <row r="11" spans="1:12" ht="13.95" customHeight="1">
      <c r="A11" t="s">
        <v>9318</v>
      </c>
      <c r="B11" t="s">
        <v>9436</v>
      </c>
      <c r="C11">
        <v>0</v>
      </c>
      <c r="D11" t="s">
        <v>9342</v>
      </c>
      <c r="E11" t="s">
        <v>9436</v>
      </c>
      <c r="F11">
        <v>0</v>
      </c>
      <c r="G11" t="s">
        <v>6551</v>
      </c>
      <c r="H11" t="s">
        <v>9452</v>
      </c>
      <c r="I11">
        <v>0</v>
      </c>
      <c r="J11" t="s">
        <v>6593</v>
      </c>
      <c r="K11" t="s">
        <v>9452</v>
      </c>
      <c r="L11">
        <v>0.46800000000000003</v>
      </c>
    </row>
    <row r="12" spans="1:12" ht="13.95" customHeight="1">
      <c r="A12" t="s">
        <v>9319</v>
      </c>
      <c r="B12" t="s">
        <v>9433</v>
      </c>
      <c r="C12">
        <v>0</v>
      </c>
      <c r="D12" t="s">
        <v>6516</v>
      </c>
      <c r="E12" t="s">
        <v>9445</v>
      </c>
      <c r="F12">
        <v>0</v>
      </c>
      <c r="G12" t="s">
        <v>6551</v>
      </c>
      <c r="H12" t="s">
        <v>9453</v>
      </c>
      <c r="I12">
        <v>0</v>
      </c>
      <c r="J12" t="s">
        <v>6593</v>
      </c>
      <c r="K12" t="s">
        <v>9453</v>
      </c>
      <c r="L12">
        <v>1.6120000000000001</v>
      </c>
    </row>
    <row r="13" spans="1:12" ht="13.95" customHeight="1">
      <c r="A13" t="s">
        <v>9319</v>
      </c>
      <c r="B13" t="s">
        <v>9434</v>
      </c>
      <c r="C13">
        <v>0</v>
      </c>
      <c r="D13" t="s">
        <v>6516</v>
      </c>
      <c r="E13" t="s">
        <v>9446</v>
      </c>
      <c r="F13">
        <v>0</v>
      </c>
      <c r="G13" t="s">
        <v>6551</v>
      </c>
      <c r="H13" t="s">
        <v>9454</v>
      </c>
      <c r="I13">
        <v>0</v>
      </c>
      <c r="J13" t="s">
        <v>6593</v>
      </c>
      <c r="K13" t="s">
        <v>9454</v>
      </c>
      <c r="L13">
        <v>0.56100000000000005</v>
      </c>
    </row>
    <row r="14" spans="1:12" ht="13.95" customHeight="1">
      <c r="A14" t="s">
        <v>9319</v>
      </c>
      <c r="B14" t="s">
        <v>9435</v>
      </c>
      <c r="C14">
        <v>0</v>
      </c>
      <c r="D14" t="s">
        <v>6516</v>
      </c>
      <c r="E14" t="s">
        <v>9447</v>
      </c>
      <c r="F14">
        <v>12.571</v>
      </c>
      <c r="G14" t="s">
        <v>6551</v>
      </c>
      <c r="H14" t="s">
        <v>9455</v>
      </c>
      <c r="I14">
        <v>34.771000000000001</v>
      </c>
      <c r="J14" t="s">
        <v>6593</v>
      </c>
      <c r="K14" t="s">
        <v>9455</v>
      </c>
      <c r="L14">
        <v>1.3759999999999999</v>
      </c>
    </row>
    <row r="15" spans="1:12" ht="13.95" customHeight="1">
      <c r="A15" t="s">
        <v>9319</v>
      </c>
      <c r="B15" t="s">
        <v>9436</v>
      </c>
      <c r="C15">
        <v>0</v>
      </c>
      <c r="D15" t="s">
        <v>6516</v>
      </c>
      <c r="E15" t="s">
        <v>9448</v>
      </c>
      <c r="F15">
        <v>13.151999999999999</v>
      </c>
      <c r="G15" t="s">
        <v>6551</v>
      </c>
      <c r="H15" t="s">
        <v>9456</v>
      </c>
      <c r="I15">
        <v>0</v>
      </c>
      <c r="J15" t="s">
        <v>6593</v>
      </c>
      <c r="K15" t="s">
        <v>9456</v>
      </c>
      <c r="L15">
        <v>0</v>
      </c>
    </row>
    <row r="16" spans="1:12" ht="13.95" customHeight="1">
      <c r="A16" t="s">
        <v>9319</v>
      </c>
      <c r="B16" t="s">
        <v>9437</v>
      </c>
      <c r="C16">
        <v>0</v>
      </c>
      <c r="D16" t="s">
        <v>6516</v>
      </c>
      <c r="E16" t="s">
        <v>9449</v>
      </c>
      <c r="F16">
        <v>13.993</v>
      </c>
      <c r="G16" t="s">
        <v>6551</v>
      </c>
      <c r="H16" t="s">
        <v>9457</v>
      </c>
      <c r="I16">
        <v>0</v>
      </c>
      <c r="J16" t="s">
        <v>6593</v>
      </c>
      <c r="K16" t="s">
        <v>9457</v>
      </c>
      <c r="L16">
        <v>1.4259999999999999</v>
      </c>
    </row>
    <row r="17" spans="1:12" ht="13.95" customHeight="1">
      <c r="A17" t="s">
        <v>9319</v>
      </c>
      <c r="B17" t="s">
        <v>9438</v>
      </c>
      <c r="C17">
        <v>0</v>
      </c>
      <c r="D17" t="s">
        <v>6516</v>
      </c>
      <c r="E17" t="s">
        <v>9450</v>
      </c>
      <c r="F17">
        <v>14.282</v>
      </c>
      <c r="G17" t="s">
        <v>6551</v>
      </c>
      <c r="H17" t="s">
        <v>9458</v>
      </c>
      <c r="I17">
        <v>0</v>
      </c>
      <c r="J17" t="s">
        <v>6593</v>
      </c>
      <c r="K17" t="s">
        <v>9458</v>
      </c>
      <c r="L17">
        <v>0.96499999999999997</v>
      </c>
    </row>
    <row r="18" spans="1:12" ht="13.95" customHeight="1">
      <c r="A18" t="s">
        <v>9319</v>
      </c>
      <c r="B18" t="s">
        <v>9439</v>
      </c>
      <c r="C18">
        <v>0</v>
      </c>
      <c r="D18" t="s">
        <v>6516</v>
      </c>
      <c r="E18" t="s">
        <v>9451</v>
      </c>
      <c r="F18">
        <v>13.672000000000001</v>
      </c>
      <c r="G18" t="s">
        <v>6551</v>
      </c>
      <c r="H18" t="s">
        <v>9459</v>
      </c>
      <c r="I18">
        <v>2.8449999999999998</v>
      </c>
      <c r="J18" t="s">
        <v>6593</v>
      </c>
      <c r="K18" t="s">
        <v>9459</v>
      </c>
      <c r="L18">
        <v>0.108</v>
      </c>
    </row>
    <row r="19" spans="1:12" ht="13.95" customHeight="1">
      <c r="A19" t="s">
        <v>9319</v>
      </c>
      <c r="B19" t="s">
        <v>9440</v>
      </c>
      <c r="C19">
        <v>0</v>
      </c>
      <c r="D19" t="s">
        <v>6516</v>
      </c>
      <c r="E19" t="s">
        <v>9452</v>
      </c>
      <c r="F19">
        <v>13.593</v>
      </c>
      <c r="G19" t="s">
        <v>6551</v>
      </c>
      <c r="H19" t="s">
        <v>9460</v>
      </c>
      <c r="I19">
        <v>0</v>
      </c>
      <c r="J19" t="s">
        <v>6593</v>
      </c>
      <c r="K19" t="s">
        <v>9460</v>
      </c>
      <c r="L19">
        <v>0.49</v>
      </c>
    </row>
    <row r="20" spans="1:12" ht="13.95" customHeight="1">
      <c r="A20" t="s">
        <v>9319</v>
      </c>
      <c r="B20" t="s">
        <v>9441</v>
      </c>
      <c r="C20">
        <v>0</v>
      </c>
      <c r="D20" t="s">
        <v>6516</v>
      </c>
      <c r="E20" t="s">
        <v>9453</v>
      </c>
      <c r="F20">
        <v>12.946999999999999</v>
      </c>
      <c r="G20" t="s">
        <v>6551</v>
      </c>
      <c r="H20" t="s">
        <v>9461</v>
      </c>
      <c r="I20">
        <v>3.4129999999999998</v>
      </c>
      <c r="J20" t="s">
        <v>6593</v>
      </c>
      <c r="K20" t="s">
        <v>9461</v>
      </c>
      <c r="L20">
        <v>0.67</v>
      </c>
    </row>
    <row r="21" spans="1:12" ht="13.95" customHeight="1">
      <c r="A21" t="s">
        <v>9319</v>
      </c>
      <c r="B21" t="s">
        <v>9442</v>
      </c>
      <c r="C21">
        <v>0</v>
      </c>
      <c r="D21" t="s">
        <v>6516</v>
      </c>
      <c r="E21" t="s">
        <v>9454</v>
      </c>
      <c r="F21">
        <v>11.391999999999999</v>
      </c>
      <c r="G21" t="s">
        <v>6576</v>
      </c>
      <c r="H21" t="s">
        <v>9445</v>
      </c>
      <c r="I21">
        <v>0</v>
      </c>
      <c r="J21" t="s">
        <v>6593</v>
      </c>
      <c r="K21" t="s">
        <v>9462</v>
      </c>
      <c r="L21">
        <v>0.38100000000000001</v>
      </c>
    </row>
    <row r="22" spans="1:12" ht="13.95" customHeight="1">
      <c r="A22" t="s">
        <v>9319</v>
      </c>
      <c r="B22" t="s">
        <v>9443</v>
      </c>
      <c r="C22">
        <v>0</v>
      </c>
      <c r="D22" t="s">
        <v>6516</v>
      </c>
      <c r="E22" t="s">
        <v>9455</v>
      </c>
      <c r="F22">
        <v>15.329000000000001</v>
      </c>
      <c r="G22" t="s">
        <v>6576</v>
      </c>
      <c r="H22" t="s">
        <v>9446</v>
      </c>
      <c r="I22">
        <v>0.34499999999999997</v>
      </c>
      <c r="J22" t="s">
        <v>6593</v>
      </c>
      <c r="K22" t="s">
        <v>9481</v>
      </c>
      <c r="L22">
        <v>0.86299999999999999</v>
      </c>
    </row>
    <row r="23" spans="1:12" ht="13.95" customHeight="1">
      <c r="A23" t="s">
        <v>9319</v>
      </c>
      <c r="B23" t="s">
        <v>9444</v>
      </c>
      <c r="C23">
        <v>0</v>
      </c>
      <c r="D23" t="s">
        <v>6516</v>
      </c>
      <c r="E23" t="s">
        <v>9456</v>
      </c>
      <c r="F23">
        <v>10.997999999999999</v>
      </c>
      <c r="G23" t="s">
        <v>6576</v>
      </c>
      <c r="H23" t="s">
        <v>9447</v>
      </c>
      <c r="I23">
        <v>0</v>
      </c>
      <c r="J23" t="s">
        <v>6593</v>
      </c>
      <c r="K23" t="s">
        <v>9483</v>
      </c>
      <c r="L23">
        <v>0.40300000000000002</v>
      </c>
    </row>
    <row r="24" spans="1:12" ht="13.95" customHeight="1">
      <c r="A24" t="s">
        <v>6511</v>
      </c>
      <c r="B24" t="s">
        <v>9445</v>
      </c>
      <c r="C24">
        <v>0.65700000000000003</v>
      </c>
      <c r="D24" t="s">
        <v>6516</v>
      </c>
      <c r="E24" t="s">
        <v>9457</v>
      </c>
      <c r="F24">
        <v>0</v>
      </c>
      <c r="G24" t="s">
        <v>6576</v>
      </c>
      <c r="H24" t="s">
        <v>9448</v>
      </c>
      <c r="I24">
        <v>1.5489999999999999</v>
      </c>
      <c r="J24" t="s">
        <v>6593</v>
      </c>
      <c r="K24" t="s">
        <v>9486</v>
      </c>
      <c r="L24">
        <v>0.85699999999999998</v>
      </c>
    </row>
    <row r="25" spans="1:12" ht="13.95" customHeight="1">
      <c r="A25" t="s">
        <v>6511</v>
      </c>
      <c r="B25" t="s">
        <v>9446</v>
      </c>
      <c r="C25">
        <v>8.0340000000000007</v>
      </c>
      <c r="D25" t="s">
        <v>6516</v>
      </c>
      <c r="E25" t="s">
        <v>9458</v>
      </c>
      <c r="F25">
        <v>0</v>
      </c>
      <c r="G25" t="s">
        <v>6576</v>
      </c>
      <c r="H25" t="s">
        <v>9449</v>
      </c>
      <c r="I25">
        <v>0</v>
      </c>
      <c r="J25" t="s">
        <v>6593</v>
      </c>
      <c r="K25" t="s">
        <v>9488</v>
      </c>
      <c r="L25">
        <v>0.374</v>
      </c>
    </row>
    <row r="26" spans="1:12" ht="13.95" customHeight="1">
      <c r="A26" t="s">
        <v>6511</v>
      </c>
      <c r="B26" t="s">
        <v>9447</v>
      </c>
      <c r="C26">
        <v>7.3860000000000001</v>
      </c>
      <c r="D26" t="s">
        <v>6516</v>
      </c>
      <c r="E26" t="s">
        <v>9459</v>
      </c>
      <c r="F26">
        <v>0</v>
      </c>
      <c r="G26" t="s">
        <v>6576</v>
      </c>
      <c r="H26" t="s">
        <v>9450</v>
      </c>
      <c r="I26">
        <v>0.59799999999999998</v>
      </c>
      <c r="J26" t="s">
        <v>6593</v>
      </c>
      <c r="K26" t="s">
        <v>9490</v>
      </c>
      <c r="L26">
        <v>0.42399999999999999</v>
      </c>
    </row>
    <row r="27" spans="1:12" ht="13.95" customHeight="1">
      <c r="A27" t="s">
        <v>6511</v>
      </c>
      <c r="B27" t="s">
        <v>9448</v>
      </c>
      <c r="C27">
        <v>7.8520000000000003</v>
      </c>
      <c r="D27" t="s">
        <v>6516</v>
      </c>
      <c r="E27" t="s">
        <v>9460</v>
      </c>
      <c r="F27">
        <v>2.7519999999999998</v>
      </c>
      <c r="G27" t="s">
        <v>6576</v>
      </c>
      <c r="H27" t="s">
        <v>9451</v>
      </c>
      <c r="I27">
        <v>0</v>
      </c>
      <c r="J27" t="s">
        <v>6593</v>
      </c>
      <c r="K27" t="s">
        <v>9492</v>
      </c>
      <c r="L27">
        <v>0.58299999999999996</v>
      </c>
    </row>
    <row r="28" spans="1:12" ht="13.95" customHeight="1">
      <c r="A28" t="s">
        <v>6511</v>
      </c>
      <c r="B28" t="s">
        <v>9449</v>
      </c>
      <c r="C28">
        <v>9.2390000000000008</v>
      </c>
      <c r="D28" t="s">
        <v>6516</v>
      </c>
      <c r="E28" t="s">
        <v>9461</v>
      </c>
      <c r="F28">
        <v>0</v>
      </c>
      <c r="G28" t="s">
        <v>6576</v>
      </c>
      <c r="H28" t="s">
        <v>9452</v>
      </c>
      <c r="I28">
        <v>1.03</v>
      </c>
      <c r="J28" t="s">
        <v>6593</v>
      </c>
      <c r="K28" t="s">
        <v>9494</v>
      </c>
      <c r="L28">
        <v>0.46800000000000003</v>
      </c>
    </row>
    <row r="29" spans="1:12" ht="13.95" customHeight="1">
      <c r="A29" t="s">
        <v>6511</v>
      </c>
      <c r="B29" t="s">
        <v>9450</v>
      </c>
      <c r="C29">
        <v>5.125</v>
      </c>
      <c r="D29" t="s">
        <v>6516</v>
      </c>
      <c r="E29" t="s">
        <v>9462</v>
      </c>
      <c r="F29">
        <v>3.2320000000000002</v>
      </c>
      <c r="G29" t="s">
        <v>6576</v>
      </c>
      <c r="H29" t="s">
        <v>9453</v>
      </c>
      <c r="I29">
        <v>0</v>
      </c>
      <c r="J29" t="s">
        <v>6593</v>
      </c>
      <c r="K29" t="s">
        <v>9496</v>
      </c>
      <c r="L29">
        <v>0.71299999999999997</v>
      </c>
    </row>
    <row r="30" spans="1:12" ht="13.95" customHeight="1">
      <c r="A30" t="s">
        <v>6511</v>
      </c>
      <c r="B30" t="s">
        <v>9451</v>
      </c>
      <c r="C30">
        <v>2.629</v>
      </c>
      <c r="D30" t="s">
        <v>6517</v>
      </c>
      <c r="E30" t="s">
        <v>9433</v>
      </c>
      <c r="F30">
        <v>12.093</v>
      </c>
      <c r="G30" t="s">
        <v>6576</v>
      </c>
      <c r="H30" t="s">
        <v>9454</v>
      </c>
      <c r="I30">
        <v>1.9790000000000001</v>
      </c>
      <c r="J30" t="s">
        <v>6593</v>
      </c>
      <c r="K30" t="s">
        <v>9497</v>
      </c>
      <c r="L30">
        <v>0.78400000000000003</v>
      </c>
    </row>
    <row r="31" spans="1:12" ht="13.95" customHeight="1">
      <c r="A31" t="s">
        <v>6511</v>
      </c>
      <c r="B31" t="s">
        <v>9452</v>
      </c>
      <c r="C31">
        <v>0</v>
      </c>
      <c r="D31" t="s">
        <v>6517</v>
      </c>
      <c r="E31" t="s">
        <v>9434</v>
      </c>
      <c r="F31">
        <v>12.250999999999999</v>
      </c>
      <c r="G31" t="s">
        <v>6576</v>
      </c>
      <c r="H31" t="s">
        <v>9455</v>
      </c>
      <c r="I31">
        <v>0</v>
      </c>
      <c r="J31" t="s">
        <v>6593</v>
      </c>
      <c r="K31" t="s">
        <v>9498</v>
      </c>
      <c r="L31">
        <v>1.159</v>
      </c>
    </row>
    <row r="32" spans="1:12" ht="13.95" customHeight="1">
      <c r="A32" t="s">
        <v>6511</v>
      </c>
      <c r="B32" t="s">
        <v>9453</v>
      </c>
      <c r="C32">
        <v>0</v>
      </c>
      <c r="D32" t="s">
        <v>6517</v>
      </c>
      <c r="E32" t="s">
        <v>9435</v>
      </c>
      <c r="F32">
        <v>12.085000000000001</v>
      </c>
      <c r="G32" t="s">
        <v>6576</v>
      </c>
      <c r="H32" t="s">
        <v>9456</v>
      </c>
      <c r="I32">
        <v>1.851</v>
      </c>
      <c r="J32" t="s">
        <v>6593</v>
      </c>
      <c r="K32" t="s">
        <v>9499</v>
      </c>
      <c r="L32">
        <v>0</v>
      </c>
    </row>
    <row r="33" spans="1:12" ht="13.95" customHeight="1">
      <c r="A33" t="s">
        <v>9547</v>
      </c>
      <c r="B33" t="s">
        <v>9549</v>
      </c>
      <c r="C33">
        <v>0.36199999999999999</v>
      </c>
      <c r="D33" t="s">
        <v>6517</v>
      </c>
      <c r="E33" t="s">
        <v>9436</v>
      </c>
      <c r="F33">
        <v>0</v>
      </c>
      <c r="G33" t="s">
        <v>6576</v>
      </c>
      <c r="H33" t="s">
        <v>9457</v>
      </c>
      <c r="I33">
        <v>0</v>
      </c>
      <c r="J33" t="s">
        <v>6593</v>
      </c>
      <c r="K33" t="s">
        <v>9500</v>
      </c>
      <c r="L33">
        <v>6.4000000000000001E-2</v>
      </c>
    </row>
    <row r="34" spans="1:12" ht="13.95" customHeight="1">
      <c r="A34" t="s">
        <v>6506</v>
      </c>
      <c r="B34" t="s">
        <v>9446</v>
      </c>
      <c r="C34">
        <v>7.4649999999999999</v>
      </c>
      <c r="D34" t="s">
        <v>6518</v>
      </c>
      <c r="E34" t="s">
        <v>9445</v>
      </c>
      <c r="F34">
        <v>0</v>
      </c>
      <c r="G34" t="s">
        <v>6576</v>
      </c>
      <c r="H34" t="s">
        <v>9458</v>
      </c>
      <c r="I34">
        <v>1.44</v>
      </c>
      <c r="J34" t="s">
        <v>6593</v>
      </c>
      <c r="K34" t="s">
        <v>9501</v>
      </c>
      <c r="L34">
        <v>0.94299999999999995</v>
      </c>
    </row>
    <row r="35" spans="1:12" ht="13.95" customHeight="1">
      <c r="A35" t="s">
        <v>6506</v>
      </c>
      <c r="B35" t="s">
        <v>9447</v>
      </c>
      <c r="C35">
        <v>6.9640000000000004</v>
      </c>
      <c r="D35" t="s">
        <v>6518</v>
      </c>
      <c r="E35" t="s">
        <v>9463</v>
      </c>
      <c r="F35">
        <v>5.7000000000000002E-2</v>
      </c>
      <c r="G35" t="s">
        <v>6576</v>
      </c>
      <c r="H35" t="s">
        <v>9459</v>
      </c>
      <c r="I35">
        <v>0</v>
      </c>
      <c r="J35" t="s">
        <v>6593</v>
      </c>
      <c r="K35" t="s">
        <v>9502</v>
      </c>
      <c r="L35">
        <v>0.46800000000000003</v>
      </c>
    </row>
    <row r="36" spans="1:12" ht="13.95" customHeight="1">
      <c r="A36" t="s">
        <v>6506</v>
      </c>
      <c r="B36" t="s">
        <v>9448</v>
      </c>
      <c r="C36">
        <v>7.5259999999999998</v>
      </c>
      <c r="D36" t="s">
        <v>6518</v>
      </c>
      <c r="E36" t="s">
        <v>9446</v>
      </c>
      <c r="F36">
        <v>0</v>
      </c>
      <c r="G36" t="s">
        <v>6576</v>
      </c>
      <c r="H36" t="s">
        <v>9460</v>
      </c>
      <c r="I36">
        <v>1.3540000000000001</v>
      </c>
      <c r="J36" t="s">
        <v>6593</v>
      </c>
      <c r="K36" t="s">
        <v>9503</v>
      </c>
      <c r="L36">
        <v>1.9370000000000001</v>
      </c>
    </row>
    <row r="37" spans="1:12" ht="13.95" customHeight="1">
      <c r="A37" t="s">
        <v>6506</v>
      </c>
      <c r="B37" t="s">
        <v>9449</v>
      </c>
      <c r="C37">
        <v>9.2219999999999995</v>
      </c>
      <c r="D37" t="s">
        <v>6518</v>
      </c>
      <c r="E37" t="s">
        <v>9464</v>
      </c>
      <c r="F37">
        <v>0</v>
      </c>
      <c r="G37" t="s">
        <v>6576</v>
      </c>
      <c r="H37" t="s">
        <v>9461</v>
      </c>
      <c r="I37">
        <v>0</v>
      </c>
      <c r="J37" t="s">
        <v>6593</v>
      </c>
      <c r="K37" t="s">
        <v>9504</v>
      </c>
      <c r="L37">
        <v>0</v>
      </c>
    </row>
    <row r="38" spans="1:12" ht="13.95" customHeight="1">
      <c r="A38" t="s">
        <v>6506</v>
      </c>
      <c r="B38" t="s">
        <v>9450</v>
      </c>
      <c r="C38">
        <v>2.7170000000000001</v>
      </c>
      <c r="D38" t="s">
        <v>6518</v>
      </c>
      <c r="E38" t="s">
        <v>9447</v>
      </c>
      <c r="F38">
        <v>0</v>
      </c>
      <c r="G38" t="s">
        <v>6576</v>
      </c>
      <c r="H38" t="s">
        <v>9462</v>
      </c>
      <c r="I38">
        <v>0</v>
      </c>
      <c r="J38" t="s">
        <v>6593</v>
      </c>
      <c r="K38" t="s">
        <v>9505</v>
      </c>
      <c r="L38">
        <v>1.5329999999999999</v>
      </c>
    </row>
    <row r="39" spans="1:12" ht="13.95" customHeight="1">
      <c r="A39" t="s">
        <v>6506</v>
      </c>
      <c r="B39" t="s">
        <v>9451</v>
      </c>
      <c r="C39">
        <v>6.319</v>
      </c>
      <c r="D39" t="s">
        <v>6518</v>
      </c>
      <c r="E39" t="s">
        <v>9465</v>
      </c>
      <c r="F39">
        <v>0</v>
      </c>
      <c r="G39" t="s">
        <v>6576</v>
      </c>
      <c r="H39" t="s">
        <v>9481</v>
      </c>
      <c r="I39">
        <v>0</v>
      </c>
      <c r="J39" t="s">
        <v>6593</v>
      </c>
      <c r="K39" t="s">
        <v>9506</v>
      </c>
      <c r="L39">
        <v>0</v>
      </c>
    </row>
    <row r="40" spans="1:12" ht="13.95" customHeight="1">
      <c r="A40" t="s">
        <v>6506</v>
      </c>
      <c r="B40" t="s">
        <v>9452</v>
      </c>
      <c r="C40">
        <v>0</v>
      </c>
      <c r="D40" t="s">
        <v>6518</v>
      </c>
      <c r="E40" t="s">
        <v>9448</v>
      </c>
      <c r="F40">
        <v>0</v>
      </c>
      <c r="G40" t="s">
        <v>6576</v>
      </c>
      <c r="H40" t="s">
        <v>9483</v>
      </c>
      <c r="I40">
        <v>0</v>
      </c>
      <c r="J40" t="s">
        <v>6593</v>
      </c>
      <c r="K40" t="s">
        <v>9507</v>
      </c>
      <c r="L40">
        <v>0</v>
      </c>
    </row>
    <row r="41" spans="1:12" ht="13.95" customHeight="1">
      <c r="A41" t="s">
        <v>6506</v>
      </c>
      <c r="B41" t="s">
        <v>9453</v>
      </c>
      <c r="C41">
        <v>0</v>
      </c>
      <c r="D41" t="s">
        <v>6518</v>
      </c>
      <c r="E41" t="s">
        <v>9466</v>
      </c>
      <c r="F41">
        <v>0.316</v>
      </c>
      <c r="G41" t="s">
        <v>6576</v>
      </c>
      <c r="H41" t="s">
        <v>9486</v>
      </c>
      <c r="I41">
        <v>0</v>
      </c>
      <c r="J41" t="s">
        <v>6593</v>
      </c>
      <c r="K41" t="s">
        <v>9508</v>
      </c>
      <c r="L41">
        <v>0.58299999999999996</v>
      </c>
    </row>
    <row r="42" spans="1:12" ht="13.95" customHeight="1">
      <c r="A42" t="s">
        <v>6512</v>
      </c>
      <c r="B42" t="s">
        <v>9445</v>
      </c>
      <c r="C42">
        <v>0</v>
      </c>
      <c r="D42" t="s">
        <v>6518</v>
      </c>
      <c r="E42" t="s">
        <v>9449</v>
      </c>
      <c r="F42">
        <v>0</v>
      </c>
      <c r="G42" t="s">
        <v>6576</v>
      </c>
      <c r="H42" t="s">
        <v>9488</v>
      </c>
      <c r="I42">
        <v>0</v>
      </c>
      <c r="J42" t="s">
        <v>6593</v>
      </c>
      <c r="K42" t="s">
        <v>9509</v>
      </c>
      <c r="L42">
        <v>0.20100000000000001</v>
      </c>
    </row>
    <row r="43" spans="1:12" ht="13.95" customHeight="1">
      <c r="A43" t="s">
        <v>6512</v>
      </c>
      <c r="B43" t="s">
        <v>9446</v>
      </c>
      <c r="C43">
        <v>7.2430000000000003</v>
      </c>
      <c r="D43" t="s">
        <v>6518</v>
      </c>
      <c r="E43" t="s">
        <v>9467</v>
      </c>
      <c r="F43">
        <v>0</v>
      </c>
      <c r="G43" t="s">
        <v>6576</v>
      </c>
      <c r="H43" t="s">
        <v>9490</v>
      </c>
      <c r="I43">
        <v>0</v>
      </c>
      <c r="J43" t="s">
        <v>6593</v>
      </c>
      <c r="K43" t="s">
        <v>9510</v>
      </c>
      <c r="L43">
        <v>0.69099999999999995</v>
      </c>
    </row>
    <row r="44" spans="1:12" ht="13.95" customHeight="1">
      <c r="A44" t="s">
        <v>6512</v>
      </c>
      <c r="B44" t="s">
        <v>9447</v>
      </c>
      <c r="C44">
        <v>6.0949999999999998</v>
      </c>
      <c r="D44" t="s">
        <v>6518</v>
      </c>
      <c r="E44" t="s">
        <v>9450</v>
      </c>
      <c r="F44">
        <v>3.0659999999999998</v>
      </c>
      <c r="G44" t="s">
        <v>6576</v>
      </c>
      <c r="H44" t="s">
        <v>9492</v>
      </c>
      <c r="I44">
        <v>0</v>
      </c>
      <c r="J44" t="s">
        <v>6593</v>
      </c>
      <c r="K44" t="s">
        <v>9511</v>
      </c>
      <c r="L44">
        <v>0.187</v>
      </c>
    </row>
    <row r="45" spans="1:12" ht="13.95" customHeight="1">
      <c r="A45" t="s">
        <v>6512</v>
      </c>
      <c r="B45" t="s">
        <v>9448</v>
      </c>
      <c r="C45">
        <v>0</v>
      </c>
      <c r="D45" t="s">
        <v>6518</v>
      </c>
      <c r="E45" t="s">
        <v>9468</v>
      </c>
      <c r="F45">
        <v>0</v>
      </c>
      <c r="G45" t="s">
        <v>6576</v>
      </c>
      <c r="H45" t="s">
        <v>9494</v>
      </c>
      <c r="I45">
        <v>0.81299999999999994</v>
      </c>
      <c r="J45" t="s">
        <v>6593</v>
      </c>
      <c r="K45" t="s">
        <v>9512</v>
      </c>
      <c r="L45">
        <v>0.74099999999999999</v>
      </c>
    </row>
    <row r="46" spans="1:12" ht="13.95" customHeight="1">
      <c r="A46" t="s">
        <v>6512</v>
      </c>
      <c r="B46" t="s">
        <v>9449</v>
      </c>
      <c r="C46">
        <v>1.4159999999999999</v>
      </c>
      <c r="D46" t="s">
        <v>6518</v>
      </c>
      <c r="E46" t="s">
        <v>9451</v>
      </c>
      <c r="F46">
        <v>2.7010000000000001</v>
      </c>
      <c r="G46" t="s">
        <v>6576</v>
      </c>
      <c r="H46" t="s">
        <v>9496</v>
      </c>
      <c r="I46">
        <v>0</v>
      </c>
      <c r="J46" t="s">
        <v>6593</v>
      </c>
      <c r="K46" t="s">
        <v>9513</v>
      </c>
      <c r="L46">
        <v>0</v>
      </c>
    </row>
    <row r="47" spans="1:12" ht="13.95" customHeight="1">
      <c r="A47" t="s">
        <v>6512</v>
      </c>
      <c r="B47" t="s">
        <v>9450</v>
      </c>
      <c r="C47">
        <v>2.2200000000000002</v>
      </c>
      <c r="D47" t="s">
        <v>6518</v>
      </c>
      <c r="E47" t="s">
        <v>9469</v>
      </c>
      <c r="F47">
        <v>0</v>
      </c>
      <c r="G47" t="s">
        <v>6576</v>
      </c>
      <c r="H47" t="s">
        <v>9497</v>
      </c>
      <c r="I47">
        <v>0.42499999999999999</v>
      </c>
      <c r="J47" t="s">
        <v>6593</v>
      </c>
      <c r="K47" t="s">
        <v>9514</v>
      </c>
      <c r="L47">
        <v>1.6989999999999998</v>
      </c>
    </row>
    <row r="48" spans="1:12" ht="13.95" customHeight="1">
      <c r="A48" t="s">
        <v>6512</v>
      </c>
      <c r="B48" t="s">
        <v>9451</v>
      </c>
      <c r="C48">
        <v>6.39</v>
      </c>
      <c r="D48" t="s">
        <v>6518</v>
      </c>
      <c r="E48" t="s">
        <v>9452</v>
      </c>
      <c r="F48">
        <v>3.3330000000000002</v>
      </c>
      <c r="G48" t="s">
        <v>6576</v>
      </c>
      <c r="H48" t="s">
        <v>9498</v>
      </c>
      <c r="I48">
        <v>0</v>
      </c>
      <c r="J48" t="s">
        <v>6593</v>
      </c>
      <c r="K48" t="s">
        <v>9515</v>
      </c>
      <c r="L48">
        <v>0</v>
      </c>
    </row>
    <row r="49" spans="1:12" ht="13.95" customHeight="1">
      <c r="A49" t="s">
        <v>6512</v>
      </c>
      <c r="B49" t="s">
        <v>9452</v>
      </c>
      <c r="C49">
        <v>3.9459999999999997</v>
      </c>
      <c r="D49" t="s">
        <v>6518</v>
      </c>
      <c r="E49" t="s">
        <v>9470</v>
      </c>
      <c r="F49">
        <v>0</v>
      </c>
      <c r="G49" t="s">
        <v>6576</v>
      </c>
      <c r="H49" t="s">
        <v>9499</v>
      </c>
      <c r="I49">
        <v>0</v>
      </c>
      <c r="J49" t="s">
        <v>6593</v>
      </c>
      <c r="K49" t="s">
        <v>9516</v>
      </c>
      <c r="L49">
        <v>0</v>
      </c>
    </row>
    <row r="50" spans="1:12" ht="13.95" customHeight="1">
      <c r="A50" t="s">
        <v>6512</v>
      </c>
      <c r="B50" t="s">
        <v>9453</v>
      </c>
      <c r="C50">
        <v>0</v>
      </c>
      <c r="D50" t="s">
        <v>6518</v>
      </c>
      <c r="E50" t="s">
        <v>9453</v>
      </c>
      <c r="F50">
        <v>0</v>
      </c>
      <c r="G50" t="s">
        <v>6576</v>
      </c>
      <c r="H50" t="s">
        <v>9500</v>
      </c>
      <c r="I50">
        <v>0</v>
      </c>
      <c r="J50" t="s">
        <v>6593</v>
      </c>
      <c r="K50" t="s">
        <v>9517</v>
      </c>
      <c r="L50">
        <v>0</v>
      </c>
    </row>
    <row r="51" spans="1:12" ht="13.95" customHeight="1">
      <c r="A51" t="s">
        <v>6507</v>
      </c>
      <c r="B51" t="s">
        <v>9445</v>
      </c>
      <c r="C51">
        <v>0</v>
      </c>
      <c r="D51" t="s">
        <v>6518</v>
      </c>
      <c r="E51" t="s">
        <v>9471</v>
      </c>
      <c r="F51">
        <v>0</v>
      </c>
      <c r="G51" t="s">
        <v>6576</v>
      </c>
      <c r="H51" t="s">
        <v>9501</v>
      </c>
      <c r="I51">
        <v>0.36</v>
      </c>
      <c r="J51" t="s">
        <v>6593</v>
      </c>
      <c r="K51" t="s">
        <v>9518</v>
      </c>
      <c r="L51">
        <v>0.77700000000000002</v>
      </c>
    </row>
    <row r="52" spans="1:12" ht="13.95" customHeight="1">
      <c r="A52" t="s">
        <v>6507</v>
      </c>
      <c r="B52" t="s">
        <v>9446</v>
      </c>
      <c r="C52">
        <v>8.5839999999999996</v>
      </c>
      <c r="D52" t="s">
        <v>6518</v>
      </c>
      <c r="E52" t="s">
        <v>9454</v>
      </c>
      <c r="F52">
        <v>0</v>
      </c>
      <c r="G52" t="s">
        <v>6576</v>
      </c>
      <c r="H52" t="s">
        <v>9502</v>
      </c>
      <c r="I52">
        <v>0</v>
      </c>
      <c r="J52" t="s">
        <v>6593</v>
      </c>
      <c r="K52" t="s">
        <v>9519</v>
      </c>
      <c r="L52">
        <v>0</v>
      </c>
    </row>
    <row r="53" spans="1:12" ht="13.95" customHeight="1">
      <c r="A53" t="s">
        <v>6507</v>
      </c>
      <c r="B53" t="s">
        <v>9447</v>
      </c>
      <c r="C53">
        <v>6.2439999999999998</v>
      </c>
      <c r="D53" t="s">
        <v>6518</v>
      </c>
      <c r="E53" t="s">
        <v>9472</v>
      </c>
      <c r="F53">
        <v>0</v>
      </c>
      <c r="G53" t="s">
        <v>6576</v>
      </c>
      <c r="H53" t="s">
        <v>9503</v>
      </c>
      <c r="I53">
        <v>0.374</v>
      </c>
      <c r="J53" t="s">
        <v>6593</v>
      </c>
      <c r="K53" t="s">
        <v>9520</v>
      </c>
      <c r="L53">
        <v>0</v>
      </c>
    </row>
    <row r="54" spans="1:12" ht="13.95" customHeight="1">
      <c r="A54" t="s">
        <v>6507</v>
      </c>
      <c r="B54" t="s">
        <v>9448</v>
      </c>
      <c r="C54">
        <v>0</v>
      </c>
      <c r="D54" t="s">
        <v>6518</v>
      </c>
      <c r="E54" t="s">
        <v>9455</v>
      </c>
      <c r="F54">
        <v>0.18</v>
      </c>
      <c r="G54" t="s">
        <v>6576</v>
      </c>
      <c r="H54" t="s">
        <v>9504</v>
      </c>
      <c r="I54">
        <v>0</v>
      </c>
      <c r="J54" t="s">
        <v>6593</v>
      </c>
      <c r="K54" t="s">
        <v>9521</v>
      </c>
      <c r="L54">
        <v>0</v>
      </c>
    </row>
    <row r="55" spans="1:12" ht="13.95" customHeight="1">
      <c r="A55" t="s">
        <v>6507</v>
      </c>
      <c r="B55" t="s">
        <v>9449</v>
      </c>
      <c r="C55">
        <v>2.097</v>
      </c>
      <c r="D55" t="s">
        <v>6518</v>
      </c>
      <c r="E55" t="s">
        <v>9473</v>
      </c>
      <c r="F55">
        <v>0</v>
      </c>
      <c r="G55" t="s">
        <v>6576</v>
      </c>
      <c r="H55" t="s">
        <v>9505</v>
      </c>
      <c r="I55">
        <v>0.13600000000000001</v>
      </c>
      <c r="J55" t="s">
        <v>6593</v>
      </c>
      <c r="K55" t="s">
        <v>9522</v>
      </c>
      <c r="L55">
        <v>0</v>
      </c>
    </row>
    <row r="56" spans="1:12" ht="13.95" customHeight="1">
      <c r="A56" t="s">
        <v>6507</v>
      </c>
      <c r="B56" t="s">
        <v>9450</v>
      </c>
      <c r="C56">
        <v>3.278</v>
      </c>
      <c r="D56" t="s">
        <v>6518</v>
      </c>
      <c r="E56" t="s">
        <v>9456</v>
      </c>
      <c r="F56">
        <v>0.27300000000000002</v>
      </c>
      <c r="G56" t="s">
        <v>6576</v>
      </c>
      <c r="H56" t="s">
        <v>9506</v>
      </c>
      <c r="I56">
        <v>0.216</v>
      </c>
      <c r="J56" t="s">
        <v>6593</v>
      </c>
      <c r="K56" t="s">
        <v>9523</v>
      </c>
      <c r="L56">
        <v>0</v>
      </c>
    </row>
    <row r="57" spans="1:12" ht="13.95" customHeight="1">
      <c r="A57" t="s">
        <v>6507</v>
      </c>
      <c r="B57" t="s">
        <v>9451</v>
      </c>
      <c r="C57">
        <v>4.5540000000000003</v>
      </c>
      <c r="D57" t="s">
        <v>6518</v>
      </c>
      <c r="E57" t="s">
        <v>9474</v>
      </c>
      <c r="F57">
        <v>0</v>
      </c>
      <c r="G57" t="s">
        <v>6576</v>
      </c>
      <c r="H57" t="s">
        <v>9507</v>
      </c>
      <c r="I57">
        <v>0</v>
      </c>
      <c r="J57" t="s">
        <v>6593</v>
      </c>
      <c r="K57" t="s">
        <v>9524</v>
      </c>
      <c r="L57">
        <v>7.0999999999999994E-2</v>
      </c>
    </row>
    <row r="58" spans="1:12" ht="13.95" customHeight="1">
      <c r="A58" t="s">
        <v>6507</v>
      </c>
      <c r="B58" t="s">
        <v>9452</v>
      </c>
      <c r="C58">
        <v>4.79</v>
      </c>
      <c r="D58" t="s">
        <v>6518</v>
      </c>
      <c r="E58" t="s">
        <v>9457</v>
      </c>
      <c r="F58">
        <v>0.32400000000000001</v>
      </c>
      <c r="G58" t="s">
        <v>6576</v>
      </c>
      <c r="H58" t="s">
        <v>9508</v>
      </c>
      <c r="I58">
        <v>0</v>
      </c>
      <c r="J58" t="s">
        <v>6592</v>
      </c>
      <c r="K58" t="s">
        <v>9445</v>
      </c>
      <c r="L58">
        <v>0</v>
      </c>
    </row>
    <row r="59" spans="1:12" ht="13.95" customHeight="1">
      <c r="A59" t="s">
        <v>6507</v>
      </c>
      <c r="B59" t="s">
        <v>9453</v>
      </c>
      <c r="C59">
        <v>0</v>
      </c>
      <c r="D59" t="s">
        <v>6518</v>
      </c>
      <c r="E59" t="s">
        <v>9475</v>
      </c>
      <c r="F59">
        <v>0</v>
      </c>
      <c r="G59" t="s">
        <v>6576</v>
      </c>
      <c r="H59" t="s">
        <v>9509</v>
      </c>
      <c r="I59">
        <v>6.4000000000000001E-2</v>
      </c>
      <c r="J59" t="s">
        <v>6592</v>
      </c>
      <c r="K59" t="s">
        <v>9446</v>
      </c>
      <c r="L59">
        <v>0</v>
      </c>
    </row>
    <row r="60" spans="1:12" ht="13.95" customHeight="1">
      <c r="A60" t="s">
        <v>6513</v>
      </c>
      <c r="B60" t="s">
        <v>9445</v>
      </c>
      <c r="C60">
        <v>2.0550000000000002</v>
      </c>
      <c r="D60" t="s">
        <v>6518</v>
      </c>
      <c r="E60" t="s">
        <v>9458</v>
      </c>
      <c r="F60">
        <v>0</v>
      </c>
      <c r="G60" t="s">
        <v>6576</v>
      </c>
      <c r="H60" t="s">
        <v>9510</v>
      </c>
      <c r="I60">
        <v>0</v>
      </c>
      <c r="J60" t="s">
        <v>6592</v>
      </c>
      <c r="K60" t="s">
        <v>9447</v>
      </c>
      <c r="L60">
        <v>1.0369999999999999</v>
      </c>
    </row>
    <row r="61" spans="1:12" ht="13.95" customHeight="1">
      <c r="A61" t="s">
        <v>6513</v>
      </c>
      <c r="B61" t="s">
        <v>9446</v>
      </c>
      <c r="C61">
        <v>0</v>
      </c>
      <c r="D61" t="s">
        <v>6518</v>
      </c>
      <c r="E61" t="s">
        <v>9476</v>
      </c>
      <c r="F61">
        <v>0</v>
      </c>
      <c r="G61" t="s">
        <v>6576</v>
      </c>
      <c r="H61" t="s">
        <v>9511</v>
      </c>
      <c r="I61">
        <v>0.20100000000000001</v>
      </c>
      <c r="J61" t="s">
        <v>6592</v>
      </c>
      <c r="K61" t="s">
        <v>9448</v>
      </c>
      <c r="L61">
        <v>0</v>
      </c>
    </row>
    <row r="62" spans="1:12" ht="13.95" customHeight="1">
      <c r="A62" t="s">
        <v>6513</v>
      </c>
      <c r="B62" t="s">
        <v>9447</v>
      </c>
      <c r="C62">
        <v>1.5569999999999999</v>
      </c>
      <c r="D62" t="s">
        <v>6518</v>
      </c>
      <c r="E62" t="s">
        <v>9459</v>
      </c>
      <c r="F62">
        <v>0</v>
      </c>
      <c r="G62" t="s">
        <v>6576</v>
      </c>
      <c r="H62" t="s">
        <v>9512</v>
      </c>
      <c r="I62">
        <v>0.95799999999999996</v>
      </c>
      <c r="J62" t="s">
        <v>6592</v>
      </c>
      <c r="K62" t="s">
        <v>9449</v>
      </c>
      <c r="L62">
        <v>0</v>
      </c>
    </row>
    <row r="63" spans="1:12" ht="13.95" customHeight="1">
      <c r="A63" t="s">
        <v>6513</v>
      </c>
      <c r="B63" t="s">
        <v>9448</v>
      </c>
      <c r="C63">
        <v>1.5049999999999999</v>
      </c>
      <c r="D63" t="s">
        <v>6518</v>
      </c>
      <c r="E63" t="s">
        <v>9477</v>
      </c>
      <c r="F63">
        <v>0</v>
      </c>
      <c r="G63" t="s">
        <v>6576</v>
      </c>
      <c r="H63" t="s">
        <v>9513</v>
      </c>
      <c r="I63">
        <v>1.1879999999999999</v>
      </c>
      <c r="J63" t="s">
        <v>6592</v>
      </c>
      <c r="K63" t="s">
        <v>9450</v>
      </c>
      <c r="L63">
        <v>0</v>
      </c>
    </row>
    <row r="64" spans="1:12" ht="13.95" customHeight="1">
      <c r="A64" t="s">
        <v>6513</v>
      </c>
      <c r="B64" t="s">
        <v>9449</v>
      </c>
      <c r="C64">
        <v>0</v>
      </c>
      <c r="D64" t="s">
        <v>6518</v>
      </c>
      <c r="E64" t="s">
        <v>9460</v>
      </c>
      <c r="F64">
        <v>0</v>
      </c>
      <c r="G64" t="s">
        <v>6576</v>
      </c>
      <c r="H64" t="s">
        <v>9514</v>
      </c>
      <c r="I64">
        <v>0</v>
      </c>
      <c r="J64" t="s">
        <v>6592</v>
      </c>
      <c r="K64" t="s">
        <v>9451</v>
      </c>
      <c r="L64">
        <v>1.246</v>
      </c>
    </row>
    <row r="65" spans="1:12" ht="13.95" customHeight="1">
      <c r="A65" t="s">
        <v>6513</v>
      </c>
      <c r="B65" t="s">
        <v>9450</v>
      </c>
      <c r="C65">
        <v>2.4510000000000001</v>
      </c>
      <c r="D65" t="s">
        <v>6518</v>
      </c>
      <c r="E65" t="s">
        <v>9478</v>
      </c>
      <c r="F65">
        <v>0</v>
      </c>
      <c r="G65" t="s">
        <v>6576</v>
      </c>
      <c r="H65" t="s">
        <v>9515</v>
      </c>
      <c r="I65">
        <v>0</v>
      </c>
      <c r="J65" t="s">
        <v>6592</v>
      </c>
      <c r="K65" t="s">
        <v>9452</v>
      </c>
      <c r="L65">
        <v>0</v>
      </c>
    </row>
    <row r="66" spans="1:12" ht="13.95" customHeight="1">
      <c r="A66" t="s">
        <v>6513</v>
      </c>
      <c r="B66" t="s">
        <v>9451</v>
      </c>
      <c r="C66">
        <v>1.395</v>
      </c>
      <c r="D66" t="s">
        <v>6518</v>
      </c>
      <c r="E66" t="s">
        <v>9461</v>
      </c>
      <c r="F66">
        <v>2.6150000000000002</v>
      </c>
      <c r="G66" t="s">
        <v>6576</v>
      </c>
      <c r="H66" t="s">
        <v>9516</v>
      </c>
      <c r="I66">
        <v>0.122</v>
      </c>
      <c r="J66" t="s">
        <v>6592</v>
      </c>
      <c r="K66" t="s">
        <v>9453</v>
      </c>
      <c r="L66">
        <v>1.3180000000000001</v>
      </c>
    </row>
    <row r="67" spans="1:12" ht="13.95" customHeight="1">
      <c r="A67" t="s">
        <v>6513</v>
      </c>
      <c r="B67" t="s">
        <v>9452</v>
      </c>
      <c r="C67">
        <v>2.8170000000000002</v>
      </c>
      <c r="D67" t="s">
        <v>6518</v>
      </c>
      <c r="E67" t="s">
        <v>9479</v>
      </c>
      <c r="F67">
        <v>0</v>
      </c>
      <c r="G67" t="s">
        <v>6576</v>
      </c>
      <c r="H67" t="s">
        <v>9517</v>
      </c>
      <c r="I67">
        <v>0</v>
      </c>
      <c r="J67" t="s">
        <v>6592</v>
      </c>
      <c r="K67" t="s">
        <v>9454</v>
      </c>
      <c r="L67">
        <v>0.91400000000000003</v>
      </c>
    </row>
    <row r="68" spans="1:12" ht="13.95" customHeight="1">
      <c r="A68" t="s">
        <v>6513</v>
      </c>
      <c r="B68" t="s">
        <v>9453</v>
      </c>
      <c r="C68">
        <v>0</v>
      </c>
      <c r="D68" t="s">
        <v>6518</v>
      </c>
      <c r="E68" t="s">
        <v>9462</v>
      </c>
      <c r="F68">
        <v>2.4129999999999998</v>
      </c>
      <c r="G68" t="s">
        <v>6576</v>
      </c>
      <c r="H68" t="s">
        <v>9518</v>
      </c>
      <c r="I68">
        <v>0</v>
      </c>
      <c r="J68" t="s">
        <v>6592</v>
      </c>
      <c r="K68" t="s">
        <v>9455</v>
      </c>
      <c r="L68">
        <v>1.109</v>
      </c>
    </row>
    <row r="69" spans="1:12" ht="13.95" customHeight="1">
      <c r="A69" t="s">
        <v>6513</v>
      </c>
      <c r="B69" t="s">
        <v>9454</v>
      </c>
      <c r="C69">
        <v>6.9779999999999998</v>
      </c>
      <c r="D69" t="s">
        <v>6518</v>
      </c>
      <c r="E69" t="s">
        <v>9480</v>
      </c>
      <c r="F69">
        <v>0</v>
      </c>
      <c r="G69" t="s">
        <v>6576</v>
      </c>
      <c r="H69" t="s">
        <v>9519</v>
      </c>
      <c r="I69">
        <v>2.0219999999999998</v>
      </c>
      <c r="J69" t="s">
        <v>6592</v>
      </c>
      <c r="K69" t="s">
        <v>9456</v>
      </c>
      <c r="L69">
        <v>0</v>
      </c>
    </row>
    <row r="70" spans="1:12" ht="13.95" customHeight="1">
      <c r="A70" t="s">
        <v>6513</v>
      </c>
      <c r="B70" t="s">
        <v>9455</v>
      </c>
      <c r="C70">
        <v>0</v>
      </c>
      <c r="D70" t="s">
        <v>6518</v>
      </c>
      <c r="E70" t="s">
        <v>9481</v>
      </c>
      <c r="F70">
        <v>2.8929999999999998</v>
      </c>
      <c r="G70" t="s">
        <v>6576</v>
      </c>
      <c r="H70" t="s">
        <v>9520</v>
      </c>
      <c r="I70">
        <v>0</v>
      </c>
      <c r="J70" t="s">
        <v>6592</v>
      </c>
      <c r="K70" t="s">
        <v>9457</v>
      </c>
      <c r="L70">
        <v>1.1020000000000001</v>
      </c>
    </row>
    <row r="71" spans="1:12" ht="13.95" customHeight="1">
      <c r="A71" t="s">
        <v>6513</v>
      </c>
      <c r="B71" t="s">
        <v>9456</v>
      </c>
      <c r="C71">
        <v>0</v>
      </c>
      <c r="D71" t="s">
        <v>6518</v>
      </c>
      <c r="E71" t="s">
        <v>9482</v>
      </c>
      <c r="F71">
        <v>0</v>
      </c>
      <c r="G71" t="s">
        <v>6577</v>
      </c>
      <c r="H71" t="s">
        <v>9445</v>
      </c>
      <c r="I71">
        <v>0</v>
      </c>
      <c r="J71" t="s">
        <v>6592</v>
      </c>
      <c r="K71" t="s">
        <v>9458</v>
      </c>
      <c r="L71">
        <v>0.54700000000000004</v>
      </c>
    </row>
    <row r="72" spans="1:12" ht="13.95" customHeight="1">
      <c r="A72" t="s">
        <v>6508</v>
      </c>
      <c r="B72" t="s">
        <v>9445</v>
      </c>
      <c r="C72">
        <v>2.5579999999999998</v>
      </c>
      <c r="D72" t="s">
        <v>6518</v>
      </c>
      <c r="E72" t="s">
        <v>9483</v>
      </c>
      <c r="F72">
        <v>2.319</v>
      </c>
      <c r="G72" t="s">
        <v>6577</v>
      </c>
      <c r="H72" t="s">
        <v>9446</v>
      </c>
      <c r="I72">
        <v>0.245</v>
      </c>
      <c r="J72" t="s">
        <v>6592</v>
      </c>
      <c r="K72" t="s">
        <v>9459</v>
      </c>
      <c r="L72">
        <v>0.14399999999999999</v>
      </c>
    </row>
    <row r="73" spans="1:12" ht="13.95" customHeight="1">
      <c r="A73" t="s">
        <v>6508</v>
      </c>
      <c r="B73" t="s">
        <v>9446</v>
      </c>
      <c r="C73">
        <v>0</v>
      </c>
      <c r="D73" t="s">
        <v>6518</v>
      </c>
      <c r="E73" t="s">
        <v>9484</v>
      </c>
      <c r="F73">
        <v>0</v>
      </c>
      <c r="G73" t="s">
        <v>6577</v>
      </c>
      <c r="H73" t="s">
        <v>9447</v>
      </c>
      <c r="I73">
        <v>0</v>
      </c>
      <c r="J73" t="s">
        <v>6592</v>
      </c>
      <c r="K73" t="s">
        <v>9460</v>
      </c>
      <c r="L73">
        <v>0.59699999999999998</v>
      </c>
    </row>
    <row r="74" spans="1:12" ht="13.95" customHeight="1">
      <c r="A74" t="s">
        <v>6508</v>
      </c>
      <c r="B74" t="s">
        <v>9447</v>
      </c>
      <c r="C74">
        <v>1.9260000000000002</v>
      </c>
      <c r="D74" t="s">
        <v>6518</v>
      </c>
      <c r="E74" t="s">
        <v>9485</v>
      </c>
      <c r="F74">
        <v>0</v>
      </c>
      <c r="G74" t="s">
        <v>6577</v>
      </c>
      <c r="H74" t="s">
        <v>9448</v>
      </c>
      <c r="I74">
        <v>1.4119999999999999</v>
      </c>
      <c r="J74" t="s">
        <v>6592</v>
      </c>
      <c r="K74" t="s">
        <v>9461</v>
      </c>
      <c r="L74">
        <v>0.79200000000000004</v>
      </c>
    </row>
    <row r="75" spans="1:12" ht="13.95" customHeight="1">
      <c r="A75" t="s">
        <v>6508</v>
      </c>
      <c r="B75" t="s">
        <v>9448</v>
      </c>
      <c r="C75">
        <v>1.5390000000000001</v>
      </c>
      <c r="D75" t="s">
        <v>6518</v>
      </c>
      <c r="E75" t="s">
        <v>9486</v>
      </c>
      <c r="F75">
        <v>2.7880000000000003</v>
      </c>
      <c r="G75" t="s">
        <v>6577</v>
      </c>
      <c r="H75" t="s">
        <v>9449</v>
      </c>
      <c r="I75">
        <v>0</v>
      </c>
      <c r="J75" t="s">
        <v>6592</v>
      </c>
      <c r="K75" t="s">
        <v>9462</v>
      </c>
      <c r="L75">
        <v>0.38100000000000001</v>
      </c>
    </row>
    <row r="76" spans="1:12" ht="13.95" customHeight="1">
      <c r="A76" t="s">
        <v>6508</v>
      </c>
      <c r="B76" t="s">
        <v>9449</v>
      </c>
      <c r="C76">
        <v>0</v>
      </c>
      <c r="D76" t="s">
        <v>6518</v>
      </c>
      <c r="E76" t="s">
        <v>9487</v>
      </c>
      <c r="F76">
        <v>0</v>
      </c>
      <c r="G76" t="s">
        <v>6577</v>
      </c>
      <c r="H76" t="s">
        <v>9450</v>
      </c>
      <c r="I76">
        <v>1.073</v>
      </c>
      <c r="J76" t="s">
        <v>6592</v>
      </c>
      <c r="K76" t="s">
        <v>9481</v>
      </c>
      <c r="L76">
        <v>1.9159999999999999</v>
      </c>
    </row>
    <row r="77" spans="1:12" ht="13.95" customHeight="1">
      <c r="A77" t="s">
        <v>6508</v>
      </c>
      <c r="B77" t="s">
        <v>9450</v>
      </c>
      <c r="C77">
        <v>0</v>
      </c>
      <c r="D77" t="s">
        <v>6518</v>
      </c>
      <c r="E77" t="s">
        <v>9488</v>
      </c>
      <c r="F77">
        <v>0</v>
      </c>
      <c r="G77" t="s">
        <v>6577</v>
      </c>
      <c r="H77" t="s">
        <v>9451</v>
      </c>
      <c r="I77">
        <v>0</v>
      </c>
      <c r="J77" t="s">
        <v>6592</v>
      </c>
      <c r="K77" t="s">
        <v>9483</v>
      </c>
      <c r="L77">
        <v>0.65500000000000003</v>
      </c>
    </row>
    <row r="78" spans="1:12" ht="13.95" customHeight="1">
      <c r="A78" t="s">
        <v>6508</v>
      </c>
      <c r="B78" t="s">
        <v>9451</v>
      </c>
      <c r="C78">
        <v>1.736</v>
      </c>
      <c r="D78" t="s">
        <v>6518</v>
      </c>
      <c r="E78" t="s">
        <v>9489</v>
      </c>
      <c r="F78">
        <v>0</v>
      </c>
      <c r="G78" t="s">
        <v>6577</v>
      </c>
      <c r="H78" t="s">
        <v>9452</v>
      </c>
      <c r="I78">
        <v>0.64100000000000001</v>
      </c>
      <c r="J78" t="s">
        <v>6592</v>
      </c>
      <c r="K78" t="s">
        <v>9486</v>
      </c>
      <c r="L78">
        <v>0.91400000000000003</v>
      </c>
    </row>
    <row r="79" spans="1:12" ht="13.95" customHeight="1">
      <c r="A79" t="s">
        <v>6508</v>
      </c>
      <c r="B79" t="s">
        <v>9452</v>
      </c>
      <c r="C79">
        <v>3.048</v>
      </c>
      <c r="D79" t="s">
        <v>6518</v>
      </c>
      <c r="E79" t="s">
        <v>9490</v>
      </c>
      <c r="F79">
        <v>0</v>
      </c>
      <c r="G79" t="s">
        <v>6577</v>
      </c>
      <c r="H79" t="s">
        <v>9453</v>
      </c>
      <c r="I79">
        <v>0</v>
      </c>
      <c r="J79" t="s">
        <v>6592</v>
      </c>
      <c r="K79" t="s">
        <v>9488</v>
      </c>
      <c r="L79">
        <v>0.42499999999999999</v>
      </c>
    </row>
    <row r="80" spans="1:12" ht="13.95" customHeight="1">
      <c r="A80" t="s">
        <v>6508</v>
      </c>
      <c r="B80" t="s">
        <v>9453</v>
      </c>
      <c r="C80">
        <v>0</v>
      </c>
      <c r="D80" t="s">
        <v>6518</v>
      </c>
      <c r="E80" t="s">
        <v>9491</v>
      </c>
      <c r="F80">
        <v>0.122</v>
      </c>
      <c r="G80" t="s">
        <v>6577</v>
      </c>
      <c r="H80" t="s">
        <v>9454</v>
      </c>
      <c r="I80">
        <v>1.9510000000000001</v>
      </c>
      <c r="J80" t="s">
        <v>6592</v>
      </c>
      <c r="K80" t="s">
        <v>9490</v>
      </c>
      <c r="L80">
        <v>0.59699999999999998</v>
      </c>
    </row>
    <row r="81" spans="1:12" ht="13.95" customHeight="1">
      <c r="A81" t="s">
        <v>6508</v>
      </c>
      <c r="B81" t="s">
        <v>9454</v>
      </c>
      <c r="C81">
        <v>8.2249999999999996</v>
      </c>
      <c r="D81" t="s">
        <v>6518</v>
      </c>
      <c r="E81" t="s">
        <v>9492</v>
      </c>
      <c r="F81">
        <v>0</v>
      </c>
      <c r="G81" t="s">
        <v>6577</v>
      </c>
      <c r="H81" t="s">
        <v>9455</v>
      </c>
      <c r="I81">
        <v>0</v>
      </c>
      <c r="J81" t="s">
        <v>6592</v>
      </c>
      <c r="K81" t="s">
        <v>9492</v>
      </c>
      <c r="L81">
        <v>0.497</v>
      </c>
    </row>
    <row r="82" spans="1:12" ht="13.95" customHeight="1">
      <c r="A82" t="s">
        <v>6508</v>
      </c>
      <c r="B82" t="s">
        <v>9455</v>
      </c>
      <c r="C82">
        <v>0</v>
      </c>
      <c r="D82" t="s">
        <v>6518</v>
      </c>
      <c r="E82" t="s">
        <v>9493</v>
      </c>
      <c r="F82">
        <v>0.38900000000000001</v>
      </c>
      <c r="G82" t="s">
        <v>6577</v>
      </c>
      <c r="H82" t="s">
        <v>9456</v>
      </c>
      <c r="I82">
        <v>2.3260000000000001</v>
      </c>
      <c r="J82" t="s">
        <v>6592</v>
      </c>
      <c r="K82" t="s">
        <v>9494</v>
      </c>
      <c r="L82">
        <v>0.47499999999999998</v>
      </c>
    </row>
    <row r="83" spans="1:12" ht="13.95" customHeight="1">
      <c r="A83" t="s">
        <v>6508</v>
      </c>
      <c r="B83" t="s">
        <v>9456</v>
      </c>
      <c r="C83">
        <v>0</v>
      </c>
      <c r="D83" t="s">
        <v>6518</v>
      </c>
      <c r="E83" t="s">
        <v>9494</v>
      </c>
      <c r="F83">
        <v>0</v>
      </c>
      <c r="G83" t="s">
        <v>6577</v>
      </c>
      <c r="H83" t="s">
        <v>9457</v>
      </c>
      <c r="I83">
        <v>0</v>
      </c>
      <c r="J83" t="s">
        <v>6592</v>
      </c>
      <c r="K83" t="s">
        <v>9496</v>
      </c>
      <c r="L83">
        <v>0.76300000000000001</v>
      </c>
    </row>
    <row r="84" spans="1:12" ht="13.95" customHeight="1">
      <c r="A84" t="s">
        <v>6514</v>
      </c>
      <c r="B84" t="s">
        <v>9445</v>
      </c>
      <c r="C84">
        <v>4.6459999999999999</v>
      </c>
      <c r="D84" t="s">
        <v>6518</v>
      </c>
      <c r="E84" t="s">
        <v>9495</v>
      </c>
      <c r="F84">
        <v>0</v>
      </c>
      <c r="G84" t="s">
        <v>6577</v>
      </c>
      <c r="H84" t="s">
        <v>9458</v>
      </c>
      <c r="I84">
        <v>1.8580000000000001</v>
      </c>
      <c r="J84" t="s">
        <v>6592</v>
      </c>
      <c r="K84" t="s">
        <v>9497</v>
      </c>
      <c r="L84">
        <v>0.90700000000000003</v>
      </c>
    </row>
    <row r="85" spans="1:12" ht="13.95" customHeight="1">
      <c r="A85" t="s">
        <v>6514</v>
      </c>
      <c r="B85" t="s">
        <v>9446</v>
      </c>
      <c r="C85">
        <v>7.5910000000000002</v>
      </c>
      <c r="D85" t="s">
        <v>6518</v>
      </c>
      <c r="E85" t="s">
        <v>9496</v>
      </c>
      <c r="F85">
        <v>0</v>
      </c>
      <c r="G85" t="s">
        <v>6577</v>
      </c>
      <c r="H85" t="s">
        <v>9459</v>
      </c>
      <c r="I85">
        <v>0</v>
      </c>
      <c r="J85" t="s">
        <v>6592</v>
      </c>
      <c r="K85" t="s">
        <v>9498</v>
      </c>
      <c r="L85">
        <v>1.2030000000000001</v>
      </c>
    </row>
    <row r="86" spans="1:12" ht="13.95" customHeight="1">
      <c r="A86" t="s">
        <v>6514</v>
      </c>
      <c r="B86" t="s">
        <v>9447</v>
      </c>
      <c r="C86">
        <v>1.1320000000000001</v>
      </c>
      <c r="D86" t="s">
        <v>6519</v>
      </c>
      <c r="E86" t="s">
        <v>9445</v>
      </c>
      <c r="F86">
        <v>0</v>
      </c>
      <c r="G86" t="s">
        <v>6577</v>
      </c>
      <c r="H86" t="s">
        <v>9460</v>
      </c>
      <c r="I86">
        <v>1.123</v>
      </c>
      <c r="J86" t="s">
        <v>6592</v>
      </c>
      <c r="K86" t="s">
        <v>9499</v>
      </c>
      <c r="L86">
        <v>0.51800000000000002</v>
      </c>
    </row>
    <row r="87" spans="1:12" ht="13.95" customHeight="1">
      <c r="A87" t="s">
        <v>6514</v>
      </c>
      <c r="B87" t="s">
        <v>9448</v>
      </c>
      <c r="C87">
        <v>2.2280000000000002</v>
      </c>
      <c r="D87" t="s">
        <v>6519</v>
      </c>
      <c r="E87" t="s">
        <v>9463</v>
      </c>
      <c r="F87">
        <v>5.7000000000000002E-2</v>
      </c>
      <c r="G87" t="s">
        <v>6577</v>
      </c>
      <c r="H87" t="s">
        <v>9461</v>
      </c>
      <c r="I87">
        <v>0</v>
      </c>
      <c r="J87" t="s">
        <v>6592</v>
      </c>
      <c r="K87" t="s">
        <v>9500</v>
      </c>
      <c r="L87">
        <v>9.2999999999999999E-2</v>
      </c>
    </row>
    <row r="88" spans="1:12" ht="13.95" customHeight="1">
      <c r="A88" t="s">
        <v>6514</v>
      </c>
      <c r="B88" t="s">
        <v>9449</v>
      </c>
      <c r="C88">
        <v>1.31</v>
      </c>
      <c r="D88" t="s">
        <v>6519</v>
      </c>
      <c r="E88" t="s">
        <v>9446</v>
      </c>
      <c r="F88">
        <v>0</v>
      </c>
      <c r="G88" t="s">
        <v>6577</v>
      </c>
      <c r="H88" t="s">
        <v>9462</v>
      </c>
      <c r="I88">
        <v>0</v>
      </c>
      <c r="J88" t="s">
        <v>6592</v>
      </c>
      <c r="K88" t="s">
        <v>9501</v>
      </c>
      <c r="L88">
        <v>0.72699999999999998</v>
      </c>
    </row>
    <row r="89" spans="1:12" ht="13.95" customHeight="1">
      <c r="A89" t="s">
        <v>6514</v>
      </c>
      <c r="B89" t="s">
        <v>9450</v>
      </c>
      <c r="C89">
        <v>3.4260000000000002</v>
      </c>
      <c r="D89" t="s">
        <v>6519</v>
      </c>
      <c r="E89" t="s">
        <v>9464</v>
      </c>
      <c r="F89">
        <v>0</v>
      </c>
      <c r="G89" t="s">
        <v>6577</v>
      </c>
      <c r="H89" t="s">
        <v>9481</v>
      </c>
      <c r="I89">
        <v>0</v>
      </c>
      <c r="J89" t="s">
        <v>6592</v>
      </c>
      <c r="K89" t="s">
        <v>9502</v>
      </c>
      <c r="L89">
        <v>0.36699999999999999</v>
      </c>
    </row>
    <row r="90" spans="1:12" ht="13.95" customHeight="1">
      <c r="A90" t="s">
        <v>6514</v>
      </c>
      <c r="B90" t="s">
        <v>9451</v>
      </c>
      <c r="C90">
        <v>2.5960000000000001</v>
      </c>
      <c r="D90" t="s">
        <v>6519</v>
      </c>
      <c r="E90" t="s">
        <v>9447</v>
      </c>
      <c r="F90">
        <v>0</v>
      </c>
      <c r="G90" t="s">
        <v>6577</v>
      </c>
      <c r="H90" t="s">
        <v>9483</v>
      </c>
      <c r="I90">
        <v>0</v>
      </c>
      <c r="J90" t="s">
        <v>6592</v>
      </c>
      <c r="K90" t="s">
        <v>9503</v>
      </c>
      <c r="L90">
        <v>1.8660000000000001</v>
      </c>
    </row>
    <row r="91" spans="1:12" ht="13.95" customHeight="1">
      <c r="A91" t="s">
        <v>6514</v>
      </c>
      <c r="B91" t="s">
        <v>9452</v>
      </c>
      <c r="C91">
        <v>7.7620000000000005</v>
      </c>
      <c r="D91" t="s">
        <v>6519</v>
      </c>
      <c r="E91" t="s">
        <v>9465</v>
      </c>
      <c r="F91">
        <v>0</v>
      </c>
      <c r="G91" t="s">
        <v>6577</v>
      </c>
      <c r="H91" t="s">
        <v>9486</v>
      </c>
      <c r="I91">
        <v>0</v>
      </c>
      <c r="J91" t="s">
        <v>6592</v>
      </c>
      <c r="K91" t="s">
        <v>9504</v>
      </c>
      <c r="L91">
        <v>0</v>
      </c>
    </row>
    <row r="92" spans="1:12" ht="13.95" customHeight="1">
      <c r="A92" t="s">
        <v>6514</v>
      </c>
      <c r="B92" t="s">
        <v>9453</v>
      </c>
      <c r="C92">
        <v>0</v>
      </c>
      <c r="D92" t="s">
        <v>6519</v>
      </c>
      <c r="E92" t="s">
        <v>9448</v>
      </c>
      <c r="F92">
        <v>0</v>
      </c>
      <c r="G92" t="s">
        <v>6577</v>
      </c>
      <c r="H92" t="s">
        <v>9488</v>
      </c>
      <c r="I92">
        <v>0</v>
      </c>
      <c r="J92" t="s">
        <v>6592</v>
      </c>
      <c r="K92" t="s">
        <v>9505</v>
      </c>
      <c r="L92">
        <v>1.4470000000000001</v>
      </c>
    </row>
    <row r="93" spans="1:12" ht="13.95" customHeight="1">
      <c r="A93" t="s">
        <v>6514</v>
      </c>
      <c r="B93" t="s">
        <v>9454</v>
      </c>
      <c r="C93">
        <v>0</v>
      </c>
      <c r="D93" t="s">
        <v>6519</v>
      </c>
      <c r="E93" t="s">
        <v>9466</v>
      </c>
      <c r="F93">
        <v>0.26600000000000001</v>
      </c>
      <c r="G93" t="s">
        <v>6577</v>
      </c>
      <c r="H93" t="s">
        <v>9490</v>
      </c>
      <c r="I93">
        <v>0</v>
      </c>
      <c r="J93" t="s">
        <v>6592</v>
      </c>
      <c r="K93" t="s">
        <v>9506</v>
      </c>
      <c r="L93">
        <v>0</v>
      </c>
    </row>
    <row r="94" spans="1:12" ht="13.95" customHeight="1">
      <c r="A94" t="s">
        <v>6514</v>
      </c>
      <c r="B94" t="s">
        <v>9455</v>
      </c>
      <c r="C94">
        <v>0</v>
      </c>
      <c r="D94" t="s">
        <v>6519</v>
      </c>
      <c r="E94" t="s">
        <v>9449</v>
      </c>
      <c r="F94">
        <v>0</v>
      </c>
      <c r="G94" t="s">
        <v>6577</v>
      </c>
      <c r="H94" t="s">
        <v>9492</v>
      </c>
      <c r="I94">
        <v>0</v>
      </c>
      <c r="J94" t="s">
        <v>6592</v>
      </c>
      <c r="K94" t="s">
        <v>9507</v>
      </c>
      <c r="L94">
        <v>9.2999999999999999E-2</v>
      </c>
    </row>
    <row r="95" spans="1:12" ht="13.95" customHeight="1">
      <c r="A95" t="s">
        <v>6514</v>
      </c>
      <c r="B95" t="s">
        <v>9456</v>
      </c>
      <c r="C95">
        <v>0</v>
      </c>
      <c r="D95" t="s">
        <v>6519</v>
      </c>
      <c r="E95" t="s">
        <v>9467</v>
      </c>
      <c r="F95">
        <v>0</v>
      </c>
      <c r="G95" t="s">
        <v>6577</v>
      </c>
      <c r="H95" t="s">
        <v>9494</v>
      </c>
      <c r="I95">
        <v>0.51800000000000002</v>
      </c>
      <c r="J95" t="s">
        <v>6592</v>
      </c>
      <c r="K95" t="s">
        <v>9508</v>
      </c>
      <c r="L95">
        <v>0.80600000000000005</v>
      </c>
    </row>
    <row r="96" spans="1:12" ht="13.95" customHeight="1">
      <c r="A96" t="s">
        <v>6509</v>
      </c>
      <c r="B96" t="s">
        <v>9445</v>
      </c>
      <c r="C96">
        <v>5.2569999999999997</v>
      </c>
      <c r="D96" t="s">
        <v>6519</v>
      </c>
      <c r="E96" t="s">
        <v>9450</v>
      </c>
      <c r="F96">
        <v>2.5629999999999997</v>
      </c>
      <c r="G96" t="s">
        <v>6577</v>
      </c>
      <c r="H96" t="s">
        <v>9496</v>
      </c>
      <c r="I96">
        <v>0</v>
      </c>
      <c r="J96" t="s">
        <v>6592</v>
      </c>
      <c r="K96" t="s">
        <v>9509</v>
      </c>
      <c r="L96">
        <v>0.36699999999999999</v>
      </c>
    </row>
    <row r="97" spans="1:12" ht="13.95" customHeight="1">
      <c r="A97" t="s">
        <v>6509</v>
      </c>
      <c r="B97" t="s">
        <v>9446</v>
      </c>
      <c r="C97">
        <v>7.5049999999999999</v>
      </c>
      <c r="D97" t="s">
        <v>6519</v>
      </c>
      <c r="E97" t="s">
        <v>9468</v>
      </c>
      <c r="F97">
        <v>0</v>
      </c>
      <c r="G97" t="s">
        <v>6577</v>
      </c>
      <c r="H97" t="s">
        <v>9497</v>
      </c>
      <c r="I97">
        <v>0.25900000000000001</v>
      </c>
      <c r="J97" t="s">
        <v>6592</v>
      </c>
      <c r="K97" t="s">
        <v>9510</v>
      </c>
      <c r="L97">
        <v>0.67</v>
      </c>
    </row>
    <row r="98" spans="1:12" ht="13.95" customHeight="1">
      <c r="A98" t="s">
        <v>6509</v>
      </c>
      <c r="B98" t="s">
        <v>9447</v>
      </c>
      <c r="C98">
        <v>1.157</v>
      </c>
      <c r="D98" t="s">
        <v>6519</v>
      </c>
      <c r="E98" t="s">
        <v>9451</v>
      </c>
      <c r="F98">
        <v>3.105</v>
      </c>
      <c r="G98" t="s">
        <v>6577</v>
      </c>
      <c r="H98" t="s">
        <v>9498</v>
      </c>
      <c r="I98">
        <v>0</v>
      </c>
      <c r="J98" t="s">
        <v>6592</v>
      </c>
      <c r="K98" t="s">
        <v>9511</v>
      </c>
      <c r="L98">
        <v>0</v>
      </c>
    </row>
    <row r="99" spans="1:12" ht="13.95" customHeight="1">
      <c r="A99" t="s">
        <v>6509</v>
      </c>
      <c r="B99" t="s">
        <v>9448</v>
      </c>
      <c r="C99">
        <v>2.1120000000000001</v>
      </c>
      <c r="D99" t="s">
        <v>6519</v>
      </c>
      <c r="E99" t="s">
        <v>9469</v>
      </c>
      <c r="F99">
        <v>0</v>
      </c>
      <c r="G99" t="s">
        <v>6577</v>
      </c>
      <c r="H99" t="s">
        <v>9499</v>
      </c>
      <c r="I99">
        <v>0</v>
      </c>
      <c r="J99" t="s">
        <v>6592</v>
      </c>
      <c r="K99" t="s">
        <v>9512</v>
      </c>
      <c r="L99">
        <v>1.0509999999999999</v>
      </c>
    </row>
    <row r="100" spans="1:12" ht="13.95" customHeight="1">
      <c r="A100" t="s">
        <v>6509</v>
      </c>
      <c r="B100" t="s">
        <v>9449</v>
      </c>
      <c r="C100">
        <v>1.6600000000000001</v>
      </c>
      <c r="D100" t="s">
        <v>6519</v>
      </c>
      <c r="E100" t="s">
        <v>9452</v>
      </c>
      <c r="F100">
        <v>2.7429999999999999</v>
      </c>
      <c r="G100" t="s">
        <v>6577</v>
      </c>
      <c r="H100" t="s">
        <v>9500</v>
      </c>
      <c r="I100">
        <v>1.986</v>
      </c>
      <c r="J100" t="s">
        <v>6592</v>
      </c>
      <c r="K100" t="s">
        <v>9513</v>
      </c>
      <c r="L100">
        <v>0</v>
      </c>
    </row>
    <row r="101" spans="1:12" ht="13.95" customHeight="1">
      <c r="A101" t="s">
        <v>6509</v>
      </c>
      <c r="B101" t="s">
        <v>9450</v>
      </c>
      <c r="C101">
        <v>2.6</v>
      </c>
      <c r="D101" t="s">
        <v>6519</v>
      </c>
      <c r="E101" t="s">
        <v>9470</v>
      </c>
      <c r="F101">
        <v>0</v>
      </c>
      <c r="G101" t="s">
        <v>6577</v>
      </c>
      <c r="H101" t="s">
        <v>9501</v>
      </c>
      <c r="I101">
        <v>0.36</v>
      </c>
      <c r="J101" t="s">
        <v>6592</v>
      </c>
      <c r="K101" t="s">
        <v>9514</v>
      </c>
      <c r="L101">
        <v>0.69099999999999995</v>
      </c>
    </row>
    <row r="102" spans="1:12" ht="13.95" customHeight="1">
      <c r="A102" t="s">
        <v>6509</v>
      </c>
      <c r="B102" t="s">
        <v>9451</v>
      </c>
      <c r="C102">
        <v>2.4489999999999998</v>
      </c>
      <c r="D102" t="s">
        <v>6519</v>
      </c>
      <c r="E102" t="s">
        <v>9453</v>
      </c>
      <c r="F102">
        <v>0</v>
      </c>
      <c r="G102" t="s">
        <v>6577</v>
      </c>
      <c r="H102" t="s">
        <v>9502</v>
      </c>
      <c r="I102">
        <v>0</v>
      </c>
      <c r="J102" t="s">
        <v>6592</v>
      </c>
      <c r="K102" t="s">
        <v>9515</v>
      </c>
      <c r="L102">
        <v>0</v>
      </c>
    </row>
    <row r="103" spans="1:12" ht="13.95" customHeight="1">
      <c r="A103" t="s">
        <v>6509</v>
      </c>
      <c r="B103" t="s">
        <v>9452</v>
      </c>
      <c r="C103">
        <v>7.1829999999999998</v>
      </c>
      <c r="D103" t="s">
        <v>6519</v>
      </c>
      <c r="E103" t="s">
        <v>9471</v>
      </c>
      <c r="F103">
        <v>0</v>
      </c>
      <c r="G103" t="s">
        <v>6577</v>
      </c>
      <c r="H103" t="s">
        <v>9503</v>
      </c>
      <c r="I103">
        <v>0.42399999999999999</v>
      </c>
      <c r="J103" t="s">
        <v>6592</v>
      </c>
      <c r="K103" t="s">
        <v>9516</v>
      </c>
      <c r="L103">
        <v>0</v>
      </c>
    </row>
    <row r="104" spans="1:12" ht="13.95" customHeight="1">
      <c r="A104" t="s">
        <v>6509</v>
      </c>
      <c r="B104" t="s">
        <v>9453</v>
      </c>
      <c r="C104">
        <v>0</v>
      </c>
      <c r="D104" t="s">
        <v>6519</v>
      </c>
      <c r="E104" t="s">
        <v>9454</v>
      </c>
      <c r="F104">
        <v>0</v>
      </c>
      <c r="G104" t="s">
        <v>6577</v>
      </c>
      <c r="H104" t="s">
        <v>9504</v>
      </c>
      <c r="I104">
        <v>0</v>
      </c>
      <c r="J104" t="s">
        <v>6592</v>
      </c>
      <c r="K104" t="s">
        <v>9517</v>
      </c>
      <c r="L104">
        <v>0</v>
      </c>
    </row>
    <row r="105" spans="1:12" ht="13.95" customHeight="1">
      <c r="A105" t="s">
        <v>6509</v>
      </c>
      <c r="B105" t="s">
        <v>9454</v>
      </c>
      <c r="C105">
        <v>0</v>
      </c>
      <c r="D105" t="s">
        <v>6519</v>
      </c>
      <c r="E105" t="s">
        <v>9472</v>
      </c>
      <c r="F105">
        <v>0</v>
      </c>
      <c r="G105" t="s">
        <v>6577</v>
      </c>
      <c r="H105" t="s">
        <v>9505</v>
      </c>
      <c r="I105">
        <v>0.20100000000000001</v>
      </c>
      <c r="J105" t="s">
        <v>6592</v>
      </c>
      <c r="K105" t="s">
        <v>9518</v>
      </c>
      <c r="L105">
        <v>0.59699999999999998</v>
      </c>
    </row>
    <row r="106" spans="1:12" ht="13.95" customHeight="1">
      <c r="A106" t="s">
        <v>6509</v>
      </c>
      <c r="B106" t="s">
        <v>9455</v>
      </c>
      <c r="C106">
        <v>0</v>
      </c>
      <c r="D106" t="s">
        <v>6519</v>
      </c>
      <c r="E106" t="s">
        <v>9455</v>
      </c>
      <c r="F106">
        <v>0</v>
      </c>
      <c r="G106" t="s">
        <v>6577</v>
      </c>
      <c r="H106" t="s">
        <v>9506</v>
      </c>
      <c r="I106">
        <v>0.46</v>
      </c>
      <c r="J106" t="s">
        <v>6592</v>
      </c>
      <c r="K106" t="s">
        <v>9519</v>
      </c>
      <c r="L106">
        <v>0.158</v>
      </c>
    </row>
    <row r="107" spans="1:12" ht="13.95" customHeight="1">
      <c r="A107" t="s">
        <v>6509</v>
      </c>
      <c r="B107" t="s">
        <v>9456</v>
      </c>
      <c r="C107">
        <v>0</v>
      </c>
      <c r="D107" t="s">
        <v>6519</v>
      </c>
      <c r="E107" t="s">
        <v>9473</v>
      </c>
      <c r="F107">
        <v>0</v>
      </c>
      <c r="G107" t="s">
        <v>6577</v>
      </c>
      <c r="H107" t="s">
        <v>9507</v>
      </c>
      <c r="I107">
        <v>0</v>
      </c>
      <c r="J107" t="s">
        <v>6592</v>
      </c>
      <c r="K107" t="s">
        <v>9520</v>
      </c>
      <c r="L107">
        <v>0.52500000000000002</v>
      </c>
    </row>
    <row r="108" spans="1:12" ht="13.95" customHeight="1">
      <c r="A108" t="s">
        <v>6515</v>
      </c>
      <c r="B108" t="s">
        <v>9445</v>
      </c>
      <c r="C108">
        <v>0</v>
      </c>
      <c r="D108" t="s">
        <v>6519</v>
      </c>
      <c r="E108" t="s">
        <v>9456</v>
      </c>
      <c r="F108">
        <v>0.32400000000000001</v>
      </c>
      <c r="G108" t="s">
        <v>6577</v>
      </c>
      <c r="H108" t="s">
        <v>9508</v>
      </c>
      <c r="I108">
        <v>0</v>
      </c>
      <c r="J108" t="s">
        <v>6592</v>
      </c>
      <c r="K108" t="s">
        <v>9521</v>
      </c>
      <c r="L108">
        <v>0.108</v>
      </c>
    </row>
    <row r="109" spans="1:12" ht="13.95" customHeight="1">
      <c r="A109" t="s">
        <v>6515</v>
      </c>
      <c r="B109" t="s">
        <v>9446</v>
      </c>
      <c r="C109">
        <v>0</v>
      </c>
      <c r="D109" t="s">
        <v>6519</v>
      </c>
      <c r="E109" t="s">
        <v>9474</v>
      </c>
      <c r="F109">
        <v>0</v>
      </c>
      <c r="G109" t="s">
        <v>6577</v>
      </c>
      <c r="H109" t="s">
        <v>9509</v>
      </c>
      <c r="I109">
        <v>6.4000000000000001E-2</v>
      </c>
      <c r="J109" t="s">
        <v>6592</v>
      </c>
      <c r="K109" t="s">
        <v>9522</v>
      </c>
      <c r="L109">
        <v>0</v>
      </c>
    </row>
    <row r="110" spans="1:12" ht="13.95" customHeight="1">
      <c r="A110" t="s">
        <v>6515</v>
      </c>
      <c r="B110" t="s">
        <v>9447</v>
      </c>
      <c r="C110">
        <v>0</v>
      </c>
      <c r="D110" t="s">
        <v>6519</v>
      </c>
      <c r="E110" t="s">
        <v>9457</v>
      </c>
      <c r="F110">
        <v>0.28100000000000003</v>
      </c>
      <c r="G110" t="s">
        <v>6577</v>
      </c>
      <c r="H110" t="s">
        <v>9510</v>
      </c>
      <c r="I110">
        <v>0</v>
      </c>
      <c r="J110" t="s">
        <v>6592</v>
      </c>
      <c r="K110" t="s">
        <v>9523</v>
      </c>
      <c r="L110">
        <v>4.2999999999999997E-2</v>
      </c>
    </row>
    <row r="111" spans="1:12" ht="13.95" customHeight="1">
      <c r="A111" t="s">
        <v>6510</v>
      </c>
      <c r="B111" t="s">
        <v>9445</v>
      </c>
      <c r="C111">
        <v>0</v>
      </c>
      <c r="D111" t="s">
        <v>6519</v>
      </c>
      <c r="E111" t="s">
        <v>9475</v>
      </c>
      <c r="F111">
        <v>0</v>
      </c>
      <c r="G111" t="s">
        <v>6577</v>
      </c>
      <c r="H111" t="s">
        <v>9511</v>
      </c>
      <c r="I111">
        <v>0.29499999999999998</v>
      </c>
      <c r="J111" t="s">
        <v>6592</v>
      </c>
      <c r="K111" t="s">
        <v>9524</v>
      </c>
      <c r="L111">
        <v>0</v>
      </c>
    </row>
    <row r="112" spans="1:12" ht="13.95" customHeight="1">
      <c r="A112" t="s">
        <v>6510</v>
      </c>
      <c r="B112" t="s">
        <v>9446</v>
      </c>
      <c r="C112">
        <v>18.673999999999999</v>
      </c>
      <c r="D112" t="s">
        <v>6519</v>
      </c>
      <c r="E112" t="s">
        <v>9458</v>
      </c>
      <c r="F112">
        <v>0</v>
      </c>
      <c r="G112" t="s">
        <v>6577</v>
      </c>
      <c r="H112" t="s">
        <v>9512</v>
      </c>
      <c r="I112">
        <v>0.97199999999999998</v>
      </c>
      <c r="J112" t="s">
        <v>6589</v>
      </c>
      <c r="K112" t="s">
        <v>9445</v>
      </c>
      <c r="L112">
        <v>11.992000000000001</v>
      </c>
    </row>
    <row r="113" spans="1:12" ht="13.95" customHeight="1">
      <c r="A113" t="s">
        <v>6510</v>
      </c>
      <c r="B113" t="s">
        <v>9447</v>
      </c>
      <c r="C113">
        <v>17.190999999999999</v>
      </c>
      <c r="D113" t="s">
        <v>6519</v>
      </c>
      <c r="E113" t="s">
        <v>9476</v>
      </c>
      <c r="F113">
        <v>0</v>
      </c>
      <c r="G113" t="s">
        <v>6577</v>
      </c>
      <c r="H113" t="s">
        <v>9513</v>
      </c>
      <c r="I113">
        <v>1.2310000000000001</v>
      </c>
      <c r="J113" t="s">
        <v>6589</v>
      </c>
      <c r="K113" t="s">
        <v>9446</v>
      </c>
      <c r="L113">
        <v>3.2490000000000001</v>
      </c>
    </row>
    <row r="114" spans="1:12" ht="13.95" customHeight="1">
      <c r="A114" t="s">
        <v>9340</v>
      </c>
      <c r="B114" t="s">
        <v>9445</v>
      </c>
      <c r="C114">
        <v>3.8449999999999998</v>
      </c>
      <c r="D114" t="s">
        <v>6519</v>
      </c>
      <c r="E114" t="s">
        <v>9459</v>
      </c>
      <c r="F114">
        <v>0</v>
      </c>
      <c r="G114" t="s">
        <v>6577</v>
      </c>
      <c r="H114" t="s">
        <v>9514</v>
      </c>
      <c r="I114">
        <v>0</v>
      </c>
      <c r="J114" t="s">
        <v>6589</v>
      </c>
      <c r="K114" t="s">
        <v>9447</v>
      </c>
      <c r="L114">
        <v>4.08</v>
      </c>
    </row>
    <row r="115" spans="1:12" ht="13.95" customHeight="1">
      <c r="A115" t="s">
        <v>9340</v>
      </c>
      <c r="B115" t="s">
        <v>9446</v>
      </c>
      <c r="C115">
        <v>9.641</v>
      </c>
      <c r="D115" t="s">
        <v>6519</v>
      </c>
      <c r="E115" t="s">
        <v>9477</v>
      </c>
      <c r="F115">
        <v>0</v>
      </c>
      <c r="G115" t="s">
        <v>6577</v>
      </c>
      <c r="H115" t="s">
        <v>9515</v>
      </c>
      <c r="I115">
        <v>0</v>
      </c>
      <c r="J115" t="s">
        <v>6589</v>
      </c>
      <c r="K115" t="s">
        <v>9448</v>
      </c>
      <c r="L115">
        <v>0</v>
      </c>
    </row>
    <row r="116" spans="1:12" ht="13.95" customHeight="1">
      <c r="A116" t="s">
        <v>9340</v>
      </c>
      <c r="B116" t="s">
        <v>9447</v>
      </c>
      <c r="C116">
        <v>3.7429999999999999</v>
      </c>
      <c r="D116" t="s">
        <v>6519</v>
      </c>
      <c r="E116" t="s">
        <v>9460</v>
      </c>
      <c r="F116">
        <v>0</v>
      </c>
      <c r="G116" t="s">
        <v>6577</v>
      </c>
      <c r="H116" t="s">
        <v>9516</v>
      </c>
      <c r="I116">
        <v>0</v>
      </c>
      <c r="J116" t="s">
        <v>6589</v>
      </c>
      <c r="K116" t="s">
        <v>9449</v>
      </c>
      <c r="L116">
        <v>0</v>
      </c>
    </row>
    <row r="117" spans="1:12" ht="13.95" customHeight="1">
      <c r="A117" t="s">
        <v>9340</v>
      </c>
      <c r="B117" t="s">
        <v>9448</v>
      </c>
      <c r="C117">
        <v>0</v>
      </c>
      <c r="D117" t="s">
        <v>6519</v>
      </c>
      <c r="E117" t="s">
        <v>9478</v>
      </c>
      <c r="F117">
        <v>0</v>
      </c>
      <c r="G117" t="s">
        <v>6577</v>
      </c>
      <c r="H117" t="s">
        <v>9517</v>
      </c>
      <c r="I117">
        <v>0</v>
      </c>
      <c r="J117" t="s">
        <v>6589</v>
      </c>
      <c r="K117" t="s">
        <v>9450</v>
      </c>
      <c r="L117">
        <v>32.341999999999999</v>
      </c>
    </row>
    <row r="118" spans="1:12" ht="13.95" customHeight="1">
      <c r="A118" t="s">
        <v>9340</v>
      </c>
      <c r="B118" t="s">
        <v>9449</v>
      </c>
      <c r="C118">
        <v>3.7010000000000001</v>
      </c>
      <c r="D118" t="s">
        <v>6519</v>
      </c>
      <c r="E118" t="s">
        <v>9461</v>
      </c>
      <c r="F118">
        <v>2.887</v>
      </c>
      <c r="G118" t="s">
        <v>6577</v>
      </c>
      <c r="H118" t="s">
        <v>9518</v>
      </c>
      <c r="I118">
        <v>0</v>
      </c>
      <c r="J118" t="s">
        <v>6589</v>
      </c>
      <c r="K118" t="s">
        <v>9451</v>
      </c>
      <c r="L118">
        <v>0</v>
      </c>
    </row>
    <row r="119" spans="1:12" ht="13.95" customHeight="1">
      <c r="A119" t="s">
        <v>9340</v>
      </c>
      <c r="B119" t="s">
        <v>9450</v>
      </c>
      <c r="C119">
        <v>0</v>
      </c>
      <c r="D119" t="s">
        <v>6519</v>
      </c>
      <c r="E119" t="s">
        <v>9479</v>
      </c>
      <c r="F119">
        <v>0</v>
      </c>
      <c r="G119" t="s">
        <v>6577</v>
      </c>
      <c r="H119" t="s">
        <v>9519</v>
      </c>
      <c r="I119">
        <v>0</v>
      </c>
      <c r="J119" t="s">
        <v>6589</v>
      </c>
      <c r="K119" t="s">
        <v>9452</v>
      </c>
      <c r="L119">
        <v>0</v>
      </c>
    </row>
    <row r="120" spans="1:12" ht="13.95" customHeight="1">
      <c r="B120"/>
      <c r="C120"/>
      <c r="D120" t="s">
        <v>6519</v>
      </c>
      <c r="E120" t="s">
        <v>9462</v>
      </c>
      <c r="F120">
        <v>2.8439999999999999</v>
      </c>
      <c r="G120" t="s">
        <v>6577</v>
      </c>
      <c r="H120" t="s">
        <v>9520</v>
      </c>
      <c r="I120">
        <v>0</v>
      </c>
      <c r="J120" t="s">
        <v>6589</v>
      </c>
      <c r="K120" t="s">
        <v>9453</v>
      </c>
      <c r="L120">
        <v>0</v>
      </c>
    </row>
    <row r="121" spans="1:12" ht="13.95" customHeight="1">
      <c r="B121"/>
      <c r="C121"/>
      <c r="D121" t="s">
        <v>6519</v>
      </c>
      <c r="E121" t="s">
        <v>9480</v>
      </c>
      <c r="F121">
        <v>0</v>
      </c>
      <c r="G121" t="s">
        <v>6578</v>
      </c>
      <c r="H121" t="s">
        <v>9445</v>
      </c>
      <c r="I121">
        <v>1.3180000000000001</v>
      </c>
      <c r="J121" t="s">
        <v>6589</v>
      </c>
      <c r="K121" t="s">
        <v>9454</v>
      </c>
      <c r="L121">
        <v>0</v>
      </c>
    </row>
    <row r="122" spans="1:12" ht="13.95" customHeight="1">
      <c r="B122"/>
      <c r="C122"/>
      <c r="D122" t="s">
        <v>6519</v>
      </c>
      <c r="E122" t="s">
        <v>9481</v>
      </c>
      <c r="F122">
        <v>2.4119999999999999</v>
      </c>
      <c r="G122" t="s">
        <v>6578</v>
      </c>
      <c r="H122" t="s">
        <v>9446</v>
      </c>
      <c r="I122">
        <v>0</v>
      </c>
      <c r="J122" t="s">
        <v>6586</v>
      </c>
      <c r="K122" t="s">
        <v>9445</v>
      </c>
      <c r="L122">
        <v>28.538</v>
      </c>
    </row>
    <row r="123" spans="1:12" ht="13.95" customHeight="1">
      <c r="B123"/>
      <c r="C123"/>
      <c r="D123" t="s">
        <v>6519</v>
      </c>
      <c r="E123" t="s">
        <v>9482</v>
      </c>
      <c r="F123">
        <v>0</v>
      </c>
      <c r="G123" t="s">
        <v>6578</v>
      </c>
      <c r="H123" t="s">
        <v>9447</v>
      </c>
      <c r="I123">
        <v>1.2030000000000001</v>
      </c>
      <c r="J123" t="s">
        <v>6586</v>
      </c>
      <c r="K123" t="s">
        <v>9446</v>
      </c>
      <c r="L123">
        <v>16.771000000000001</v>
      </c>
    </row>
    <row r="124" spans="1:12" ht="13.95" customHeight="1">
      <c r="B124"/>
      <c r="C124"/>
      <c r="D124" t="s">
        <v>6519</v>
      </c>
      <c r="E124" t="s">
        <v>9483</v>
      </c>
      <c r="F124">
        <v>2.7800000000000002</v>
      </c>
      <c r="G124" t="s">
        <v>6578</v>
      </c>
      <c r="H124" t="s">
        <v>9448</v>
      </c>
      <c r="I124">
        <v>0</v>
      </c>
      <c r="J124" t="s">
        <v>6586</v>
      </c>
      <c r="K124" t="s">
        <v>9447</v>
      </c>
      <c r="L124">
        <v>0</v>
      </c>
    </row>
    <row r="125" spans="1:12" ht="13.95" customHeight="1">
      <c r="B125"/>
      <c r="C125"/>
      <c r="D125" t="s">
        <v>6519</v>
      </c>
      <c r="E125" t="s">
        <v>9484</v>
      </c>
      <c r="F125">
        <v>0</v>
      </c>
      <c r="G125" t="s">
        <v>6578</v>
      </c>
      <c r="H125" t="s">
        <v>9449</v>
      </c>
      <c r="I125">
        <v>0.187</v>
      </c>
      <c r="J125" t="s">
        <v>6586</v>
      </c>
      <c r="K125" t="s">
        <v>9448</v>
      </c>
      <c r="L125">
        <v>4.6079999999999997</v>
      </c>
    </row>
    <row r="126" spans="1:12" ht="13.95" customHeight="1">
      <c r="B126"/>
      <c r="C126"/>
      <c r="D126" t="s">
        <v>6519</v>
      </c>
      <c r="E126" t="s">
        <v>9486</v>
      </c>
      <c r="F126">
        <v>2.2250000000000001</v>
      </c>
      <c r="G126" t="s">
        <v>6578</v>
      </c>
      <c r="H126" t="s">
        <v>9450</v>
      </c>
      <c r="I126">
        <v>0</v>
      </c>
      <c r="J126" t="s">
        <v>6586</v>
      </c>
      <c r="K126" t="s">
        <v>9449</v>
      </c>
      <c r="L126">
        <v>0</v>
      </c>
    </row>
    <row r="127" spans="1:12" ht="13.95" customHeight="1">
      <c r="B127"/>
      <c r="C127"/>
      <c r="D127" t="s">
        <v>6519</v>
      </c>
      <c r="E127" t="s">
        <v>9485</v>
      </c>
      <c r="F127">
        <v>0</v>
      </c>
      <c r="G127" t="s">
        <v>6578</v>
      </c>
      <c r="H127" t="s">
        <v>9451</v>
      </c>
      <c r="I127">
        <v>0.89300000000000002</v>
      </c>
      <c r="J127" t="s">
        <v>6586</v>
      </c>
      <c r="K127" t="s">
        <v>9450</v>
      </c>
      <c r="L127">
        <v>0</v>
      </c>
    </row>
    <row r="128" spans="1:12" ht="13.95" customHeight="1">
      <c r="B128"/>
      <c r="C128"/>
      <c r="D128" t="s">
        <v>6519</v>
      </c>
      <c r="E128" t="s">
        <v>9488</v>
      </c>
      <c r="F128">
        <v>0</v>
      </c>
      <c r="G128" t="s">
        <v>6578</v>
      </c>
      <c r="H128" t="s">
        <v>9452</v>
      </c>
      <c r="I128">
        <v>0</v>
      </c>
      <c r="J128" t="s">
        <v>6586</v>
      </c>
      <c r="K128" t="s">
        <v>9451</v>
      </c>
      <c r="L128">
        <v>0</v>
      </c>
    </row>
    <row r="129" spans="4:12" customFormat="1" ht="13.95" customHeight="1">
      <c r="D129" t="s">
        <v>6519</v>
      </c>
      <c r="E129" t="s">
        <v>9487</v>
      </c>
      <c r="F129">
        <v>0</v>
      </c>
      <c r="G129" t="s">
        <v>6578</v>
      </c>
      <c r="H129" t="s">
        <v>9453</v>
      </c>
      <c r="I129">
        <v>1.2669999999999999</v>
      </c>
      <c r="J129" t="s">
        <v>6586</v>
      </c>
      <c r="K129" t="s">
        <v>9452</v>
      </c>
      <c r="L129">
        <v>0</v>
      </c>
    </row>
    <row r="130" spans="4:12" customFormat="1" ht="13.95" customHeight="1">
      <c r="D130" t="s">
        <v>6519</v>
      </c>
      <c r="E130" t="s">
        <v>9490</v>
      </c>
      <c r="F130">
        <v>0</v>
      </c>
      <c r="G130" t="s">
        <v>6578</v>
      </c>
      <c r="H130" t="s">
        <v>9454</v>
      </c>
      <c r="I130">
        <v>0</v>
      </c>
      <c r="J130" t="s">
        <v>6586</v>
      </c>
      <c r="K130" t="s">
        <v>9453</v>
      </c>
      <c r="L130">
        <v>0</v>
      </c>
    </row>
    <row r="131" spans="4:12" customFormat="1" ht="13.95" customHeight="1">
      <c r="D131" t="s">
        <v>6519</v>
      </c>
      <c r="E131" t="s">
        <v>9489</v>
      </c>
      <c r="F131">
        <v>0</v>
      </c>
      <c r="G131" t="s">
        <v>6578</v>
      </c>
      <c r="H131" t="s">
        <v>9455</v>
      </c>
      <c r="I131">
        <v>0.98599999999999999</v>
      </c>
      <c r="J131" t="s">
        <v>6586</v>
      </c>
      <c r="K131" t="s">
        <v>9454</v>
      </c>
      <c r="L131">
        <v>0</v>
      </c>
    </row>
    <row r="132" spans="4:12" customFormat="1" ht="13.95" customHeight="1">
      <c r="D132" t="s">
        <v>6519</v>
      </c>
      <c r="E132" t="s">
        <v>9492</v>
      </c>
      <c r="F132">
        <v>0</v>
      </c>
      <c r="G132" t="s">
        <v>6578</v>
      </c>
      <c r="H132" t="s">
        <v>9456</v>
      </c>
      <c r="I132">
        <v>0</v>
      </c>
      <c r="J132" t="s">
        <v>6591</v>
      </c>
      <c r="K132" t="s">
        <v>9445</v>
      </c>
      <c r="L132">
        <v>0</v>
      </c>
    </row>
    <row r="133" spans="4:12" customFormat="1" ht="13.95" customHeight="1">
      <c r="D133" t="s">
        <v>6519</v>
      </c>
      <c r="E133" t="s">
        <v>9491</v>
      </c>
      <c r="F133">
        <v>0.129</v>
      </c>
      <c r="G133" t="s">
        <v>6578</v>
      </c>
      <c r="H133" t="s">
        <v>9457</v>
      </c>
      <c r="I133">
        <v>1.75</v>
      </c>
      <c r="J133" t="s">
        <v>6591</v>
      </c>
      <c r="K133" t="s">
        <v>9446</v>
      </c>
      <c r="L133">
        <v>0</v>
      </c>
    </row>
    <row r="134" spans="4:12" customFormat="1" ht="13.95" customHeight="1">
      <c r="D134" t="s">
        <v>6519</v>
      </c>
      <c r="E134" t="s">
        <v>9494</v>
      </c>
      <c r="F134">
        <v>0</v>
      </c>
      <c r="G134" t="s">
        <v>6578</v>
      </c>
      <c r="H134" t="s">
        <v>9458</v>
      </c>
      <c r="I134">
        <v>0</v>
      </c>
      <c r="J134" t="s">
        <v>6591</v>
      </c>
      <c r="K134" t="s">
        <v>9447</v>
      </c>
      <c r="L134">
        <v>0</v>
      </c>
    </row>
    <row r="135" spans="4:12" customFormat="1" ht="13.95" customHeight="1">
      <c r="D135" t="s">
        <v>6519</v>
      </c>
      <c r="E135" t="s">
        <v>9493</v>
      </c>
      <c r="F135">
        <v>0.252</v>
      </c>
      <c r="G135" t="s">
        <v>6578</v>
      </c>
      <c r="H135" t="s">
        <v>9459</v>
      </c>
      <c r="I135">
        <v>0.871</v>
      </c>
      <c r="J135" t="s">
        <v>6591</v>
      </c>
      <c r="K135" t="s">
        <v>9448</v>
      </c>
      <c r="L135">
        <v>0</v>
      </c>
    </row>
    <row r="136" spans="4:12" customFormat="1" ht="13.95" customHeight="1">
      <c r="D136" t="s">
        <v>6519</v>
      </c>
      <c r="E136" t="s">
        <v>9496</v>
      </c>
      <c r="F136">
        <v>0</v>
      </c>
      <c r="G136" t="s">
        <v>6578</v>
      </c>
      <c r="H136" t="s">
        <v>9460</v>
      </c>
      <c r="I136">
        <v>0</v>
      </c>
      <c r="J136" t="s">
        <v>6591</v>
      </c>
      <c r="K136" t="s">
        <v>9449</v>
      </c>
      <c r="L136">
        <v>0</v>
      </c>
    </row>
    <row r="137" spans="4:12" customFormat="1" ht="13.95" customHeight="1">
      <c r="D137" t="s">
        <v>6519</v>
      </c>
      <c r="E137" t="s">
        <v>9495</v>
      </c>
      <c r="F137">
        <v>0</v>
      </c>
      <c r="G137" t="s">
        <v>6578</v>
      </c>
      <c r="H137" t="s">
        <v>9461</v>
      </c>
      <c r="I137">
        <v>0.42499999999999999</v>
      </c>
      <c r="J137" t="s">
        <v>6591</v>
      </c>
      <c r="K137" t="s">
        <v>9450</v>
      </c>
      <c r="L137">
        <v>0</v>
      </c>
    </row>
    <row r="138" spans="4:12" customFormat="1" ht="13.95" customHeight="1">
      <c r="D138" t="s">
        <v>6520</v>
      </c>
      <c r="E138" t="s">
        <v>9445</v>
      </c>
      <c r="F138">
        <v>0</v>
      </c>
      <c r="G138" t="s">
        <v>6578</v>
      </c>
      <c r="H138" t="s">
        <v>9462</v>
      </c>
      <c r="I138">
        <v>0</v>
      </c>
      <c r="J138" t="s">
        <v>6591</v>
      </c>
      <c r="K138" t="s">
        <v>9451</v>
      </c>
      <c r="L138">
        <v>0</v>
      </c>
    </row>
    <row r="139" spans="4:12" customFormat="1" ht="13.95" customHeight="1">
      <c r="D139" t="s">
        <v>6520</v>
      </c>
      <c r="E139" t="s">
        <v>9463</v>
      </c>
      <c r="F139">
        <v>0</v>
      </c>
      <c r="G139" t="s">
        <v>6578</v>
      </c>
      <c r="H139" t="s">
        <v>9481</v>
      </c>
      <c r="I139">
        <v>0</v>
      </c>
      <c r="J139" t="s">
        <v>6591</v>
      </c>
      <c r="K139" t="s">
        <v>9452</v>
      </c>
      <c r="L139">
        <v>0.46800000000000003</v>
      </c>
    </row>
    <row r="140" spans="4:12" customFormat="1" ht="13.95" customHeight="1">
      <c r="D140" t="s">
        <v>6520</v>
      </c>
      <c r="E140" t="s">
        <v>9446</v>
      </c>
      <c r="F140">
        <v>0</v>
      </c>
      <c r="G140" t="s">
        <v>6578</v>
      </c>
      <c r="H140" t="s">
        <v>9483</v>
      </c>
      <c r="I140">
        <v>0</v>
      </c>
      <c r="J140" t="s">
        <v>6591</v>
      </c>
      <c r="K140" t="s">
        <v>9453</v>
      </c>
      <c r="L140">
        <v>0</v>
      </c>
    </row>
    <row r="141" spans="4:12" customFormat="1" ht="13.95" customHeight="1">
      <c r="D141" t="s">
        <v>6520</v>
      </c>
      <c r="E141" t="s">
        <v>9464</v>
      </c>
      <c r="F141">
        <v>0</v>
      </c>
      <c r="G141" t="s">
        <v>6578</v>
      </c>
      <c r="H141" t="s">
        <v>9486</v>
      </c>
      <c r="I141">
        <v>0</v>
      </c>
      <c r="J141" t="s">
        <v>6591</v>
      </c>
      <c r="K141" t="s">
        <v>9454</v>
      </c>
      <c r="L141">
        <v>0.40300000000000002</v>
      </c>
    </row>
    <row r="142" spans="4:12" customFormat="1" ht="13.95" customHeight="1">
      <c r="D142" t="s">
        <v>6520</v>
      </c>
      <c r="E142" t="s">
        <v>9447</v>
      </c>
      <c r="F142">
        <v>0</v>
      </c>
      <c r="G142" t="s">
        <v>6578</v>
      </c>
      <c r="H142" t="s">
        <v>9488</v>
      </c>
      <c r="I142">
        <v>0</v>
      </c>
      <c r="J142" t="s">
        <v>6591</v>
      </c>
      <c r="K142" t="s">
        <v>9455</v>
      </c>
      <c r="L142">
        <v>0</v>
      </c>
    </row>
    <row r="143" spans="4:12" customFormat="1" ht="13.95" customHeight="1">
      <c r="D143" t="s">
        <v>6520</v>
      </c>
      <c r="E143" t="s">
        <v>9465</v>
      </c>
      <c r="F143">
        <v>0</v>
      </c>
      <c r="G143" t="s">
        <v>6578</v>
      </c>
      <c r="H143" t="s">
        <v>9490</v>
      </c>
      <c r="I143">
        <v>0</v>
      </c>
      <c r="J143" t="s">
        <v>6591</v>
      </c>
      <c r="K143" t="s">
        <v>9456</v>
      </c>
      <c r="L143">
        <v>1.08</v>
      </c>
    </row>
    <row r="144" spans="4:12" customFormat="1" ht="13.95" customHeight="1">
      <c r="D144" t="s">
        <v>6520</v>
      </c>
      <c r="E144" t="s">
        <v>9448</v>
      </c>
      <c r="F144">
        <v>0</v>
      </c>
      <c r="G144" t="s">
        <v>6578</v>
      </c>
      <c r="H144" t="s">
        <v>9492</v>
      </c>
      <c r="I144">
        <v>0</v>
      </c>
      <c r="J144" t="s">
        <v>6591</v>
      </c>
      <c r="K144" t="s">
        <v>9457</v>
      </c>
      <c r="L144">
        <v>0</v>
      </c>
    </row>
    <row r="145" spans="4:12" customFormat="1" ht="13.95" customHeight="1">
      <c r="D145" t="s">
        <v>6520</v>
      </c>
      <c r="E145" t="s">
        <v>9466</v>
      </c>
      <c r="F145">
        <v>0.187</v>
      </c>
      <c r="G145" t="s">
        <v>6578</v>
      </c>
      <c r="H145" t="s">
        <v>9494</v>
      </c>
      <c r="I145">
        <v>0</v>
      </c>
      <c r="J145" t="s">
        <v>6591</v>
      </c>
      <c r="K145" t="s">
        <v>9458</v>
      </c>
      <c r="L145">
        <v>1.49</v>
      </c>
    </row>
    <row r="146" spans="4:12" customFormat="1" ht="13.95" customHeight="1">
      <c r="D146" t="s">
        <v>6520</v>
      </c>
      <c r="E146" t="s">
        <v>9449</v>
      </c>
      <c r="F146">
        <v>0</v>
      </c>
      <c r="G146" t="s">
        <v>6578</v>
      </c>
      <c r="H146" t="s">
        <v>9496</v>
      </c>
      <c r="I146">
        <v>0</v>
      </c>
      <c r="J146" t="s">
        <v>6591</v>
      </c>
      <c r="K146" t="s">
        <v>9459</v>
      </c>
      <c r="L146">
        <v>0</v>
      </c>
    </row>
    <row r="147" spans="4:12" customFormat="1" ht="13.95" customHeight="1">
      <c r="D147" t="s">
        <v>6520</v>
      </c>
      <c r="E147" t="s">
        <v>9467</v>
      </c>
      <c r="F147">
        <v>0.38900000000000001</v>
      </c>
      <c r="G147" t="s">
        <v>6578</v>
      </c>
      <c r="H147" t="s">
        <v>9497</v>
      </c>
      <c r="I147">
        <v>0</v>
      </c>
      <c r="J147" t="s">
        <v>6591</v>
      </c>
      <c r="K147" t="s">
        <v>9460</v>
      </c>
      <c r="L147">
        <v>0.32400000000000001</v>
      </c>
    </row>
    <row r="148" spans="4:12" customFormat="1" ht="13.95" customHeight="1">
      <c r="D148" t="s">
        <v>6520</v>
      </c>
      <c r="E148" t="s">
        <v>9450</v>
      </c>
      <c r="F148">
        <v>0</v>
      </c>
      <c r="G148" t="s">
        <v>6578</v>
      </c>
      <c r="H148" t="s">
        <v>9498</v>
      </c>
      <c r="I148">
        <v>0</v>
      </c>
      <c r="J148" t="s">
        <v>6591</v>
      </c>
      <c r="K148" t="s">
        <v>9461</v>
      </c>
      <c r="L148">
        <v>0</v>
      </c>
    </row>
    <row r="149" spans="4:12" customFormat="1" ht="13.95" customHeight="1">
      <c r="D149" t="s">
        <v>6520</v>
      </c>
      <c r="E149" t="s">
        <v>9468</v>
      </c>
      <c r="F149">
        <v>0.97199999999999998</v>
      </c>
      <c r="G149" t="s">
        <v>6578</v>
      </c>
      <c r="H149" t="s">
        <v>9499</v>
      </c>
      <c r="I149">
        <v>0</v>
      </c>
      <c r="J149" t="s">
        <v>6591</v>
      </c>
      <c r="K149" t="s">
        <v>9462</v>
      </c>
      <c r="L149">
        <v>0.432</v>
      </c>
    </row>
    <row r="150" spans="4:12" customFormat="1" ht="13.95" customHeight="1">
      <c r="D150" t="s">
        <v>6520</v>
      </c>
      <c r="E150" t="s">
        <v>9451</v>
      </c>
      <c r="F150">
        <v>0</v>
      </c>
      <c r="G150" t="s">
        <v>6578</v>
      </c>
      <c r="H150" t="s">
        <v>9500</v>
      </c>
      <c r="I150">
        <v>0</v>
      </c>
      <c r="J150" t="s">
        <v>6591</v>
      </c>
      <c r="K150" t="s">
        <v>9481</v>
      </c>
      <c r="L150">
        <v>0.16500000000000001</v>
      </c>
    </row>
    <row r="151" spans="4:12" customFormat="1" ht="13.95" customHeight="1">
      <c r="D151" t="s">
        <v>6520</v>
      </c>
      <c r="E151" t="s">
        <v>9469</v>
      </c>
      <c r="F151">
        <v>0.42499999999999999</v>
      </c>
      <c r="G151" t="s">
        <v>6578</v>
      </c>
      <c r="H151" t="s">
        <v>9501</v>
      </c>
      <c r="I151">
        <v>0</v>
      </c>
      <c r="J151" t="s">
        <v>6591</v>
      </c>
      <c r="K151" t="s">
        <v>9483</v>
      </c>
      <c r="L151">
        <v>0.32400000000000001</v>
      </c>
    </row>
    <row r="152" spans="4:12" customFormat="1" ht="13.95" customHeight="1">
      <c r="D152" t="s">
        <v>6520</v>
      </c>
      <c r="E152" t="s">
        <v>9452</v>
      </c>
      <c r="F152">
        <v>0</v>
      </c>
      <c r="G152" t="s">
        <v>6578</v>
      </c>
      <c r="H152" t="s">
        <v>9502</v>
      </c>
      <c r="I152">
        <v>0</v>
      </c>
      <c r="J152" t="s">
        <v>6591</v>
      </c>
      <c r="K152" t="s">
        <v>9486</v>
      </c>
      <c r="L152">
        <v>0</v>
      </c>
    </row>
    <row r="153" spans="4:12" customFormat="1" ht="13.95" customHeight="1">
      <c r="D153" t="s">
        <v>6520</v>
      </c>
      <c r="E153" t="s">
        <v>9470</v>
      </c>
      <c r="F153">
        <v>7.9000000000000001E-2</v>
      </c>
      <c r="G153" t="s">
        <v>6578</v>
      </c>
      <c r="H153" t="s">
        <v>9503</v>
      </c>
      <c r="I153">
        <v>0</v>
      </c>
      <c r="J153" t="s">
        <v>6591</v>
      </c>
      <c r="K153" t="s">
        <v>9488</v>
      </c>
      <c r="L153">
        <v>0</v>
      </c>
    </row>
    <row r="154" spans="4:12" customFormat="1" ht="13.95" customHeight="1">
      <c r="D154" t="s">
        <v>6520</v>
      </c>
      <c r="E154" t="s">
        <v>9453</v>
      </c>
      <c r="F154">
        <v>0</v>
      </c>
      <c r="G154" t="s">
        <v>6578</v>
      </c>
      <c r="H154" t="s">
        <v>9504</v>
      </c>
      <c r="I154">
        <v>0</v>
      </c>
      <c r="J154" t="s">
        <v>6591</v>
      </c>
      <c r="K154" t="s">
        <v>9490</v>
      </c>
      <c r="L154">
        <v>0.59</v>
      </c>
    </row>
    <row r="155" spans="4:12" customFormat="1" ht="13.95" customHeight="1">
      <c r="D155" t="s">
        <v>6520</v>
      </c>
      <c r="E155" t="s">
        <v>9471</v>
      </c>
      <c r="F155">
        <v>0.97099999999999997</v>
      </c>
      <c r="G155" t="s">
        <v>6578</v>
      </c>
      <c r="H155" t="s">
        <v>9505</v>
      </c>
      <c r="I155">
        <v>0</v>
      </c>
      <c r="J155" t="s">
        <v>6591</v>
      </c>
      <c r="K155" t="s">
        <v>9492</v>
      </c>
      <c r="L155">
        <v>0</v>
      </c>
    </row>
    <row r="156" spans="4:12" customFormat="1" ht="13.95" customHeight="1">
      <c r="D156" t="s">
        <v>6520</v>
      </c>
      <c r="E156" t="s">
        <v>9454</v>
      </c>
      <c r="F156">
        <v>0</v>
      </c>
      <c r="G156" t="s">
        <v>6578</v>
      </c>
      <c r="H156" t="s">
        <v>9506</v>
      </c>
      <c r="I156">
        <v>0</v>
      </c>
      <c r="J156" t="s">
        <v>6591</v>
      </c>
      <c r="K156" t="s">
        <v>9494</v>
      </c>
      <c r="L156">
        <v>0.33800000000000002</v>
      </c>
    </row>
    <row r="157" spans="4:12" customFormat="1" ht="13.95" customHeight="1">
      <c r="D157" t="s">
        <v>6520</v>
      </c>
      <c r="E157" t="s">
        <v>9472</v>
      </c>
      <c r="F157">
        <v>0.151</v>
      </c>
      <c r="G157" t="s">
        <v>6578</v>
      </c>
      <c r="H157" t="s">
        <v>9507</v>
      </c>
      <c r="I157">
        <v>0</v>
      </c>
      <c r="J157" t="s">
        <v>6591</v>
      </c>
      <c r="K157" t="s">
        <v>9496</v>
      </c>
      <c r="L157">
        <v>0.75600000000000001</v>
      </c>
    </row>
    <row r="158" spans="4:12" customFormat="1" ht="13.95" customHeight="1">
      <c r="D158" t="s">
        <v>6520</v>
      </c>
      <c r="E158" t="s">
        <v>9455</v>
      </c>
      <c r="F158">
        <v>0</v>
      </c>
      <c r="G158" t="s">
        <v>6578</v>
      </c>
      <c r="H158" t="s">
        <v>9508</v>
      </c>
      <c r="I158">
        <v>0</v>
      </c>
      <c r="J158" t="s">
        <v>6591</v>
      </c>
      <c r="K158" t="s">
        <v>9497</v>
      </c>
      <c r="L158">
        <v>0.626</v>
      </c>
    </row>
    <row r="159" spans="4:12" customFormat="1" ht="13.95" customHeight="1">
      <c r="D159" t="s">
        <v>6520</v>
      </c>
      <c r="E159" t="s">
        <v>9473</v>
      </c>
      <c r="F159">
        <v>0.59699999999999998</v>
      </c>
      <c r="G159" t="s">
        <v>6578</v>
      </c>
      <c r="H159" t="s">
        <v>9509</v>
      </c>
      <c r="I159">
        <v>0</v>
      </c>
      <c r="J159" t="s">
        <v>6591</v>
      </c>
      <c r="K159" t="s">
        <v>9498</v>
      </c>
      <c r="L159">
        <v>0.55400000000000005</v>
      </c>
    </row>
    <row r="160" spans="4:12" customFormat="1" ht="13.95" customHeight="1">
      <c r="D160" t="s">
        <v>6520</v>
      </c>
      <c r="E160" t="s">
        <v>9456</v>
      </c>
      <c r="F160">
        <v>0</v>
      </c>
      <c r="G160" t="s">
        <v>6578</v>
      </c>
      <c r="H160" t="s">
        <v>9510</v>
      </c>
      <c r="I160">
        <v>0</v>
      </c>
      <c r="J160" t="s">
        <v>6591</v>
      </c>
      <c r="K160" t="s">
        <v>9499</v>
      </c>
      <c r="L160">
        <v>0.73399999999999999</v>
      </c>
    </row>
    <row r="161" spans="4:12" customFormat="1" ht="13.95" customHeight="1">
      <c r="D161" t="s">
        <v>6520</v>
      </c>
      <c r="E161" t="s">
        <v>9474</v>
      </c>
      <c r="F161">
        <v>0.60499999999999998</v>
      </c>
      <c r="G161" t="s">
        <v>6578</v>
      </c>
      <c r="H161" t="s">
        <v>9511</v>
      </c>
      <c r="I161">
        <v>0</v>
      </c>
      <c r="J161" t="s">
        <v>6591</v>
      </c>
      <c r="K161" t="s">
        <v>9500</v>
      </c>
      <c r="L161">
        <v>1.0149999999999999</v>
      </c>
    </row>
    <row r="162" spans="4:12" customFormat="1" ht="13.95" customHeight="1">
      <c r="D162" t="s">
        <v>6520</v>
      </c>
      <c r="E162" t="s">
        <v>9457</v>
      </c>
      <c r="F162">
        <v>0</v>
      </c>
      <c r="G162" t="s">
        <v>6578</v>
      </c>
      <c r="H162" t="s">
        <v>9512</v>
      </c>
      <c r="I162">
        <v>0</v>
      </c>
      <c r="J162" t="s">
        <v>6591</v>
      </c>
      <c r="K162" t="s">
        <v>9501</v>
      </c>
      <c r="L162">
        <v>0.88600000000000001</v>
      </c>
    </row>
    <row r="163" spans="4:12" customFormat="1" ht="13.95" customHeight="1">
      <c r="D163" t="s">
        <v>6520</v>
      </c>
      <c r="E163" t="s">
        <v>9475</v>
      </c>
      <c r="F163">
        <v>0</v>
      </c>
      <c r="G163" t="s">
        <v>6578</v>
      </c>
      <c r="H163" t="s">
        <v>9513</v>
      </c>
      <c r="I163">
        <v>0</v>
      </c>
      <c r="J163" t="s">
        <v>6591</v>
      </c>
      <c r="K163" t="s">
        <v>9502</v>
      </c>
      <c r="L163">
        <v>0</v>
      </c>
    </row>
    <row r="164" spans="4:12" customFormat="1" ht="13.95" customHeight="1">
      <c r="D164" t="s">
        <v>6520</v>
      </c>
      <c r="E164" t="s">
        <v>9458</v>
      </c>
      <c r="F164">
        <v>0</v>
      </c>
      <c r="G164" t="s">
        <v>6578</v>
      </c>
      <c r="H164" t="s">
        <v>9514</v>
      </c>
      <c r="I164">
        <v>0</v>
      </c>
      <c r="J164" t="s">
        <v>6591</v>
      </c>
      <c r="K164" t="s">
        <v>9503</v>
      </c>
      <c r="L164">
        <v>0</v>
      </c>
    </row>
    <row r="165" spans="4:12" customFormat="1" ht="13.95" customHeight="1">
      <c r="D165" t="s">
        <v>6520</v>
      </c>
      <c r="E165" t="s">
        <v>9476</v>
      </c>
      <c r="F165">
        <v>0</v>
      </c>
      <c r="G165" t="s">
        <v>6578</v>
      </c>
      <c r="H165" t="s">
        <v>9515</v>
      </c>
      <c r="I165">
        <v>0</v>
      </c>
      <c r="J165" t="s">
        <v>6591</v>
      </c>
      <c r="K165" t="s">
        <v>9504</v>
      </c>
      <c r="L165">
        <v>0</v>
      </c>
    </row>
    <row r="166" spans="4:12" customFormat="1" ht="13.95" customHeight="1">
      <c r="D166" t="s">
        <v>6520</v>
      </c>
      <c r="E166" t="s">
        <v>9459</v>
      </c>
      <c r="F166">
        <v>0</v>
      </c>
      <c r="G166" t="s">
        <v>6578</v>
      </c>
      <c r="H166" t="s">
        <v>9516</v>
      </c>
      <c r="I166">
        <v>0</v>
      </c>
      <c r="J166" t="s">
        <v>6591</v>
      </c>
      <c r="K166" t="s">
        <v>9505</v>
      </c>
      <c r="L166">
        <v>0.73399999999999999</v>
      </c>
    </row>
    <row r="167" spans="4:12" customFormat="1" ht="13.95" customHeight="1">
      <c r="D167" t="s">
        <v>6520</v>
      </c>
      <c r="E167" t="s">
        <v>9477</v>
      </c>
      <c r="F167">
        <v>0</v>
      </c>
      <c r="G167" t="s">
        <v>6578</v>
      </c>
      <c r="H167" t="s">
        <v>9517</v>
      </c>
      <c r="I167">
        <v>0</v>
      </c>
      <c r="J167" t="s">
        <v>6591</v>
      </c>
      <c r="K167" t="s">
        <v>9506</v>
      </c>
      <c r="L167">
        <v>0.85</v>
      </c>
    </row>
    <row r="168" spans="4:12" customFormat="1" ht="13.95" customHeight="1">
      <c r="D168" t="s">
        <v>6520</v>
      </c>
      <c r="E168" t="s">
        <v>9460</v>
      </c>
      <c r="F168">
        <v>0</v>
      </c>
      <c r="G168" t="s">
        <v>6578</v>
      </c>
      <c r="H168" t="s">
        <v>9518</v>
      </c>
      <c r="I168">
        <v>0</v>
      </c>
      <c r="J168" t="s">
        <v>6591</v>
      </c>
      <c r="K168" t="s">
        <v>9507</v>
      </c>
      <c r="L168">
        <v>1.3180000000000001</v>
      </c>
    </row>
    <row r="169" spans="4:12" customFormat="1" ht="13.95" customHeight="1">
      <c r="D169" t="s">
        <v>6520</v>
      </c>
      <c r="E169" t="s">
        <v>9478</v>
      </c>
      <c r="F169">
        <v>0</v>
      </c>
      <c r="G169" t="s">
        <v>6578</v>
      </c>
      <c r="H169" t="s">
        <v>9519</v>
      </c>
      <c r="I169">
        <v>0</v>
      </c>
      <c r="J169" t="s">
        <v>6591</v>
      </c>
      <c r="K169" t="s">
        <v>9508</v>
      </c>
      <c r="L169">
        <v>0.44600000000000001</v>
      </c>
    </row>
    <row r="170" spans="4:12" customFormat="1" ht="13.95" customHeight="1">
      <c r="D170" t="s">
        <v>6520</v>
      </c>
      <c r="E170" t="s">
        <v>9461</v>
      </c>
      <c r="F170">
        <v>0</v>
      </c>
      <c r="G170" t="s">
        <v>6578</v>
      </c>
      <c r="H170" t="s">
        <v>9520</v>
      </c>
      <c r="I170">
        <v>0</v>
      </c>
      <c r="J170" t="s">
        <v>6591</v>
      </c>
      <c r="K170" t="s">
        <v>9509</v>
      </c>
      <c r="L170">
        <v>0.92800000000000005</v>
      </c>
    </row>
    <row r="171" spans="4:12" customFormat="1" ht="13.95" customHeight="1">
      <c r="D171" t="s">
        <v>6520</v>
      </c>
      <c r="E171" t="s">
        <v>9479</v>
      </c>
      <c r="F171">
        <v>0.35899999999999999</v>
      </c>
      <c r="G171" t="s">
        <v>6579</v>
      </c>
      <c r="H171" t="s">
        <v>9445</v>
      </c>
      <c r="I171">
        <v>1.008</v>
      </c>
      <c r="J171" t="s">
        <v>6591</v>
      </c>
      <c r="K171" t="s">
        <v>9510</v>
      </c>
      <c r="L171">
        <v>1.073</v>
      </c>
    </row>
    <row r="172" spans="4:12" customFormat="1" ht="13.95" customHeight="1">
      <c r="D172" t="s">
        <v>6520</v>
      </c>
      <c r="E172" t="s">
        <v>9462</v>
      </c>
      <c r="F172">
        <v>0</v>
      </c>
      <c r="G172" t="s">
        <v>6579</v>
      </c>
      <c r="H172" t="s">
        <v>9446</v>
      </c>
      <c r="I172">
        <v>0</v>
      </c>
      <c r="J172" t="s">
        <v>6587</v>
      </c>
      <c r="K172" t="s">
        <v>9445</v>
      </c>
      <c r="L172">
        <v>1.08</v>
      </c>
    </row>
    <row r="173" spans="4:12" customFormat="1" ht="13.95" customHeight="1">
      <c r="D173" t="s">
        <v>6520</v>
      </c>
      <c r="E173" t="s">
        <v>9480</v>
      </c>
      <c r="F173">
        <v>0.36</v>
      </c>
      <c r="G173" t="s">
        <v>6579</v>
      </c>
      <c r="H173" t="s">
        <v>9447</v>
      </c>
      <c r="I173">
        <v>1.2749999999999999</v>
      </c>
      <c r="J173" t="s">
        <v>6587</v>
      </c>
      <c r="K173" t="s">
        <v>9446</v>
      </c>
      <c r="L173">
        <v>1.748</v>
      </c>
    </row>
    <row r="174" spans="4:12" customFormat="1" ht="13.95" customHeight="1">
      <c r="D174" t="s">
        <v>6520</v>
      </c>
      <c r="E174" t="s">
        <v>9481</v>
      </c>
      <c r="F174">
        <v>0</v>
      </c>
      <c r="G174" t="s">
        <v>6579</v>
      </c>
      <c r="H174" t="s">
        <v>9448</v>
      </c>
      <c r="I174">
        <v>0</v>
      </c>
      <c r="J174" t="s">
        <v>6587</v>
      </c>
      <c r="K174" t="s">
        <v>9447</v>
      </c>
      <c r="L174">
        <v>0.108</v>
      </c>
    </row>
    <row r="175" spans="4:12" customFormat="1" ht="13.95" customHeight="1">
      <c r="D175" t="s">
        <v>6520</v>
      </c>
      <c r="E175" t="s">
        <v>9482</v>
      </c>
      <c r="F175">
        <v>0.33100000000000002</v>
      </c>
      <c r="G175" t="s">
        <v>6579</v>
      </c>
      <c r="H175" t="s">
        <v>9449</v>
      </c>
      <c r="I175">
        <v>0.216</v>
      </c>
      <c r="J175" t="s">
        <v>6587</v>
      </c>
      <c r="K175" t="s">
        <v>9448</v>
      </c>
      <c r="L175">
        <v>0</v>
      </c>
    </row>
    <row r="176" spans="4:12" customFormat="1" ht="13.95" customHeight="1">
      <c r="D176" t="s">
        <v>6520</v>
      </c>
      <c r="E176" t="s">
        <v>9484</v>
      </c>
      <c r="F176">
        <v>0.36</v>
      </c>
      <c r="G176" t="s">
        <v>6579</v>
      </c>
      <c r="H176" t="s">
        <v>9450</v>
      </c>
      <c r="I176">
        <v>0</v>
      </c>
      <c r="J176" t="s">
        <v>6587</v>
      </c>
      <c r="K176" t="s">
        <v>9449</v>
      </c>
      <c r="L176">
        <v>0</v>
      </c>
    </row>
    <row r="177" spans="4:12" customFormat="1" ht="13.95" customHeight="1">
      <c r="D177" t="s">
        <v>6520</v>
      </c>
      <c r="E177" t="s">
        <v>9483</v>
      </c>
      <c r="F177">
        <v>0.92100000000000004</v>
      </c>
      <c r="G177" t="s">
        <v>6579</v>
      </c>
      <c r="H177" t="s">
        <v>9451</v>
      </c>
      <c r="I177">
        <v>0.95699999999999996</v>
      </c>
      <c r="J177" t="s">
        <v>6587</v>
      </c>
      <c r="K177" t="s">
        <v>9450</v>
      </c>
      <c r="L177">
        <v>0</v>
      </c>
    </row>
    <row r="178" spans="4:12" customFormat="1" ht="13.95" customHeight="1">
      <c r="D178" t="s">
        <v>6520</v>
      </c>
      <c r="E178" t="s">
        <v>9485</v>
      </c>
      <c r="F178">
        <v>0.24399999999999999</v>
      </c>
      <c r="G178" t="s">
        <v>6579</v>
      </c>
      <c r="H178" t="s">
        <v>9452</v>
      </c>
      <c r="I178">
        <v>0</v>
      </c>
      <c r="J178" t="s">
        <v>6587</v>
      </c>
      <c r="K178" t="s">
        <v>9451</v>
      </c>
      <c r="L178">
        <v>0.223</v>
      </c>
    </row>
    <row r="179" spans="4:12" customFormat="1" ht="13.95" customHeight="1">
      <c r="D179" t="s">
        <v>6520</v>
      </c>
      <c r="E179" t="s">
        <v>9486</v>
      </c>
      <c r="F179">
        <v>0.46</v>
      </c>
      <c r="G179" t="s">
        <v>6579</v>
      </c>
      <c r="H179" t="s">
        <v>9453</v>
      </c>
      <c r="I179">
        <v>1.347</v>
      </c>
      <c r="J179" t="s">
        <v>6587</v>
      </c>
      <c r="K179" t="s">
        <v>9452</v>
      </c>
      <c r="L179">
        <v>1.534</v>
      </c>
    </row>
    <row r="180" spans="4:12" customFormat="1" ht="13.95" customHeight="1">
      <c r="D180" t="s">
        <v>6520</v>
      </c>
      <c r="E180" t="s">
        <v>9487</v>
      </c>
      <c r="F180">
        <v>0.30199999999999999</v>
      </c>
      <c r="G180" t="s">
        <v>6579</v>
      </c>
      <c r="H180" t="s">
        <v>9454</v>
      </c>
      <c r="I180">
        <v>0</v>
      </c>
      <c r="J180" t="s">
        <v>6587</v>
      </c>
      <c r="K180" t="s">
        <v>9453</v>
      </c>
      <c r="L180">
        <v>0.34499999999999997</v>
      </c>
    </row>
    <row r="181" spans="4:12" customFormat="1" ht="13.95" customHeight="1">
      <c r="D181" t="s">
        <v>6520</v>
      </c>
      <c r="E181" t="s">
        <v>9488</v>
      </c>
      <c r="F181">
        <v>0</v>
      </c>
      <c r="G181" t="s">
        <v>6579</v>
      </c>
      <c r="H181" t="s">
        <v>9455</v>
      </c>
      <c r="I181">
        <v>1.232</v>
      </c>
      <c r="J181" t="s">
        <v>6587</v>
      </c>
      <c r="K181" t="s">
        <v>9454</v>
      </c>
      <c r="L181">
        <v>0.115</v>
      </c>
    </row>
    <row r="182" spans="4:12" customFormat="1" ht="13.95" customHeight="1">
      <c r="D182" t="s">
        <v>6520</v>
      </c>
      <c r="E182" t="s">
        <v>9489</v>
      </c>
      <c r="F182">
        <v>0.70599999999999996</v>
      </c>
      <c r="G182" t="s">
        <v>6579</v>
      </c>
      <c r="H182" t="s">
        <v>9456</v>
      </c>
      <c r="I182">
        <v>0</v>
      </c>
      <c r="J182" t="s">
        <v>6587</v>
      </c>
      <c r="K182" t="s">
        <v>9455</v>
      </c>
      <c r="L182">
        <v>0</v>
      </c>
    </row>
    <row r="183" spans="4:12" customFormat="1" ht="13.95" customHeight="1">
      <c r="D183" t="s">
        <v>6520</v>
      </c>
      <c r="E183" t="s">
        <v>9490</v>
      </c>
      <c r="F183">
        <v>0.749</v>
      </c>
      <c r="G183" t="s">
        <v>6579</v>
      </c>
      <c r="H183" t="s">
        <v>9457</v>
      </c>
      <c r="I183">
        <v>1.3109999999999999</v>
      </c>
      <c r="J183" t="s">
        <v>6587</v>
      </c>
      <c r="K183" t="s">
        <v>9456</v>
      </c>
      <c r="L183">
        <v>0.91400000000000003</v>
      </c>
    </row>
    <row r="184" spans="4:12" customFormat="1" ht="13.95" customHeight="1">
      <c r="D184" t="s">
        <v>6520</v>
      </c>
      <c r="E184" t="s">
        <v>9491</v>
      </c>
      <c r="F184">
        <v>0.64100000000000001</v>
      </c>
      <c r="G184" t="s">
        <v>6579</v>
      </c>
      <c r="H184" t="s">
        <v>9458</v>
      </c>
      <c r="I184">
        <v>0</v>
      </c>
      <c r="J184" t="s">
        <v>6587</v>
      </c>
      <c r="K184" t="s">
        <v>9457</v>
      </c>
      <c r="L184">
        <v>0.54</v>
      </c>
    </row>
    <row r="185" spans="4:12" customFormat="1" ht="13.95" customHeight="1">
      <c r="D185" t="s">
        <v>6520</v>
      </c>
      <c r="E185" t="s">
        <v>9492</v>
      </c>
      <c r="F185">
        <v>0</v>
      </c>
      <c r="G185" t="s">
        <v>6579</v>
      </c>
      <c r="H185" t="s">
        <v>9459</v>
      </c>
      <c r="I185">
        <v>0.79900000000000004</v>
      </c>
      <c r="J185" t="s">
        <v>6587</v>
      </c>
      <c r="K185" t="s">
        <v>9458</v>
      </c>
      <c r="L185">
        <v>3.343</v>
      </c>
    </row>
    <row r="186" spans="4:12" customFormat="1" ht="13.95" customHeight="1">
      <c r="D186" t="s">
        <v>6520</v>
      </c>
      <c r="E186" t="s">
        <v>9493</v>
      </c>
      <c r="F186">
        <v>0.86399999999999999</v>
      </c>
      <c r="G186" t="s">
        <v>6579</v>
      </c>
      <c r="H186" t="s">
        <v>9460</v>
      </c>
      <c r="I186">
        <v>0</v>
      </c>
      <c r="J186" t="s">
        <v>6587</v>
      </c>
      <c r="K186" t="s">
        <v>9459</v>
      </c>
      <c r="L186">
        <v>0.374</v>
      </c>
    </row>
    <row r="187" spans="4:12" customFormat="1" ht="13.95" customHeight="1">
      <c r="D187" t="s">
        <v>6520</v>
      </c>
      <c r="E187" t="s">
        <v>9494</v>
      </c>
      <c r="F187">
        <v>0.90700000000000003</v>
      </c>
      <c r="G187" t="s">
        <v>6579</v>
      </c>
      <c r="H187" t="s">
        <v>9461</v>
      </c>
      <c r="I187">
        <v>0.38100000000000001</v>
      </c>
      <c r="J187" t="s">
        <v>6587</v>
      </c>
      <c r="K187" t="s">
        <v>9460</v>
      </c>
      <c r="L187">
        <v>0</v>
      </c>
    </row>
    <row r="188" spans="4:12" customFormat="1" ht="13.95" customHeight="1">
      <c r="D188" t="s">
        <v>6520</v>
      </c>
      <c r="E188" t="s">
        <v>9495</v>
      </c>
      <c r="F188">
        <v>0.97899999999999998</v>
      </c>
      <c r="G188" t="s">
        <v>6579</v>
      </c>
      <c r="H188" t="s">
        <v>9462</v>
      </c>
      <c r="I188">
        <v>0</v>
      </c>
      <c r="J188" t="s">
        <v>6587</v>
      </c>
      <c r="K188" t="s">
        <v>9461</v>
      </c>
      <c r="L188">
        <v>0.871</v>
      </c>
    </row>
    <row r="189" spans="4:12" customFormat="1" ht="13.95" customHeight="1">
      <c r="D189" t="s">
        <v>6520</v>
      </c>
      <c r="E189" t="s">
        <v>9496</v>
      </c>
      <c r="F189">
        <v>1.2889999999999999</v>
      </c>
      <c r="G189" t="s">
        <v>6579</v>
      </c>
      <c r="H189" t="s">
        <v>9481</v>
      </c>
      <c r="I189">
        <v>0</v>
      </c>
      <c r="J189" t="s">
        <v>6587</v>
      </c>
      <c r="K189" t="s">
        <v>9462</v>
      </c>
      <c r="L189">
        <v>0</v>
      </c>
    </row>
    <row r="190" spans="4:12" customFormat="1" ht="13.95" customHeight="1">
      <c r="D190" t="s">
        <v>6521</v>
      </c>
      <c r="E190" t="s">
        <v>9445</v>
      </c>
      <c r="F190">
        <v>0</v>
      </c>
      <c r="G190" t="s">
        <v>6579</v>
      </c>
      <c r="H190" t="s">
        <v>9483</v>
      </c>
      <c r="I190">
        <v>0</v>
      </c>
      <c r="J190" t="s">
        <v>6587</v>
      </c>
      <c r="K190" t="s">
        <v>9481</v>
      </c>
      <c r="L190">
        <v>0</v>
      </c>
    </row>
    <row r="191" spans="4:12" customFormat="1" ht="13.95" customHeight="1">
      <c r="D191" t="s">
        <v>6521</v>
      </c>
      <c r="E191" t="s">
        <v>9463</v>
      </c>
      <c r="F191">
        <v>0</v>
      </c>
      <c r="G191" t="s">
        <v>6579</v>
      </c>
      <c r="H191" t="s">
        <v>9486</v>
      </c>
      <c r="I191">
        <v>0</v>
      </c>
      <c r="J191" t="s">
        <v>6587</v>
      </c>
      <c r="K191" t="s">
        <v>9483</v>
      </c>
      <c r="L191">
        <v>0.89300000000000002</v>
      </c>
    </row>
    <row r="192" spans="4:12" customFormat="1" ht="13.95" customHeight="1">
      <c r="D192" t="s">
        <v>6521</v>
      </c>
      <c r="E192" t="s">
        <v>9446</v>
      </c>
      <c r="F192">
        <v>0</v>
      </c>
      <c r="G192" t="s">
        <v>6579</v>
      </c>
      <c r="H192" t="s">
        <v>9488</v>
      </c>
      <c r="I192">
        <v>0</v>
      </c>
      <c r="J192" t="s">
        <v>6587</v>
      </c>
      <c r="K192" t="s">
        <v>9486</v>
      </c>
      <c r="L192">
        <v>0</v>
      </c>
    </row>
    <row r="193" spans="4:12" customFormat="1" ht="13.95" customHeight="1">
      <c r="D193" t="s">
        <v>6521</v>
      </c>
      <c r="E193" t="s">
        <v>9464</v>
      </c>
      <c r="F193">
        <v>0</v>
      </c>
      <c r="G193" t="s">
        <v>6579</v>
      </c>
      <c r="H193" t="s">
        <v>9490</v>
      </c>
      <c r="I193">
        <v>0</v>
      </c>
      <c r="J193" t="s">
        <v>6587</v>
      </c>
      <c r="K193" t="s">
        <v>9488</v>
      </c>
      <c r="L193">
        <v>0</v>
      </c>
    </row>
    <row r="194" spans="4:12" customFormat="1" ht="13.95" customHeight="1">
      <c r="D194" t="s">
        <v>6521</v>
      </c>
      <c r="E194" t="s">
        <v>9447</v>
      </c>
      <c r="F194">
        <v>0</v>
      </c>
      <c r="G194" t="s">
        <v>6579</v>
      </c>
      <c r="H194" t="s">
        <v>9492</v>
      </c>
      <c r="I194">
        <v>0</v>
      </c>
      <c r="J194" t="s">
        <v>6587</v>
      </c>
      <c r="K194" t="s">
        <v>9490</v>
      </c>
      <c r="L194">
        <v>0</v>
      </c>
    </row>
    <row r="195" spans="4:12" customFormat="1" ht="13.95" customHeight="1">
      <c r="D195" t="s">
        <v>6521</v>
      </c>
      <c r="E195" t="s">
        <v>9465</v>
      </c>
      <c r="F195">
        <v>0</v>
      </c>
      <c r="G195" t="s">
        <v>6579</v>
      </c>
      <c r="H195" t="s">
        <v>9494</v>
      </c>
      <c r="I195">
        <v>0</v>
      </c>
      <c r="J195" t="s">
        <v>6587</v>
      </c>
      <c r="K195" t="s">
        <v>9492</v>
      </c>
      <c r="L195">
        <v>0.63300000000000001</v>
      </c>
    </row>
    <row r="196" spans="4:12" customFormat="1" ht="13.95" customHeight="1">
      <c r="D196" t="s">
        <v>6521</v>
      </c>
      <c r="E196" t="s">
        <v>9448</v>
      </c>
      <c r="F196">
        <v>0</v>
      </c>
      <c r="G196" t="s">
        <v>6579</v>
      </c>
      <c r="H196" t="s">
        <v>9496</v>
      </c>
      <c r="I196">
        <v>0</v>
      </c>
      <c r="J196" t="s">
        <v>6587</v>
      </c>
      <c r="K196" t="s">
        <v>9494</v>
      </c>
      <c r="L196">
        <v>0</v>
      </c>
    </row>
    <row r="197" spans="4:12" customFormat="1" ht="13.95" customHeight="1">
      <c r="D197" t="s">
        <v>6521</v>
      </c>
      <c r="E197" t="s">
        <v>9466</v>
      </c>
      <c r="F197">
        <v>0.187</v>
      </c>
      <c r="G197" t="s">
        <v>6579</v>
      </c>
      <c r="H197" t="s">
        <v>9497</v>
      </c>
      <c r="I197">
        <v>0</v>
      </c>
      <c r="J197" t="s">
        <v>6587</v>
      </c>
      <c r="K197" t="s">
        <v>9496</v>
      </c>
      <c r="L197">
        <v>0.05</v>
      </c>
    </row>
    <row r="198" spans="4:12" customFormat="1" ht="13.95" customHeight="1">
      <c r="D198" t="s">
        <v>6521</v>
      </c>
      <c r="E198" t="s">
        <v>9449</v>
      </c>
      <c r="F198">
        <v>0</v>
      </c>
      <c r="G198" t="s">
        <v>6579</v>
      </c>
      <c r="H198" t="s">
        <v>9498</v>
      </c>
      <c r="I198">
        <v>0</v>
      </c>
      <c r="J198" t="s">
        <v>6587</v>
      </c>
      <c r="K198" t="s">
        <v>9497</v>
      </c>
      <c r="L198">
        <v>1.3169999999999999</v>
      </c>
    </row>
    <row r="199" spans="4:12" customFormat="1" ht="13.95" customHeight="1">
      <c r="D199" t="s">
        <v>6521</v>
      </c>
      <c r="E199" t="s">
        <v>9467</v>
      </c>
      <c r="F199">
        <v>0.45300000000000001</v>
      </c>
      <c r="G199" t="s">
        <v>6579</v>
      </c>
      <c r="H199" t="s">
        <v>9499</v>
      </c>
      <c r="I199">
        <v>0</v>
      </c>
      <c r="J199" t="s">
        <v>6587</v>
      </c>
      <c r="K199" t="s">
        <v>9498</v>
      </c>
      <c r="L199">
        <v>0</v>
      </c>
    </row>
    <row r="200" spans="4:12" customFormat="1" ht="13.95" customHeight="1">
      <c r="D200" t="s">
        <v>6521</v>
      </c>
      <c r="E200" t="s">
        <v>9450</v>
      </c>
      <c r="F200">
        <v>0</v>
      </c>
      <c r="G200" t="s">
        <v>6579</v>
      </c>
      <c r="H200" t="s">
        <v>9500</v>
      </c>
      <c r="I200">
        <v>0</v>
      </c>
      <c r="J200" t="s">
        <v>6587</v>
      </c>
      <c r="K200" t="s">
        <v>9499</v>
      </c>
      <c r="L200">
        <v>0</v>
      </c>
    </row>
    <row r="201" spans="4:12" customFormat="1" ht="13.95" customHeight="1">
      <c r="D201" t="s">
        <v>6521</v>
      </c>
      <c r="E201" t="s">
        <v>9468</v>
      </c>
      <c r="F201">
        <v>0.95699999999999996</v>
      </c>
      <c r="G201" t="s">
        <v>6579</v>
      </c>
      <c r="H201" t="s">
        <v>9501</v>
      </c>
      <c r="I201">
        <v>0</v>
      </c>
      <c r="J201" t="s">
        <v>6587</v>
      </c>
      <c r="K201" t="s">
        <v>9500</v>
      </c>
      <c r="L201">
        <v>0.55400000000000005</v>
      </c>
    </row>
    <row r="202" spans="4:12" customFormat="1" ht="13.95" customHeight="1">
      <c r="D202" t="s">
        <v>6521</v>
      </c>
      <c r="E202" t="s">
        <v>9451</v>
      </c>
      <c r="F202">
        <v>0</v>
      </c>
      <c r="G202" t="s">
        <v>6579</v>
      </c>
      <c r="H202" t="s">
        <v>9502</v>
      </c>
      <c r="I202">
        <v>0</v>
      </c>
      <c r="J202" t="s">
        <v>6587</v>
      </c>
      <c r="K202" t="s">
        <v>9501</v>
      </c>
      <c r="L202">
        <v>0</v>
      </c>
    </row>
    <row r="203" spans="4:12" customFormat="1" ht="13.95" customHeight="1">
      <c r="D203" t="s">
        <v>6521</v>
      </c>
      <c r="E203" t="s">
        <v>9469</v>
      </c>
      <c r="F203">
        <v>0.439</v>
      </c>
      <c r="G203" t="s">
        <v>6579</v>
      </c>
      <c r="H203" t="s">
        <v>9503</v>
      </c>
      <c r="I203">
        <v>0</v>
      </c>
      <c r="J203" t="s">
        <v>6587</v>
      </c>
      <c r="K203" t="s">
        <v>9502</v>
      </c>
      <c r="L203">
        <v>0.78500000000000003</v>
      </c>
    </row>
    <row r="204" spans="4:12" customFormat="1" ht="13.95" customHeight="1">
      <c r="D204" t="s">
        <v>6521</v>
      </c>
      <c r="E204" t="s">
        <v>9452</v>
      </c>
      <c r="F204">
        <v>0</v>
      </c>
      <c r="G204" t="s">
        <v>6579</v>
      </c>
      <c r="H204" t="s">
        <v>9504</v>
      </c>
      <c r="I204">
        <v>0</v>
      </c>
      <c r="J204" t="s">
        <v>6587</v>
      </c>
      <c r="K204" t="s">
        <v>9503</v>
      </c>
      <c r="L204">
        <v>0</v>
      </c>
    </row>
    <row r="205" spans="4:12" customFormat="1" ht="13.95" customHeight="1">
      <c r="D205" t="s">
        <v>6521</v>
      </c>
      <c r="E205" t="s">
        <v>9470</v>
      </c>
      <c r="F205">
        <v>0.28699999999999998</v>
      </c>
      <c r="G205" t="s">
        <v>6579</v>
      </c>
      <c r="H205" t="s">
        <v>9505</v>
      </c>
      <c r="I205">
        <v>0</v>
      </c>
      <c r="J205" t="s">
        <v>6587</v>
      </c>
      <c r="K205" t="s">
        <v>9504</v>
      </c>
      <c r="L205">
        <v>0</v>
      </c>
    </row>
    <row r="206" spans="4:12" customFormat="1" ht="13.95" customHeight="1">
      <c r="D206" t="s">
        <v>6521</v>
      </c>
      <c r="E206" t="s">
        <v>9453</v>
      </c>
      <c r="F206">
        <v>0</v>
      </c>
      <c r="G206" t="s">
        <v>6579</v>
      </c>
      <c r="H206" t="s">
        <v>9506</v>
      </c>
      <c r="I206">
        <v>0</v>
      </c>
      <c r="J206" t="s">
        <v>6587</v>
      </c>
      <c r="K206" t="s">
        <v>9505</v>
      </c>
      <c r="L206">
        <v>0.46100000000000002</v>
      </c>
    </row>
    <row r="207" spans="4:12" customFormat="1" ht="13.95" customHeight="1">
      <c r="D207" t="s">
        <v>6521</v>
      </c>
      <c r="E207" t="s">
        <v>9471</v>
      </c>
      <c r="F207">
        <v>0.95</v>
      </c>
      <c r="G207" t="s">
        <v>6579</v>
      </c>
      <c r="H207" t="s">
        <v>9507</v>
      </c>
      <c r="I207">
        <v>0</v>
      </c>
      <c r="J207" t="s">
        <v>6587</v>
      </c>
      <c r="K207" t="s">
        <v>9506</v>
      </c>
      <c r="L207">
        <v>1.641</v>
      </c>
    </row>
    <row r="208" spans="4:12" customFormat="1" ht="13.95" customHeight="1">
      <c r="D208" t="s">
        <v>6521</v>
      </c>
      <c r="E208" t="s">
        <v>9454</v>
      </c>
      <c r="F208">
        <v>0</v>
      </c>
      <c r="G208" t="s">
        <v>6579</v>
      </c>
      <c r="H208" t="s">
        <v>9508</v>
      </c>
      <c r="I208">
        <v>0</v>
      </c>
      <c r="J208" t="s">
        <v>6587</v>
      </c>
      <c r="K208" t="s">
        <v>9507</v>
      </c>
      <c r="L208">
        <v>1.0580000000000001</v>
      </c>
    </row>
    <row r="209" spans="4:12" customFormat="1" ht="13.95" customHeight="1">
      <c r="D209" t="s">
        <v>6521</v>
      </c>
      <c r="E209" t="s">
        <v>9472</v>
      </c>
      <c r="F209">
        <v>0.16500000000000001</v>
      </c>
      <c r="G209" t="s">
        <v>6579</v>
      </c>
      <c r="H209" t="s">
        <v>9509</v>
      </c>
      <c r="I209">
        <v>0</v>
      </c>
      <c r="J209" t="s">
        <v>6587</v>
      </c>
      <c r="K209" t="s">
        <v>9508</v>
      </c>
      <c r="L209">
        <v>1.0940000000000001</v>
      </c>
    </row>
    <row r="210" spans="4:12" customFormat="1" ht="13.95" customHeight="1">
      <c r="D210" t="s">
        <v>6521</v>
      </c>
      <c r="E210" t="s">
        <v>9455</v>
      </c>
      <c r="F210">
        <v>0</v>
      </c>
      <c r="G210" t="s">
        <v>6579</v>
      </c>
      <c r="H210" t="s">
        <v>9510</v>
      </c>
      <c r="I210">
        <v>0</v>
      </c>
      <c r="J210" t="s">
        <v>6587</v>
      </c>
      <c r="K210" t="s">
        <v>9509</v>
      </c>
      <c r="L210">
        <v>1.6989999999999998</v>
      </c>
    </row>
    <row r="211" spans="4:12" customFormat="1" ht="13.95" customHeight="1">
      <c r="D211" t="s">
        <v>6521</v>
      </c>
      <c r="E211" t="s">
        <v>9473</v>
      </c>
      <c r="F211">
        <v>0.38900000000000001</v>
      </c>
      <c r="G211" t="s">
        <v>6579</v>
      </c>
      <c r="H211" t="s">
        <v>9511</v>
      </c>
      <c r="I211">
        <v>0</v>
      </c>
      <c r="J211" t="s">
        <v>6587</v>
      </c>
      <c r="K211" t="s">
        <v>9510</v>
      </c>
      <c r="L211">
        <v>0</v>
      </c>
    </row>
    <row r="212" spans="4:12" customFormat="1" ht="13.95" customHeight="1">
      <c r="D212" t="s">
        <v>6521</v>
      </c>
      <c r="E212" t="s">
        <v>9456</v>
      </c>
      <c r="F212">
        <v>0</v>
      </c>
      <c r="G212" t="s">
        <v>6579</v>
      </c>
      <c r="H212" t="s">
        <v>9512</v>
      </c>
      <c r="I212">
        <v>0</v>
      </c>
      <c r="J212" t="s">
        <v>6590</v>
      </c>
      <c r="K212" t="s">
        <v>9445</v>
      </c>
      <c r="L212">
        <v>0.23699999999999999</v>
      </c>
    </row>
    <row r="213" spans="4:12" customFormat="1" ht="13.95" customHeight="1">
      <c r="D213" t="s">
        <v>6521</v>
      </c>
      <c r="E213" t="s">
        <v>9474</v>
      </c>
      <c r="F213">
        <v>0.94299999999999995</v>
      </c>
      <c r="G213" t="s">
        <v>6579</v>
      </c>
      <c r="H213" t="s">
        <v>9513</v>
      </c>
      <c r="I213">
        <v>0</v>
      </c>
      <c r="J213" t="s">
        <v>6590</v>
      </c>
      <c r="K213" t="s">
        <v>9446</v>
      </c>
      <c r="L213">
        <v>0.30199999999999999</v>
      </c>
    </row>
    <row r="214" spans="4:12" customFormat="1" ht="13.95" customHeight="1">
      <c r="D214" t="s">
        <v>6521</v>
      </c>
      <c r="E214" t="s">
        <v>9457</v>
      </c>
      <c r="F214">
        <v>0</v>
      </c>
      <c r="G214" t="s">
        <v>6579</v>
      </c>
      <c r="H214" t="s">
        <v>9514</v>
      </c>
      <c r="I214">
        <v>0</v>
      </c>
      <c r="J214" t="s">
        <v>6590</v>
      </c>
      <c r="K214" t="s">
        <v>9447</v>
      </c>
      <c r="L214">
        <v>0.56100000000000005</v>
      </c>
    </row>
    <row r="215" spans="4:12" customFormat="1" ht="13.95" customHeight="1">
      <c r="D215" t="s">
        <v>6521</v>
      </c>
      <c r="E215" t="s">
        <v>9475</v>
      </c>
      <c r="F215">
        <v>0</v>
      </c>
      <c r="G215" t="s">
        <v>6579</v>
      </c>
      <c r="H215" t="s">
        <v>9515</v>
      </c>
      <c r="I215">
        <v>0</v>
      </c>
      <c r="J215" t="s">
        <v>6590</v>
      </c>
      <c r="K215" t="s">
        <v>9448</v>
      </c>
      <c r="L215">
        <v>0</v>
      </c>
    </row>
    <row r="216" spans="4:12" customFormat="1" ht="13.95" customHeight="1">
      <c r="D216" t="s">
        <v>6521</v>
      </c>
      <c r="E216" t="s">
        <v>9458</v>
      </c>
      <c r="F216">
        <v>0</v>
      </c>
      <c r="G216" t="s">
        <v>6579</v>
      </c>
      <c r="H216" t="s">
        <v>9516</v>
      </c>
      <c r="I216">
        <v>0</v>
      </c>
      <c r="J216" t="s">
        <v>6590</v>
      </c>
      <c r="K216" t="s">
        <v>9449</v>
      </c>
      <c r="L216">
        <v>0.72699999999999998</v>
      </c>
    </row>
    <row r="217" spans="4:12" customFormat="1" ht="13.95" customHeight="1">
      <c r="D217" t="s">
        <v>6521</v>
      </c>
      <c r="E217" t="s">
        <v>9476</v>
      </c>
      <c r="F217">
        <v>0</v>
      </c>
      <c r="G217" t="s">
        <v>6579</v>
      </c>
      <c r="H217" t="s">
        <v>9517</v>
      </c>
      <c r="I217">
        <v>0</v>
      </c>
      <c r="J217" t="s">
        <v>6590</v>
      </c>
      <c r="K217" t="s">
        <v>9450</v>
      </c>
      <c r="L217">
        <v>0.36</v>
      </c>
    </row>
    <row r="218" spans="4:12" customFormat="1" ht="13.95" customHeight="1">
      <c r="D218" t="s">
        <v>6521</v>
      </c>
      <c r="E218" t="s">
        <v>9459</v>
      </c>
      <c r="F218">
        <v>0</v>
      </c>
      <c r="G218" t="s">
        <v>6579</v>
      </c>
      <c r="H218" t="s">
        <v>9518</v>
      </c>
      <c r="I218">
        <v>0</v>
      </c>
      <c r="J218" t="s">
        <v>6590</v>
      </c>
      <c r="K218" t="s">
        <v>9451</v>
      </c>
      <c r="L218">
        <v>0.57599999999999996</v>
      </c>
    </row>
    <row r="219" spans="4:12" customFormat="1" ht="13.95" customHeight="1">
      <c r="D219" t="s">
        <v>6521</v>
      </c>
      <c r="E219" t="s">
        <v>9477</v>
      </c>
      <c r="F219">
        <v>0</v>
      </c>
      <c r="G219" t="s">
        <v>6579</v>
      </c>
      <c r="H219" t="s">
        <v>9519</v>
      </c>
      <c r="I219">
        <v>0</v>
      </c>
      <c r="J219" t="s">
        <v>6590</v>
      </c>
      <c r="K219" t="s">
        <v>9452</v>
      </c>
      <c r="L219">
        <v>0.44600000000000001</v>
      </c>
    </row>
    <row r="220" spans="4:12" customFormat="1" ht="13.95" customHeight="1">
      <c r="D220" t="s">
        <v>6521</v>
      </c>
      <c r="E220" t="s">
        <v>9460</v>
      </c>
      <c r="F220">
        <v>0</v>
      </c>
      <c r="G220" t="s">
        <v>6579</v>
      </c>
      <c r="H220" t="s">
        <v>9520</v>
      </c>
      <c r="I220">
        <v>0</v>
      </c>
      <c r="J220" t="s">
        <v>6590</v>
      </c>
      <c r="K220" t="s">
        <v>9453</v>
      </c>
      <c r="L220">
        <v>0.57599999999999996</v>
      </c>
    </row>
    <row r="221" spans="4:12" customFormat="1" ht="13.95" customHeight="1">
      <c r="D221" t="s">
        <v>6521</v>
      </c>
      <c r="E221" t="s">
        <v>9478</v>
      </c>
      <c r="F221">
        <v>0</v>
      </c>
      <c r="G221" t="s">
        <v>6580</v>
      </c>
      <c r="H221" t="s">
        <v>9445</v>
      </c>
      <c r="I221">
        <v>0</v>
      </c>
      <c r="J221" t="s">
        <v>6590</v>
      </c>
      <c r="K221" t="s">
        <v>9454</v>
      </c>
      <c r="L221">
        <v>0.51800000000000002</v>
      </c>
    </row>
    <row r="222" spans="4:12" customFormat="1" ht="13.95" customHeight="1">
      <c r="D222" t="s">
        <v>6521</v>
      </c>
      <c r="E222" t="s">
        <v>9461</v>
      </c>
      <c r="F222">
        <v>0</v>
      </c>
      <c r="G222" t="s">
        <v>6580</v>
      </c>
      <c r="H222" t="s">
        <v>9446</v>
      </c>
      <c r="I222">
        <v>3.0089999999999999</v>
      </c>
      <c r="J222" t="s">
        <v>6588</v>
      </c>
      <c r="K222" t="s">
        <v>9445</v>
      </c>
      <c r="L222">
        <v>0.223</v>
      </c>
    </row>
    <row r="223" spans="4:12" customFormat="1" ht="13.95" customHeight="1">
      <c r="D223" t="s">
        <v>6521</v>
      </c>
      <c r="E223" t="s">
        <v>9479</v>
      </c>
      <c r="F223">
        <v>7.9000000000000001E-2</v>
      </c>
      <c r="G223" t="s">
        <v>6580</v>
      </c>
      <c r="H223" t="s">
        <v>9447</v>
      </c>
      <c r="I223">
        <v>0</v>
      </c>
      <c r="J223" t="s">
        <v>6588</v>
      </c>
      <c r="K223" t="s">
        <v>9446</v>
      </c>
      <c r="L223">
        <v>0.41699999999999998</v>
      </c>
    </row>
    <row r="224" spans="4:12" customFormat="1" ht="13.95" customHeight="1">
      <c r="D224" t="s">
        <v>6521</v>
      </c>
      <c r="E224" t="s">
        <v>9462</v>
      </c>
      <c r="F224">
        <v>0</v>
      </c>
      <c r="G224" t="s">
        <v>6580</v>
      </c>
      <c r="H224" t="s">
        <v>9448</v>
      </c>
      <c r="I224">
        <v>1.123</v>
      </c>
      <c r="J224" t="s">
        <v>6588</v>
      </c>
      <c r="K224" t="s">
        <v>9447</v>
      </c>
      <c r="L224">
        <v>0.74099999999999999</v>
      </c>
    </row>
    <row r="225" spans="4:12" customFormat="1" ht="13.95" customHeight="1">
      <c r="D225" t="s">
        <v>6521</v>
      </c>
      <c r="E225" t="s">
        <v>9480</v>
      </c>
      <c r="F225">
        <v>3.5000000000000003E-2</v>
      </c>
      <c r="G225" t="s">
        <v>6580</v>
      </c>
      <c r="H225" t="s">
        <v>9449</v>
      </c>
      <c r="I225">
        <v>0</v>
      </c>
      <c r="J225" t="s">
        <v>6588</v>
      </c>
      <c r="K225" t="s">
        <v>9448</v>
      </c>
      <c r="L225">
        <v>0</v>
      </c>
    </row>
    <row r="226" spans="4:12" customFormat="1" ht="13.95" customHeight="1">
      <c r="D226" t="s">
        <v>6521</v>
      </c>
      <c r="E226" t="s">
        <v>9481</v>
      </c>
      <c r="F226">
        <v>0</v>
      </c>
      <c r="G226" t="s">
        <v>6580</v>
      </c>
      <c r="H226" t="s">
        <v>9450</v>
      </c>
      <c r="I226">
        <v>0.14399999999999999</v>
      </c>
      <c r="J226" t="s">
        <v>6588</v>
      </c>
      <c r="K226" t="s">
        <v>9449</v>
      </c>
      <c r="L226">
        <v>0.95799999999999996</v>
      </c>
    </row>
    <row r="227" spans="4:12" customFormat="1" ht="13.95" customHeight="1">
      <c r="D227" t="s">
        <v>6521</v>
      </c>
      <c r="E227" t="s">
        <v>9482</v>
      </c>
      <c r="F227">
        <v>0.35299999999999998</v>
      </c>
      <c r="G227" t="s">
        <v>6580</v>
      </c>
      <c r="H227" t="s">
        <v>9451</v>
      </c>
      <c r="I227">
        <v>0</v>
      </c>
      <c r="J227" t="s">
        <v>6588</v>
      </c>
      <c r="K227" t="s">
        <v>9450</v>
      </c>
      <c r="L227">
        <v>0.28000000000000003</v>
      </c>
    </row>
    <row r="228" spans="4:12" customFormat="1" ht="13.95" customHeight="1">
      <c r="D228" t="s">
        <v>6521</v>
      </c>
      <c r="E228" t="s">
        <v>9483</v>
      </c>
      <c r="F228">
        <v>1.052</v>
      </c>
      <c r="G228" t="s">
        <v>6580</v>
      </c>
      <c r="H228" t="s">
        <v>9452</v>
      </c>
      <c r="I228">
        <v>0.72699999999999998</v>
      </c>
      <c r="J228" t="s">
        <v>6588</v>
      </c>
      <c r="K228" t="s">
        <v>9451</v>
      </c>
      <c r="L228">
        <v>0.879</v>
      </c>
    </row>
    <row r="229" spans="4:12" customFormat="1" ht="13.95" customHeight="1">
      <c r="D229" t="s">
        <v>6521</v>
      </c>
      <c r="E229" t="s">
        <v>9484</v>
      </c>
      <c r="F229">
        <v>0.36699999999999999</v>
      </c>
      <c r="G229" t="s">
        <v>6580</v>
      </c>
      <c r="H229" t="s">
        <v>9453</v>
      </c>
      <c r="I229">
        <v>0</v>
      </c>
      <c r="J229" t="s">
        <v>6588</v>
      </c>
      <c r="K229" t="s">
        <v>9452</v>
      </c>
      <c r="L229">
        <v>0.432</v>
      </c>
    </row>
    <row r="230" spans="4:12" customFormat="1" ht="13.95" customHeight="1">
      <c r="D230" t="s">
        <v>6521</v>
      </c>
      <c r="E230" t="s">
        <v>9486</v>
      </c>
      <c r="F230">
        <v>0.33800000000000002</v>
      </c>
      <c r="G230" t="s">
        <v>6580</v>
      </c>
      <c r="H230" t="s">
        <v>9454</v>
      </c>
      <c r="I230">
        <v>0.19400000000000001</v>
      </c>
      <c r="J230" t="s">
        <v>6588</v>
      </c>
      <c r="K230" t="s">
        <v>9453</v>
      </c>
      <c r="L230">
        <v>0.38100000000000001</v>
      </c>
    </row>
    <row r="231" spans="4:12" customFormat="1" ht="13.95" customHeight="1">
      <c r="D231" t="s">
        <v>6521</v>
      </c>
      <c r="E231" t="s">
        <v>9485</v>
      </c>
      <c r="F231">
        <v>0.26600000000000001</v>
      </c>
      <c r="G231" t="s">
        <v>6580</v>
      </c>
      <c r="H231" t="s">
        <v>9455</v>
      </c>
      <c r="I231">
        <v>0.24399999999999999</v>
      </c>
      <c r="J231" t="s">
        <v>6588</v>
      </c>
      <c r="K231" t="s">
        <v>9454</v>
      </c>
      <c r="L231">
        <v>0.55400000000000005</v>
      </c>
    </row>
    <row r="232" spans="4:12" customFormat="1" ht="13.95" customHeight="1">
      <c r="D232" t="s">
        <v>6521</v>
      </c>
      <c r="E232" t="s">
        <v>9488</v>
      </c>
      <c r="F232">
        <v>0</v>
      </c>
      <c r="G232" t="s">
        <v>6580</v>
      </c>
      <c r="H232" t="s">
        <v>9456</v>
      </c>
      <c r="I232">
        <v>0.30199999999999999</v>
      </c>
    </row>
    <row r="233" spans="4:12" customFormat="1" ht="13.95" customHeight="1">
      <c r="D233" t="s">
        <v>6521</v>
      </c>
      <c r="E233" t="s">
        <v>9487</v>
      </c>
      <c r="F233">
        <v>0.25900000000000001</v>
      </c>
      <c r="G233" t="s">
        <v>6580</v>
      </c>
      <c r="H233" t="s">
        <v>9457</v>
      </c>
      <c r="I233">
        <v>0.33100000000000002</v>
      </c>
    </row>
    <row r="234" spans="4:12" customFormat="1" ht="13.95" customHeight="1">
      <c r="D234" t="s">
        <v>6521</v>
      </c>
      <c r="E234" t="s">
        <v>9490</v>
      </c>
      <c r="F234">
        <v>0.72</v>
      </c>
      <c r="G234" t="s">
        <v>6580</v>
      </c>
      <c r="H234" t="s">
        <v>9458</v>
      </c>
      <c r="I234">
        <v>1.238</v>
      </c>
    </row>
    <row r="235" spans="4:12" customFormat="1" ht="13.95" customHeight="1">
      <c r="D235" t="s">
        <v>6521</v>
      </c>
      <c r="E235" t="s">
        <v>9489</v>
      </c>
      <c r="F235">
        <v>0.497</v>
      </c>
      <c r="G235" t="s">
        <v>6580</v>
      </c>
      <c r="H235" t="s">
        <v>9459</v>
      </c>
      <c r="I235">
        <v>0.74099999999999999</v>
      </c>
    </row>
    <row r="236" spans="4:12" customFormat="1" ht="13.95" customHeight="1">
      <c r="D236" t="s">
        <v>6521</v>
      </c>
      <c r="E236" t="s">
        <v>9492</v>
      </c>
      <c r="F236">
        <v>0</v>
      </c>
      <c r="G236" t="s">
        <v>6580</v>
      </c>
      <c r="H236" t="s">
        <v>9460</v>
      </c>
      <c r="I236">
        <v>0.75600000000000001</v>
      </c>
    </row>
    <row r="237" spans="4:12" customFormat="1" ht="13.95" customHeight="1">
      <c r="D237" t="s">
        <v>6521</v>
      </c>
      <c r="E237" t="s">
        <v>9491</v>
      </c>
      <c r="F237">
        <v>0.496</v>
      </c>
      <c r="G237" t="s">
        <v>6580</v>
      </c>
      <c r="H237" t="s">
        <v>9461</v>
      </c>
      <c r="I237">
        <v>0.20100000000000001</v>
      </c>
    </row>
    <row r="238" spans="4:12" customFormat="1" ht="13.95" customHeight="1">
      <c r="D238" t="s">
        <v>6521</v>
      </c>
      <c r="E238" t="s">
        <v>9494</v>
      </c>
      <c r="F238">
        <v>0.96499999999999997</v>
      </c>
      <c r="G238" t="s">
        <v>6580</v>
      </c>
      <c r="H238" t="s">
        <v>9462</v>
      </c>
      <c r="I238">
        <v>0</v>
      </c>
    </row>
    <row r="239" spans="4:12" customFormat="1" ht="13.95" customHeight="1">
      <c r="D239" t="s">
        <v>6521</v>
      </c>
      <c r="E239" t="s">
        <v>9493</v>
      </c>
      <c r="F239">
        <v>0.749</v>
      </c>
      <c r="G239" t="s">
        <v>6580</v>
      </c>
      <c r="H239" t="s">
        <v>9481</v>
      </c>
      <c r="I239">
        <v>0</v>
      </c>
    </row>
    <row r="240" spans="4:12" customFormat="1" ht="13.95" customHeight="1">
      <c r="D240" t="s">
        <v>6521</v>
      </c>
      <c r="E240" t="s">
        <v>9496</v>
      </c>
      <c r="F240">
        <v>1.224</v>
      </c>
      <c r="G240" t="s">
        <v>6580</v>
      </c>
      <c r="H240" t="s">
        <v>9483</v>
      </c>
      <c r="I240">
        <v>0</v>
      </c>
    </row>
    <row r="241" spans="4:9" customFormat="1" ht="13.95" customHeight="1">
      <c r="D241" t="s">
        <v>6521</v>
      </c>
      <c r="E241" t="s">
        <v>9495</v>
      </c>
      <c r="F241">
        <v>0.95699999999999996</v>
      </c>
      <c r="G241" t="s">
        <v>6580</v>
      </c>
      <c r="H241" t="s">
        <v>9486</v>
      </c>
      <c r="I241">
        <v>0</v>
      </c>
    </row>
    <row r="242" spans="4:9" customFormat="1" ht="13.95" customHeight="1">
      <c r="D242" t="s">
        <v>6522</v>
      </c>
      <c r="E242" t="s">
        <v>9445</v>
      </c>
      <c r="F242">
        <v>0</v>
      </c>
      <c r="G242" t="s">
        <v>6580</v>
      </c>
      <c r="H242" t="s">
        <v>9488</v>
      </c>
      <c r="I242">
        <v>0</v>
      </c>
    </row>
    <row r="243" spans="4:9" customFormat="1" ht="13.95" customHeight="1">
      <c r="D243" t="s">
        <v>6522</v>
      </c>
      <c r="E243" t="s">
        <v>9446</v>
      </c>
      <c r="F243">
        <v>0</v>
      </c>
      <c r="G243" t="s">
        <v>6580</v>
      </c>
      <c r="H243" t="s">
        <v>9490</v>
      </c>
      <c r="I243">
        <v>0</v>
      </c>
    </row>
    <row r="244" spans="4:9" customFormat="1" ht="13.95" customHeight="1">
      <c r="D244" t="s">
        <v>6522</v>
      </c>
      <c r="E244" t="s">
        <v>9447</v>
      </c>
      <c r="F244">
        <v>0</v>
      </c>
      <c r="G244" t="s">
        <v>6580</v>
      </c>
      <c r="H244" t="s">
        <v>9492</v>
      </c>
      <c r="I244">
        <v>0</v>
      </c>
    </row>
    <row r="245" spans="4:9" customFormat="1" ht="13.95" customHeight="1">
      <c r="D245" t="s">
        <v>6522</v>
      </c>
      <c r="E245" t="s">
        <v>9448</v>
      </c>
      <c r="F245">
        <v>0</v>
      </c>
      <c r="G245" t="s">
        <v>6580</v>
      </c>
      <c r="H245" t="s">
        <v>9494</v>
      </c>
      <c r="I245">
        <v>2.5859999999999999</v>
      </c>
    </row>
    <row r="246" spans="4:9" customFormat="1" ht="13.95" customHeight="1">
      <c r="D246" t="s">
        <v>6522</v>
      </c>
      <c r="E246" t="s">
        <v>9449</v>
      </c>
      <c r="F246">
        <v>0</v>
      </c>
      <c r="G246" t="s">
        <v>6580</v>
      </c>
      <c r="H246" t="s">
        <v>9496</v>
      </c>
      <c r="I246">
        <v>0</v>
      </c>
    </row>
    <row r="247" spans="4:9" customFormat="1" ht="13.95" customHeight="1">
      <c r="D247" t="s">
        <v>6522</v>
      </c>
      <c r="E247" t="s">
        <v>9450</v>
      </c>
      <c r="F247">
        <v>0</v>
      </c>
      <c r="G247" t="s">
        <v>6580</v>
      </c>
      <c r="H247" t="s">
        <v>9497</v>
      </c>
      <c r="I247">
        <v>1.2310000000000001</v>
      </c>
    </row>
    <row r="248" spans="4:9" customFormat="1" ht="13.95" customHeight="1">
      <c r="D248" t="s">
        <v>6522</v>
      </c>
      <c r="E248" t="s">
        <v>9451</v>
      </c>
      <c r="F248">
        <v>0</v>
      </c>
      <c r="G248" t="s">
        <v>6580</v>
      </c>
      <c r="H248" t="s">
        <v>9498</v>
      </c>
      <c r="I248">
        <v>0</v>
      </c>
    </row>
    <row r="249" spans="4:9" customFormat="1" ht="13.95" customHeight="1">
      <c r="D249" t="s">
        <v>6522</v>
      </c>
      <c r="E249" t="s">
        <v>9452</v>
      </c>
      <c r="F249">
        <v>0</v>
      </c>
      <c r="G249" t="s">
        <v>6580</v>
      </c>
      <c r="H249" t="s">
        <v>9499</v>
      </c>
      <c r="I249">
        <v>0</v>
      </c>
    </row>
    <row r="250" spans="4:9" customFormat="1" ht="13.95" customHeight="1">
      <c r="D250" t="s">
        <v>6522</v>
      </c>
      <c r="E250" t="s">
        <v>9453</v>
      </c>
      <c r="F250">
        <v>0</v>
      </c>
      <c r="G250" t="s">
        <v>6580</v>
      </c>
      <c r="H250" t="s">
        <v>9500</v>
      </c>
      <c r="I250">
        <v>0</v>
      </c>
    </row>
    <row r="251" spans="4:9" customFormat="1" ht="13.95" customHeight="1">
      <c r="D251" t="s">
        <v>6522</v>
      </c>
      <c r="E251" t="s">
        <v>9454</v>
      </c>
      <c r="F251">
        <v>0</v>
      </c>
      <c r="G251" t="s">
        <v>6580</v>
      </c>
      <c r="H251" t="s">
        <v>9501</v>
      </c>
      <c r="I251">
        <v>0.36</v>
      </c>
    </row>
    <row r="252" spans="4:9" customFormat="1" ht="13.95" customHeight="1">
      <c r="D252" t="s">
        <v>6522</v>
      </c>
      <c r="E252" t="s">
        <v>9455</v>
      </c>
      <c r="F252">
        <v>0</v>
      </c>
      <c r="G252" t="s">
        <v>6580</v>
      </c>
      <c r="H252" t="s">
        <v>9502</v>
      </c>
      <c r="I252">
        <v>0</v>
      </c>
    </row>
    <row r="253" spans="4:9" customFormat="1" ht="13.95" customHeight="1">
      <c r="D253" t="s">
        <v>6522</v>
      </c>
      <c r="E253" t="s">
        <v>9456</v>
      </c>
      <c r="F253">
        <v>0</v>
      </c>
      <c r="G253" t="s">
        <v>6580</v>
      </c>
      <c r="H253" t="s">
        <v>9503</v>
      </c>
      <c r="I253">
        <v>0.20799999999999999</v>
      </c>
    </row>
    <row r="254" spans="4:9" customFormat="1" ht="13.95" customHeight="1">
      <c r="D254" t="s">
        <v>6522</v>
      </c>
      <c r="E254" t="s">
        <v>9457</v>
      </c>
      <c r="F254">
        <v>0</v>
      </c>
      <c r="G254" t="s">
        <v>6580</v>
      </c>
      <c r="H254" t="s">
        <v>9504</v>
      </c>
      <c r="I254">
        <v>0</v>
      </c>
    </row>
    <row r="255" spans="4:9" customFormat="1" ht="13.95" customHeight="1">
      <c r="D255" t="s">
        <v>6522</v>
      </c>
      <c r="E255" t="s">
        <v>9458</v>
      </c>
      <c r="F255">
        <v>0</v>
      </c>
      <c r="G255" t="s">
        <v>6580</v>
      </c>
      <c r="H255" t="s">
        <v>9505</v>
      </c>
      <c r="I255">
        <v>0.129</v>
      </c>
    </row>
    <row r="256" spans="4:9" customFormat="1" ht="13.95" customHeight="1">
      <c r="D256" t="s">
        <v>6522</v>
      </c>
      <c r="E256" t="s">
        <v>9459</v>
      </c>
      <c r="F256">
        <v>0</v>
      </c>
      <c r="G256" t="s">
        <v>6580</v>
      </c>
      <c r="H256" t="s">
        <v>9506</v>
      </c>
      <c r="I256">
        <v>0</v>
      </c>
    </row>
    <row r="257" spans="4:9" customFormat="1" ht="13.95" customHeight="1">
      <c r="D257" t="s">
        <v>6522</v>
      </c>
      <c r="E257" t="s">
        <v>9460</v>
      </c>
      <c r="F257">
        <v>0</v>
      </c>
      <c r="G257" t="s">
        <v>6580</v>
      </c>
      <c r="H257" t="s">
        <v>9507</v>
      </c>
      <c r="I257">
        <v>1.6850000000000001</v>
      </c>
    </row>
    <row r="258" spans="4:9" customFormat="1" ht="13.95" customHeight="1">
      <c r="D258" t="s">
        <v>6522</v>
      </c>
      <c r="E258" t="s">
        <v>9461</v>
      </c>
      <c r="F258">
        <v>0</v>
      </c>
      <c r="G258" t="s">
        <v>6580</v>
      </c>
      <c r="H258" t="s">
        <v>9508</v>
      </c>
      <c r="I258">
        <v>0</v>
      </c>
    </row>
    <row r="259" spans="4:9" customFormat="1" ht="13.95" customHeight="1">
      <c r="D259" t="s">
        <v>6522</v>
      </c>
      <c r="E259" t="s">
        <v>9462</v>
      </c>
      <c r="F259">
        <v>0</v>
      </c>
      <c r="G259" t="s">
        <v>6580</v>
      </c>
      <c r="H259" t="s">
        <v>9509</v>
      </c>
      <c r="I259">
        <v>0.46100000000000002</v>
      </c>
    </row>
    <row r="260" spans="4:9" customFormat="1" ht="13.95" customHeight="1">
      <c r="D260" t="s">
        <v>6522</v>
      </c>
      <c r="E260" t="s">
        <v>9481</v>
      </c>
      <c r="F260">
        <v>0</v>
      </c>
      <c r="G260" t="s">
        <v>6580</v>
      </c>
      <c r="H260" t="s">
        <v>9510</v>
      </c>
      <c r="I260">
        <v>0</v>
      </c>
    </row>
    <row r="261" spans="4:9" customFormat="1" ht="13.95" customHeight="1">
      <c r="D261" t="s">
        <v>6522</v>
      </c>
      <c r="E261" t="s">
        <v>9483</v>
      </c>
      <c r="F261">
        <v>0</v>
      </c>
      <c r="G261" t="s">
        <v>6580</v>
      </c>
      <c r="H261" t="s">
        <v>9511</v>
      </c>
      <c r="I261">
        <v>0.45300000000000001</v>
      </c>
    </row>
    <row r="262" spans="4:9" customFormat="1" ht="13.95" customHeight="1">
      <c r="D262" t="s">
        <v>6522</v>
      </c>
      <c r="E262" t="s">
        <v>9486</v>
      </c>
      <c r="F262">
        <v>0</v>
      </c>
      <c r="G262" t="s">
        <v>6580</v>
      </c>
      <c r="H262" t="s">
        <v>9512</v>
      </c>
      <c r="I262">
        <v>0</v>
      </c>
    </row>
    <row r="263" spans="4:9" customFormat="1" ht="13.95" customHeight="1">
      <c r="D263" t="s">
        <v>6522</v>
      </c>
      <c r="E263" t="s">
        <v>9488</v>
      </c>
      <c r="F263">
        <v>0</v>
      </c>
      <c r="G263" t="s">
        <v>6580</v>
      </c>
      <c r="H263" t="s">
        <v>9513</v>
      </c>
      <c r="I263">
        <v>1.296</v>
      </c>
    </row>
    <row r="264" spans="4:9" customFormat="1" ht="13.95" customHeight="1">
      <c r="D264" t="s">
        <v>6522</v>
      </c>
      <c r="E264" t="s">
        <v>9490</v>
      </c>
      <c r="F264">
        <v>0</v>
      </c>
      <c r="G264" t="s">
        <v>6580</v>
      </c>
      <c r="H264" t="s">
        <v>9514</v>
      </c>
      <c r="I264">
        <v>0</v>
      </c>
    </row>
    <row r="265" spans="4:9" customFormat="1" ht="13.95" customHeight="1">
      <c r="D265" t="s">
        <v>6522</v>
      </c>
      <c r="E265" t="s">
        <v>9492</v>
      </c>
      <c r="F265">
        <v>0</v>
      </c>
      <c r="G265" t="s">
        <v>6580</v>
      </c>
      <c r="H265" t="s">
        <v>9515</v>
      </c>
      <c r="I265">
        <v>1.0509999999999999</v>
      </c>
    </row>
    <row r="266" spans="4:9" customFormat="1" ht="13.95" customHeight="1">
      <c r="D266" t="s">
        <v>6522</v>
      </c>
      <c r="E266" t="s">
        <v>9494</v>
      </c>
      <c r="F266">
        <v>0</v>
      </c>
      <c r="G266" t="s">
        <v>6580</v>
      </c>
      <c r="H266" t="s">
        <v>9516</v>
      </c>
      <c r="I266">
        <v>0</v>
      </c>
    </row>
    <row r="267" spans="4:9" customFormat="1" ht="13.95" customHeight="1">
      <c r="D267" t="s">
        <v>6522</v>
      </c>
      <c r="E267" t="s">
        <v>9496</v>
      </c>
      <c r="F267">
        <v>0</v>
      </c>
      <c r="G267" t="s">
        <v>6580</v>
      </c>
      <c r="H267" t="s">
        <v>9517</v>
      </c>
      <c r="I267">
        <v>1.2810000000000001</v>
      </c>
    </row>
    <row r="268" spans="4:9" customFormat="1" ht="13.95" customHeight="1">
      <c r="D268" t="s">
        <v>6522</v>
      </c>
      <c r="E268" t="s">
        <v>9497</v>
      </c>
      <c r="F268">
        <v>0</v>
      </c>
      <c r="G268" t="s">
        <v>6580</v>
      </c>
      <c r="H268" t="s">
        <v>9518</v>
      </c>
      <c r="I268">
        <v>0</v>
      </c>
    </row>
    <row r="269" spans="4:9" customFormat="1" ht="13.95" customHeight="1">
      <c r="D269" t="s">
        <v>6522</v>
      </c>
      <c r="E269" t="s">
        <v>9498</v>
      </c>
      <c r="F269">
        <v>0</v>
      </c>
      <c r="G269" t="s">
        <v>6580</v>
      </c>
      <c r="H269" t="s">
        <v>9519</v>
      </c>
      <c r="I269">
        <v>1.857</v>
      </c>
    </row>
    <row r="270" spans="4:9" customFormat="1" ht="13.95" customHeight="1">
      <c r="D270" t="s">
        <v>6522</v>
      </c>
      <c r="E270" t="s">
        <v>9499</v>
      </c>
      <c r="F270">
        <v>0</v>
      </c>
      <c r="G270" t="s">
        <v>6580</v>
      </c>
      <c r="H270" t="s">
        <v>9520</v>
      </c>
      <c r="I270">
        <v>0</v>
      </c>
    </row>
    <row r="271" spans="4:9" customFormat="1" ht="13.95" customHeight="1">
      <c r="D271" t="s">
        <v>6522</v>
      </c>
      <c r="E271" t="s">
        <v>9500</v>
      </c>
      <c r="F271">
        <v>0</v>
      </c>
      <c r="G271" t="s">
        <v>6580</v>
      </c>
      <c r="H271" t="s">
        <v>9521</v>
      </c>
      <c r="I271">
        <v>1.022</v>
      </c>
    </row>
    <row r="272" spans="4:9" customFormat="1" ht="13.95" customHeight="1">
      <c r="D272" t="s">
        <v>6522</v>
      </c>
      <c r="E272" t="s">
        <v>9501</v>
      </c>
      <c r="F272">
        <v>0</v>
      </c>
      <c r="G272" t="s">
        <v>6580</v>
      </c>
      <c r="H272" t="s">
        <v>9522</v>
      </c>
      <c r="I272">
        <v>0</v>
      </c>
    </row>
    <row r="273" spans="4:9" customFormat="1" ht="13.95" customHeight="1">
      <c r="D273" t="s">
        <v>6522</v>
      </c>
      <c r="E273" t="s">
        <v>9502</v>
      </c>
      <c r="F273">
        <v>0</v>
      </c>
      <c r="G273" t="s">
        <v>6580</v>
      </c>
      <c r="H273" t="s">
        <v>9523</v>
      </c>
      <c r="I273">
        <v>1.4830000000000001</v>
      </c>
    </row>
    <row r="274" spans="4:9" customFormat="1" ht="13.95" customHeight="1">
      <c r="D274" t="s">
        <v>6522</v>
      </c>
      <c r="E274" t="s">
        <v>9503</v>
      </c>
      <c r="F274">
        <v>0</v>
      </c>
      <c r="G274" t="s">
        <v>6580</v>
      </c>
      <c r="H274" t="s">
        <v>9524</v>
      </c>
      <c r="I274">
        <v>0.878</v>
      </c>
    </row>
    <row r="275" spans="4:9" customFormat="1" ht="13.95" customHeight="1">
      <c r="D275" t="s">
        <v>6522</v>
      </c>
      <c r="E275" t="s">
        <v>9504</v>
      </c>
      <c r="F275">
        <v>0</v>
      </c>
      <c r="G275" t="s">
        <v>6581</v>
      </c>
      <c r="H275" t="s">
        <v>9445</v>
      </c>
      <c r="I275">
        <v>0</v>
      </c>
    </row>
    <row r="276" spans="4:9" customFormat="1" ht="13.95" customHeight="1">
      <c r="D276" t="s">
        <v>6522</v>
      </c>
      <c r="E276" t="s">
        <v>9505</v>
      </c>
      <c r="F276">
        <v>0</v>
      </c>
      <c r="G276" t="s">
        <v>6581</v>
      </c>
      <c r="H276" t="s">
        <v>9446</v>
      </c>
      <c r="I276">
        <v>2.7640000000000002</v>
      </c>
    </row>
    <row r="277" spans="4:9" customFormat="1" ht="13.95" customHeight="1">
      <c r="D277" t="s">
        <v>6522</v>
      </c>
      <c r="E277" t="s">
        <v>9506</v>
      </c>
      <c r="F277">
        <v>0</v>
      </c>
      <c r="G277" t="s">
        <v>6581</v>
      </c>
      <c r="H277" t="s">
        <v>9447</v>
      </c>
      <c r="I277">
        <v>0</v>
      </c>
    </row>
    <row r="278" spans="4:9" customFormat="1" ht="13.95" customHeight="1">
      <c r="D278" t="s">
        <v>6522</v>
      </c>
      <c r="E278" t="s">
        <v>9507</v>
      </c>
      <c r="F278">
        <v>0</v>
      </c>
      <c r="G278" t="s">
        <v>6581</v>
      </c>
      <c r="H278" t="s">
        <v>9448</v>
      </c>
      <c r="I278">
        <v>0.95799999999999996</v>
      </c>
    </row>
    <row r="279" spans="4:9" customFormat="1" ht="13.95" customHeight="1">
      <c r="D279" t="s">
        <v>6522</v>
      </c>
      <c r="E279" t="s">
        <v>9508</v>
      </c>
      <c r="F279">
        <v>0</v>
      </c>
      <c r="G279" t="s">
        <v>6581</v>
      </c>
      <c r="H279" t="s">
        <v>9449</v>
      </c>
      <c r="I279">
        <v>0</v>
      </c>
    </row>
    <row r="280" spans="4:9" customFormat="1" ht="13.95" customHeight="1">
      <c r="D280" t="s">
        <v>6522</v>
      </c>
      <c r="E280" t="s">
        <v>9509</v>
      </c>
      <c r="F280">
        <v>0</v>
      </c>
      <c r="G280" t="s">
        <v>6581</v>
      </c>
      <c r="H280" t="s">
        <v>9450</v>
      </c>
      <c r="I280">
        <v>0.13600000000000001</v>
      </c>
    </row>
    <row r="281" spans="4:9" customFormat="1" ht="13.95" customHeight="1">
      <c r="D281" t="s">
        <v>6522</v>
      </c>
      <c r="E281" t="s">
        <v>9510</v>
      </c>
      <c r="F281">
        <v>0</v>
      </c>
      <c r="G281" t="s">
        <v>6581</v>
      </c>
      <c r="H281" t="s">
        <v>9451</v>
      </c>
      <c r="I281">
        <v>0</v>
      </c>
    </row>
    <row r="282" spans="4:9" customFormat="1" ht="13.95" customHeight="1">
      <c r="D282" t="s">
        <v>6522</v>
      </c>
      <c r="E282" t="s">
        <v>9511</v>
      </c>
      <c r="F282">
        <v>0</v>
      </c>
      <c r="G282" t="s">
        <v>6581</v>
      </c>
      <c r="H282" t="s">
        <v>9452</v>
      </c>
      <c r="I282">
        <v>0.94299999999999995</v>
      </c>
    </row>
    <row r="283" spans="4:9" customFormat="1" ht="13.95" customHeight="1">
      <c r="D283" t="s">
        <v>6522</v>
      </c>
      <c r="E283" t="s">
        <v>9512</v>
      </c>
      <c r="F283">
        <v>0</v>
      </c>
      <c r="G283" t="s">
        <v>6581</v>
      </c>
      <c r="H283" t="s">
        <v>9453</v>
      </c>
      <c r="I283">
        <v>0</v>
      </c>
    </row>
    <row r="284" spans="4:9" customFormat="1" ht="13.95" customHeight="1">
      <c r="D284" t="s">
        <v>6522</v>
      </c>
      <c r="E284" t="s">
        <v>9513</v>
      </c>
      <c r="F284">
        <v>0</v>
      </c>
      <c r="G284" t="s">
        <v>6581</v>
      </c>
      <c r="H284" t="s">
        <v>9454</v>
      </c>
      <c r="I284">
        <v>0.108</v>
      </c>
    </row>
    <row r="285" spans="4:9" customFormat="1" ht="13.95" customHeight="1">
      <c r="D285" t="s">
        <v>6522</v>
      </c>
      <c r="E285" t="s">
        <v>9514</v>
      </c>
      <c r="F285">
        <v>0</v>
      </c>
      <c r="G285" t="s">
        <v>6581</v>
      </c>
      <c r="H285" t="s">
        <v>9455</v>
      </c>
      <c r="I285">
        <v>0.28799999999999998</v>
      </c>
    </row>
    <row r="286" spans="4:9" customFormat="1" ht="13.95" customHeight="1">
      <c r="D286" t="s">
        <v>6522</v>
      </c>
      <c r="E286" t="s">
        <v>9515</v>
      </c>
      <c r="F286">
        <v>0</v>
      </c>
      <c r="G286" t="s">
        <v>6581</v>
      </c>
      <c r="H286" t="s">
        <v>9456</v>
      </c>
      <c r="I286">
        <v>0</v>
      </c>
    </row>
    <row r="287" spans="4:9" customFormat="1" ht="13.95" customHeight="1">
      <c r="D287" t="s">
        <v>6522</v>
      </c>
      <c r="E287" t="s">
        <v>9516</v>
      </c>
      <c r="F287">
        <v>0</v>
      </c>
      <c r="G287" t="s">
        <v>6581</v>
      </c>
      <c r="H287" t="s">
        <v>9457</v>
      </c>
      <c r="I287">
        <v>0.63300000000000001</v>
      </c>
    </row>
    <row r="288" spans="4:9" customFormat="1" ht="13.95" customHeight="1">
      <c r="D288" t="s">
        <v>6522</v>
      </c>
      <c r="E288" t="s">
        <v>9517</v>
      </c>
      <c r="F288">
        <v>0</v>
      </c>
      <c r="G288" t="s">
        <v>6581</v>
      </c>
      <c r="H288" t="s">
        <v>9458</v>
      </c>
      <c r="I288">
        <v>0.67600000000000005</v>
      </c>
    </row>
    <row r="289" spans="4:9" customFormat="1" ht="13.95" customHeight="1">
      <c r="D289" t="s">
        <v>6522</v>
      </c>
      <c r="E289" t="s">
        <v>9518</v>
      </c>
      <c r="F289">
        <v>0</v>
      </c>
      <c r="G289" t="s">
        <v>6581</v>
      </c>
      <c r="H289" t="s">
        <v>9459</v>
      </c>
      <c r="I289">
        <v>0.68300000000000005</v>
      </c>
    </row>
    <row r="290" spans="4:9" customFormat="1" ht="13.95" customHeight="1">
      <c r="D290" t="s">
        <v>6522</v>
      </c>
      <c r="E290" t="s">
        <v>9519</v>
      </c>
      <c r="F290">
        <v>0</v>
      </c>
      <c r="G290" t="s">
        <v>6581</v>
      </c>
      <c r="H290" t="s">
        <v>9460</v>
      </c>
      <c r="I290">
        <v>0.96499999999999997</v>
      </c>
    </row>
    <row r="291" spans="4:9" customFormat="1" ht="13.95" customHeight="1">
      <c r="D291" t="s">
        <v>6522</v>
      </c>
      <c r="E291" t="s">
        <v>9520</v>
      </c>
      <c r="F291">
        <v>0</v>
      </c>
      <c r="G291" t="s">
        <v>6581</v>
      </c>
      <c r="H291" t="s">
        <v>9461</v>
      </c>
      <c r="I291">
        <v>0.19400000000000001</v>
      </c>
    </row>
    <row r="292" spans="4:9" customFormat="1" ht="13.95" customHeight="1">
      <c r="D292" t="s">
        <v>6522</v>
      </c>
      <c r="E292" t="s">
        <v>9521</v>
      </c>
      <c r="F292">
        <v>0</v>
      </c>
      <c r="G292" t="s">
        <v>6581</v>
      </c>
      <c r="H292" t="s">
        <v>9462</v>
      </c>
      <c r="I292">
        <v>0</v>
      </c>
    </row>
    <row r="293" spans="4:9" customFormat="1" ht="13.95" customHeight="1">
      <c r="D293" t="s">
        <v>6522</v>
      </c>
      <c r="E293" t="s">
        <v>9522</v>
      </c>
      <c r="F293">
        <v>0</v>
      </c>
      <c r="G293" t="s">
        <v>6581</v>
      </c>
      <c r="H293" t="s">
        <v>9481</v>
      </c>
      <c r="I293">
        <v>0</v>
      </c>
    </row>
    <row r="294" spans="4:9" customFormat="1" ht="13.95" customHeight="1">
      <c r="D294" t="s">
        <v>6522</v>
      </c>
      <c r="E294" t="s">
        <v>9523</v>
      </c>
      <c r="F294">
        <v>0</v>
      </c>
      <c r="G294" t="s">
        <v>6581</v>
      </c>
      <c r="H294" t="s">
        <v>9483</v>
      </c>
      <c r="I294">
        <v>0</v>
      </c>
    </row>
    <row r="295" spans="4:9" customFormat="1" ht="13.95" customHeight="1">
      <c r="D295" t="s">
        <v>6522</v>
      </c>
      <c r="E295" t="s">
        <v>9524</v>
      </c>
      <c r="F295">
        <v>0</v>
      </c>
      <c r="G295" t="s">
        <v>6581</v>
      </c>
      <c r="H295" t="s">
        <v>9486</v>
      </c>
      <c r="I295">
        <v>0</v>
      </c>
    </row>
    <row r="296" spans="4:9" customFormat="1" ht="13.95" customHeight="1">
      <c r="D296" t="s">
        <v>6523</v>
      </c>
      <c r="E296" t="s">
        <v>9445</v>
      </c>
      <c r="F296">
        <v>0</v>
      </c>
      <c r="G296" t="s">
        <v>6581</v>
      </c>
      <c r="H296" t="s">
        <v>9488</v>
      </c>
      <c r="I296">
        <v>0</v>
      </c>
    </row>
    <row r="297" spans="4:9" customFormat="1" ht="13.95" customHeight="1">
      <c r="D297" t="s">
        <v>6523</v>
      </c>
      <c r="E297" t="s">
        <v>9446</v>
      </c>
      <c r="F297">
        <v>0</v>
      </c>
      <c r="G297" t="s">
        <v>6581</v>
      </c>
      <c r="H297" t="s">
        <v>9490</v>
      </c>
      <c r="I297">
        <v>0</v>
      </c>
    </row>
    <row r="298" spans="4:9" customFormat="1" ht="13.95" customHeight="1">
      <c r="D298" t="s">
        <v>6523</v>
      </c>
      <c r="E298" t="s">
        <v>9447</v>
      </c>
      <c r="F298">
        <v>0</v>
      </c>
      <c r="G298" t="s">
        <v>6581</v>
      </c>
      <c r="H298" t="s">
        <v>9492</v>
      </c>
      <c r="I298">
        <v>0</v>
      </c>
    </row>
    <row r="299" spans="4:9" customFormat="1" ht="13.95" customHeight="1">
      <c r="D299" t="s">
        <v>6523</v>
      </c>
      <c r="E299" t="s">
        <v>9448</v>
      </c>
      <c r="F299">
        <v>0</v>
      </c>
      <c r="G299" t="s">
        <v>6581</v>
      </c>
      <c r="H299" t="s">
        <v>9494</v>
      </c>
      <c r="I299">
        <v>1.8140000000000001</v>
      </c>
    </row>
    <row r="300" spans="4:9" customFormat="1" ht="13.95" customHeight="1">
      <c r="D300" t="s">
        <v>6523</v>
      </c>
      <c r="E300" t="s">
        <v>9449</v>
      </c>
      <c r="F300">
        <v>0</v>
      </c>
      <c r="G300" t="s">
        <v>6581</v>
      </c>
      <c r="H300" t="s">
        <v>9496</v>
      </c>
      <c r="I300">
        <v>0</v>
      </c>
    </row>
    <row r="301" spans="4:9" customFormat="1" ht="13.95" customHeight="1">
      <c r="D301" t="s">
        <v>6523</v>
      </c>
      <c r="E301" t="s">
        <v>9450</v>
      </c>
      <c r="F301">
        <v>0</v>
      </c>
      <c r="G301" t="s">
        <v>6581</v>
      </c>
      <c r="H301" t="s">
        <v>9497</v>
      </c>
      <c r="I301">
        <v>1.476</v>
      </c>
    </row>
    <row r="302" spans="4:9" customFormat="1" ht="13.95" customHeight="1">
      <c r="D302" t="s">
        <v>6523</v>
      </c>
      <c r="E302" t="s">
        <v>9451</v>
      </c>
      <c r="F302">
        <v>0</v>
      </c>
      <c r="G302" t="s">
        <v>6581</v>
      </c>
      <c r="H302" t="s">
        <v>9498</v>
      </c>
      <c r="I302">
        <v>0</v>
      </c>
    </row>
    <row r="303" spans="4:9" customFormat="1" ht="13.95" customHeight="1">
      <c r="D303" t="s">
        <v>6523</v>
      </c>
      <c r="E303" t="s">
        <v>9452</v>
      </c>
      <c r="F303">
        <v>0</v>
      </c>
      <c r="G303" t="s">
        <v>6581</v>
      </c>
      <c r="H303" t="s">
        <v>9499</v>
      </c>
      <c r="I303">
        <v>0</v>
      </c>
    </row>
    <row r="304" spans="4:9" customFormat="1" ht="13.95" customHeight="1">
      <c r="D304" t="s">
        <v>6523</v>
      </c>
      <c r="E304" t="s">
        <v>9453</v>
      </c>
      <c r="F304">
        <v>0</v>
      </c>
      <c r="G304" t="s">
        <v>6581</v>
      </c>
      <c r="H304" t="s">
        <v>9500</v>
      </c>
      <c r="I304">
        <v>0</v>
      </c>
    </row>
    <row r="305" spans="4:9" customFormat="1" ht="13.95" customHeight="1">
      <c r="D305" t="s">
        <v>6523</v>
      </c>
      <c r="E305" t="s">
        <v>9454</v>
      </c>
      <c r="F305">
        <v>0</v>
      </c>
      <c r="G305" t="s">
        <v>6581</v>
      </c>
      <c r="H305" t="s">
        <v>9501</v>
      </c>
      <c r="I305">
        <v>7.1999999999999995E-2</v>
      </c>
    </row>
    <row r="306" spans="4:9" customFormat="1" ht="13.95" customHeight="1">
      <c r="D306" t="s">
        <v>6523</v>
      </c>
      <c r="E306" t="s">
        <v>9455</v>
      </c>
      <c r="F306">
        <v>0</v>
      </c>
      <c r="G306" t="s">
        <v>6581</v>
      </c>
      <c r="H306" t="s">
        <v>9502</v>
      </c>
      <c r="I306">
        <v>0</v>
      </c>
    </row>
    <row r="307" spans="4:9" customFormat="1" ht="13.95" customHeight="1">
      <c r="D307" t="s">
        <v>6523</v>
      </c>
      <c r="E307" t="s">
        <v>9456</v>
      </c>
      <c r="F307">
        <v>0</v>
      </c>
      <c r="G307" t="s">
        <v>6581</v>
      </c>
      <c r="H307" t="s">
        <v>9503</v>
      </c>
      <c r="I307">
        <v>0.20899999999999999</v>
      </c>
    </row>
    <row r="308" spans="4:9" customFormat="1" ht="13.95" customHeight="1">
      <c r="D308" t="s">
        <v>6523</v>
      </c>
      <c r="E308" t="s">
        <v>9457</v>
      </c>
      <c r="F308">
        <v>0</v>
      </c>
      <c r="G308" t="s">
        <v>6581</v>
      </c>
      <c r="H308" t="s">
        <v>9504</v>
      </c>
      <c r="I308">
        <v>0</v>
      </c>
    </row>
    <row r="309" spans="4:9" customFormat="1" ht="13.95" customHeight="1">
      <c r="D309" t="s">
        <v>6523</v>
      </c>
      <c r="E309" t="s">
        <v>9458</v>
      </c>
      <c r="F309">
        <v>0</v>
      </c>
      <c r="G309" t="s">
        <v>6581</v>
      </c>
      <c r="H309" t="s">
        <v>9505</v>
      </c>
      <c r="I309">
        <v>7.1999999999999995E-2</v>
      </c>
    </row>
    <row r="310" spans="4:9" customFormat="1" ht="13.95" customHeight="1">
      <c r="D310" t="s">
        <v>6523</v>
      </c>
      <c r="E310" t="s">
        <v>9459</v>
      </c>
      <c r="F310">
        <v>0</v>
      </c>
      <c r="G310" t="s">
        <v>6581</v>
      </c>
      <c r="H310" t="s">
        <v>9506</v>
      </c>
      <c r="I310">
        <v>0</v>
      </c>
    </row>
    <row r="311" spans="4:9" customFormat="1" ht="13.95" customHeight="1">
      <c r="D311" t="s">
        <v>6523</v>
      </c>
      <c r="E311" t="s">
        <v>9460</v>
      </c>
      <c r="F311">
        <v>0</v>
      </c>
      <c r="G311" t="s">
        <v>6581</v>
      </c>
      <c r="H311" t="s">
        <v>9507</v>
      </c>
      <c r="I311">
        <v>1.6059999999999999</v>
      </c>
    </row>
    <row r="312" spans="4:9" customFormat="1" ht="13.95" customHeight="1">
      <c r="D312" t="s">
        <v>6523</v>
      </c>
      <c r="E312" t="s">
        <v>9461</v>
      </c>
      <c r="F312">
        <v>0</v>
      </c>
      <c r="G312" t="s">
        <v>6581</v>
      </c>
      <c r="H312" t="s">
        <v>9508</v>
      </c>
      <c r="I312">
        <v>0</v>
      </c>
    </row>
    <row r="313" spans="4:9" customFormat="1" ht="13.95" customHeight="1">
      <c r="D313" t="s">
        <v>6523</v>
      </c>
      <c r="E313" t="s">
        <v>9462</v>
      </c>
      <c r="F313">
        <v>0</v>
      </c>
      <c r="G313" t="s">
        <v>6581</v>
      </c>
      <c r="H313" t="s">
        <v>9509</v>
      </c>
      <c r="I313">
        <v>0.41</v>
      </c>
    </row>
    <row r="314" spans="4:9" customFormat="1" ht="13.95" customHeight="1">
      <c r="D314" t="s">
        <v>6523</v>
      </c>
      <c r="E314" t="s">
        <v>9481</v>
      </c>
      <c r="F314">
        <v>0</v>
      </c>
      <c r="G314" t="s">
        <v>6581</v>
      </c>
      <c r="H314" t="s">
        <v>9510</v>
      </c>
      <c r="I314">
        <v>0</v>
      </c>
    </row>
    <row r="315" spans="4:9" customFormat="1" ht="13.95" customHeight="1">
      <c r="D315" t="s">
        <v>6523</v>
      </c>
      <c r="E315" t="s">
        <v>9483</v>
      </c>
      <c r="F315">
        <v>0</v>
      </c>
      <c r="G315" t="s">
        <v>6581</v>
      </c>
      <c r="H315" t="s">
        <v>9511</v>
      </c>
      <c r="I315">
        <v>0.223</v>
      </c>
    </row>
    <row r="316" spans="4:9" customFormat="1" ht="13.95" customHeight="1">
      <c r="D316" t="s">
        <v>6523</v>
      </c>
      <c r="E316" t="s">
        <v>9486</v>
      </c>
      <c r="F316">
        <v>0</v>
      </c>
      <c r="G316" t="s">
        <v>6581</v>
      </c>
      <c r="H316" t="s">
        <v>9512</v>
      </c>
      <c r="I316">
        <v>0</v>
      </c>
    </row>
    <row r="317" spans="4:9" customFormat="1" ht="13.95" customHeight="1">
      <c r="D317" t="s">
        <v>6523</v>
      </c>
      <c r="E317" t="s">
        <v>9488</v>
      </c>
      <c r="F317">
        <v>0</v>
      </c>
      <c r="G317" t="s">
        <v>6581</v>
      </c>
      <c r="H317" t="s">
        <v>9513</v>
      </c>
      <c r="I317">
        <v>1.159</v>
      </c>
    </row>
    <row r="318" spans="4:9" customFormat="1" ht="13.95" customHeight="1">
      <c r="D318" t="s">
        <v>6523</v>
      </c>
      <c r="E318" t="s">
        <v>9490</v>
      </c>
      <c r="F318">
        <v>0</v>
      </c>
      <c r="G318" t="s">
        <v>6581</v>
      </c>
      <c r="H318" t="s">
        <v>9514</v>
      </c>
      <c r="I318">
        <v>0</v>
      </c>
    </row>
    <row r="319" spans="4:9" customFormat="1" ht="13.95" customHeight="1">
      <c r="D319" t="s">
        <v>6523</v>
      </c>
      <c r="E319" t="s">
        <v>9492</v>
      </c>
      <c r="F319">
        <v>0</v>
      </c>
      <c r="G319" t="s">
        <v>6581</v>
      </c>
      <c r="H319" t="s">
        <v>9515</v>
      </c>
      <c r="I319">
        <v>1.087</v>
      </c>
    </row>
    <row r="320" spans="4:9" customFormat="1" ht="13.95" customHeight="1">
      <c r="D320" t="s">
        <v>6523</v>
      </c>
      <c r="E320" t="s">
        <v>9494</v>
      </c>
      <c r="F320">
        <v>0</v>
      </c>
      <c r="G320" t="s">
        <v>6581</v>
      </c>
      <c r="H320" t="s">
        <v>9516</v>
      </c>
      <c r="I320">
        <v>0</v>
      </c>
    </row>
    <row r="321" spans="4:9" customFormat="1" ht="13.95" customHeight="1">
      <c r="D321" t="s">
        <v>6523</v>
      </c>
      <c r="E321" t="s">
        <v>9496</v>
      </c>
      <c r="F321">
        <v>0</v>
      </c>
      <c r="G321" t="s">
        <v>6581</v>
      </c>
      <c r="H321" t="s">
        <v>9517</v>
      </c>
      <c r="I321">
        <v>1.1160000000000001</v>
      </c>
    </row>
    <row r="322" spans="4:9" customFormat="1" ht="13.95" customHeight="1">
      <c r="D322" t="s">
        <v>6523</v>
      </c>
      <c r="E322" t="s">
        <v>9497</v>
      </c>
      <c r="F322">
        <v>0</v>
      </c>
      <c r="G322" t="s">
        <v>6581</v>
      </c>
      <c r="H322" t="s">
        <v>9518</v>
      </c>
      <c r="I322">
        <v>0</v>
      </c>
    </row>
    <row r="323" spans="4:9" customFormat="1" ht="13.95" customHeight="1">
      <c r="D323" t="s">
        <v>6523</v>
      </c>
      <c r="E323" t="s">
        <v>9498</v>
      </c>
      <c r="F323">
        <v>0</v>
      </c>
      <c r="G323" t="s">
        <v>6581</v>
      </c>
      <c r="H323" t="s">
        <v>9519</v>
      </c>
      <c r="I323">
        <v>0.29499999999999998</v>
      </c>
    </row>
    <row r="324" spans="4:9" customFormat="1" ht="13.95" customHeight="1">
      <c r="D324" t="s">
        <v>6523</v>
      </c>
      <c r="E324" t="s">
        <v>9499</v>
      </c>
      <c r="F324">
        <v>0</v>
      </c>
      <c r="G324" t="s">
        <v>6581</v>
      </c>
      <c r="H324" t="s">
        <v>9520</v>
      </c>
      <c r="I324">
        <v>0</v>
      </c>
    </row>
    <row r="325" spans="4:9" customFormat="1" ht="13.95" customHeight="1">
      <c r="D325" t="s">
        <v>6523</v>
      </c>
      <c r="E325" t="s">
        <v>9500</v>
      </c>
      <c r="F325">
        <v>0</v>
      </c>
      <c r="G325" t="s">
        <v>6581</v>
      </c>
      <c r="H325" t="s">
        <v>9521</v>
      </c>
      <c r="I325">
        <v>1.2170000000000001</v>
      </c>
    </row>
    <row r="326" spans="4:9" customFormat="1" ht="13.95" customHeight="1">
      <c r="D326" t="s">
        <v>6523</v>
      </c>
      <c r="E326" t="s">
        <v>9501</v>
      </c>
      <c r="F326">
        <v>0</v>
      </c>
      <c r="G326" t="s">
        <v>6581</v>
      </c>
      <c r="H326" t="s">
        <v>9522</v>
      </c>
      <c r="I326">
        <v>0</v>
      </c>
    </row>
    <row r="327" spans="4:9" customFormat="1" ht="13.95" customHeight="1">
      <c r="D327" t="s">
        <v>6523</v>
      </c>
      <c r="E327" t="s">
        <v>9502</v>
      </c>
      <c r="F327">
        <v>0</v>
      </c>
      <c r="G327" t="s">
        <v>6581</v>
      </c>
      <c r="H327" t="s">
        <v>9523</v>
      </c>
      <c r="I327">
        <v>0.309</v>
      </c>
    </row>
    <row r="328" spans="4:9" customFormat="1" ht="13.95" customHeight="1">
      <c r="D328" t="s">
        <v>6523</v>
      </c>
      <c r="E328" t="s">
        <v>9503</v>
      </c>
      <c r="F328">
        <v>0</v>
      </c>
      <c r="G328" t="s">
        <v>6581</v>
      </c>
      <c r="H328" t="s">
        <v>9524</v>
      </c>
      <c r="I328">
        <v>0.54</v>
      </c>
    </row>
    <row r="329" spans="4:9" customFormat="1" ht="13.95" customHeight="1">
      <c r="D329" t="s">
        <v>6523</v>
      </c>
      <c r="E329" t="s">
        <v>9504</v>
      </c>
      <c r="F329">
        <v>0</v>
      </c>
      <c r="G329" t="s">
        <v>6582</v>
      </c>
      <c r="H329" t="s">
        <v>9445</v>
      </c>
      <c r="I329">
        <v>0</v>
      </c>
    </row>
    <row r="330" spans="4:9" customFormat="1" ht="13.95" customHeight="1">
      <c r="D330" t="s">
        <v>6523</v>
      </c>
      <c r="E330" t="s">
        <v>9505</v>
      </c>
      <c r="F330">
        <v>0</v>
      </c>
      <c r="G330" t="s">
        <v>6582</v>
      </c>
      <c r="H330" t="s">
        <v>9446</v>
      </c>
      <c r="I330">
        <v>0</v>
      </c>
    </row>
    <row r="331" spans="4:9" customFormat="1" ht="13.95" customHeight="1">
      <c r="D331" t="s">
        <v>6523</v>
      </c>
      <c r="E331" t="s">
        <v>9506</v>
      </c>
      <c r="F331">
        <v>0</v>
      </c>
      <c r="G331" t="s">
        <v>6582</v>
      </c>
      <c r="H331" t="s">
        <v>9447</v>
      </c>
      <c r="I331">
        <v>0</v>
      </c>
    </row>
    <row r="332" spans="4:9" customFormat="1" ht="13.95" customHeight="1">
      <c r="D332" t="s">
        <v>6523</v>
      </c>
      <c r="E332" t="s">
        <v>9507</v>
      </c>
      <c r="F332">
        <v>0</v>
      </c>
      <c r="G332" t="s">
        <v>6582</v>
      </c>
      <c r="H332" t="s">
        <v>9448</v>
      </c>
      <c r="I332">
        <v>0</v>
      </c>
    </row>
    <row r="333" spans="4:9" customFormat="1" ht="13.95" customHeight="1">
      <c r="D333" t="s">
        <v>6523</v>
      </c>
      <c r="E333" t="s">
        <v>9508</v>
      </c>
      <c r="F333">
        <v>0</v>
      </c>
      <c r="G333" t="s">
        <v>6582</v>
      </c>
      <c r="H333" t="s">
        <v>9449</v>
      </c>
      <c r="I333">
        <v>0</v>
      </c>
    </row>
    <row r="334" spans="4:9" customFormat="1" ht="13.95" customHeight="1">
      <c r="D334" t="s">
        <v>6523</v>
      </c>
      <c r="E334" t="s">
        <v>9509</v>
      </c>
      <c r="F334">
        <v>0</v>
      </c>
      <c r="G334" t="s">
        <v>6582</v>
      </c>
      <c r="H334" t="s">
        <v>9450</v>
      </c>
      <c r="I334">
        <v>0</v>
      </c>
    </row>
    <row r="335" spans="4:9" customFormat="1" ht="13.95" customHeight="1">
      <c r="D335" t="s">
        <v>6523</v>
      </c>
      <c r="E335" t="s">
        <v>9510</v>
      </c>
      <c r="F335">
        <v>0</v>
      </c>
      <c r="G335" t="s">
        <v>6582</v>
      </c>
      <c r="H335" t="s">
        <v>9451</v>
      </c>
      <c r="I335">
        <v>0</v>
      </c>
    </row>
    <row r="336" spans="4:9" customFormat="1" ht="13.95" customHeight="1">
      <c r="D336" t="s">
        <v>6523</v>
      </c>
      <c r="E336" t="s">
        <v>9511</v>
      </c>
      <c r="F336">
        <v>0</v>
      </c>
      <c r="G336" t="s">
        <v>6582</v>
      </c>
      <c r="H336" t="s">
        <v>9452</v>
      </c>
      <c r="I336">
        <v>0</v>
      </c>
    </row>
    <row r="337" spans="4:9" customFormat="1" ht="13.95" customHeight="1">
      <c r="D337" t="s">
        <v>6523</v>
      </c>
      <c r="E337" t="s">
        <v>9512</v>
      </c>
      <c r="F337">
        <v>0</v>
      </c>
      <c r="G337" t="s">
        <v>6582</v>
      </c>
      <c r="H337" t="s">
        <v>9453</v>
      </c>
      <c r="I337">
        <v>0</v>
      </c>
    </row>
    <row r="338" spans="4:9" customFormat="1" ht="13.95" customHeight="1">
      <c r="D338" t="s">
        <v>6523</v>
      </c>
      <c r="E338" t="s">
        <v>9513</v>
      </c>
      <c r="F338">
        <v>0</v>
      </c>
      <c r="G338" t="s">
        <v>6582</v>
      </c>
      <c r="H338" t="s">
        <v>9454</v>
      </c>
      <c r="I338">
        <v>0</v>
      </c>
    </row>
    <row r="339" spans="4:9" customFormat="1" ht="13.95" customHeight="1">
      <c r="D339" t="s">
        <v>6523</v>
      </c>
      <c r="E339" t="s">
        <v>9514</v>
      </c>
      <c r="F339">
        <v>0</v>
      </c>
      <c r="G339" t="s">
        <v>6582</v>
      </c>
      <c r="H339" t="s">
        <v>9455</v>
      </c>
      <c r="I339">
        <v>0</v>
      </c>
    </row>
    <row r="340" spans="4:9" customFormat="1" ht="13.95" customHeight="1">
      <c r="D340" t="s">
        <v>6523</v>
      </c>
      <c r="E340" t="s">
        <v>9515</v>
      </c>
      <c r="F340">
        <v>0</v>
      </c>
      <c r="G340" t="s">
        <v>6582</v>
      </c>
      <c r="H340" t="s">
        <v>9456</v>
      </c>
      <c r="I340">
        <v>0</v>
      </c>
    </row>
    <row r="341" spans="4:9" customFormat="1" ht="13.95" customHeight="1">
      <c r="D341" t="s">
        <v>6523</v>
      </c>
      <c r="E341" t="s">
        <v>9516</v>
      </c>
      <c r="F341">
        <v>0</v>
      </c>
      <c r="G341" t="s">
        <v>6582</v>
      </c>
      <c r="H341" t="s">
        <v>9457</v>
      </c>
      <c r="I341">
        <v>0</v>
      </c>
    </row>
    <row r="342" spans="4:9" customFormat="1" ht="13.95" customHeight="1">
      <c r="D342" t="s">
        <v>6523</v>
      </c>
      <c r="E342" t="s">
        <v>9517</v>
      </c>
      <c r="F342">
        <v>0</v>
      </c>
      <c r="G342" t="s">
        <v>6582</v>
      </c>
      <c r="H342" t="s">
        <v>9458</v>
      </c>
      <c r="I342">
        <v>0</v>
      </c>
    </row>
    <row r="343" spans="4:9" customFormat="1" ht="13.95" customHeight="1">
      <c r="D343" t="s">
        <v>6523</v>
      </c>
      <c r="E343" t="s">
        <v>9518</v>
      </c>
      <c r="F343">
        <v>0</v>
      </c>
      <c r="G343" t="s">
        <v>6582</v>
      </c>
      <c r="H343" t="s">
        <v>9459</v>
      </c>
      <c r="I343">
        <v>0</v>
      </c>
    </row>
    <row r="344" spans="4:9" customFormat="1" ht="13.95" customHeight="1">
      <c r="D344" t="s">
        <v>6523</v>
      </c>
      <c r="E344" t="s">
        <v>9519</v>
      </c>
      <c r="F344">
        <v>0</v>
      </c>
      <c r="G344" t="s">
        <v>6582</v>
      </c>
      <c r="H344" t="s">
        <v>9460</v>
      </c>
      <c r="I344">
        <v>0</v>
      </c>
    </row>
    <row r="345" spans="4:9" customFormat="1" ht="13.95" customHeight="1">
      <c r="D345" t="s">
        <v>6523</v>
      </c>
      <c r="E345" t="s">
        <v>9520</v>
      </c>
      <c r="F345">
        <v>0</v>
      </c>
      <c r="G345" t="s">
        <v>6582</v>
      </c>
      <c r="H345" t="s">
        <v>9461</v>
      </c>
      <c r="I345">
        <v>0</v>
      </c>
    </row>
    <row r="346" spans="4:9" customFormat="1" ht="13.95" customHeight="1">
      <c r="D346" t="s">
        <v>6523</v>
      </c>
      <c r="E346" t="s">
        <v>9521</v>
      </c>
      <c r="F346">
        <v>0</v>
      </c>
      <c r="G346" t="s">
        <v>6582</v>
      </c>
      <c r="H346" t="s">
        <v>9462</v>
      </c>
      <c r="I346">
        <v>0</v>
      </c>
    </row>
    <row r="347" spans="4:9" customFormat="1" ht="13.95" customHeight="1">
      <c r="D347" t="s">
        <v>6523</v>
      </c>
      <c r="E347" t="s">
        <v>9522</v>
      </c>
      <c r="F347">
        <v>0</v>
      </c>
      <c r="G347" t="s">
        <v>6582</v>
      </c>
      <c r="H347" t="s">
        <v>9481</v>
      </c>
      <c r="I347">
        <v>0</v>
      </c>
    </row>
    <row r="348" spans="4:9" customFormat="1" ht="13.95" customHeight="1">
      <c r="D348" t="s">
        <v>6523</v>
      </c>
      <c r="E348" t="s">
        <v>9523</v>
      </c>
      <c r="F348">
        <v>0</v>
      </c>
      <c r="G348" t="s">
        <v>6582</v>
      </c>
      <c r="H348" t="s">
        <v>9483</v>
      </c>
      <c r="I348">
        <v>0</v>
      </c>
    </row>
    <row r="349" spans="4:9" customFormat="1" ht="13.95" customHeight="1">
      <c r="D349" t="s">
        <v>6523</v>
      </c>
      <c r="E349" t="s">
        <v>9524</v>
      </c>
      <c r="F349">
        <v>0</v>
      </c>
      <c r="G349" t="s">
        <v>6582</v>
      </c>
      <c r="H349" t="s">
        <v>9486</v>
      </c>
      <c r="I349">
        <v>0</v>
      </c>
    </row>
    <row r="350" spans="4:9" customFormat="1" ht="13.95" customHeight="1">
      <c r="D350" t="s">
        <v>6524</v>
      </c>
      <c r="E350" t="s">
        <v>9445</v>
      </c>
      <c r="F350">
        <v>1.6859999999999999</v>
      </c>
      <c r="G350" t="s">
        <v>6582</v>
      </c>
      <c r="H350" t="s">
        <v>9488</v>
      </c>
      <c r="I350">
        <v>0</v>
      </c>
    </row>
    <row r="351" spans="4:9" customFormat="1" ht="13.95" customHeight="1">
      <c r="D351" t="s">
        <v>6524</v>
      </c>
      <c r="E351" t="s">
        <v>9446</v>
      </c>
      <c r="F351">
        <v>0.16900000000000001</v>
      </c>
      <c r="G351" t="s">
        <v>6582</v>
      </c>
      <c r="H351" t="s">
        <v>9490</v>
      </c>
      <c r="I351">
        <v>0</v>
      </c>
    </row>
    <row r="352" spans="4:9" customFormat="1" ht="13.95" customHeight="1">
      <c r="D352" t="s">
        <v>6524</v>
      </c>
      <c r="E352" t="s">
        <v>9447</v>
      </c>
      <c r="F352">
        <v>0.16900000000000001</v>
      </c>
      <c r="G352" t="s">
        <v>6582</v>
      </c>
      <c r="H352" t="s">
        <v>9492</v>
      </c>
      <c r="I352">
        <v>0</v>
      </c>
    </row>
    <row r="353" spans="4:9" customFormat="1" ht="13.95" customHeight="1">
      <c r="D353" t="s">
        <v>6524</v>
      </c>
      <c r="E353" t="s">
        <v>9448</v>
      </c>
      <c r="F353">
        <v>0</v>
      </c>
      <c r="G353" t="s">
        <v>6582</v>
      </c>
      <c r="H353" t="s">
        <v>9494</v>
      </c>
      <c r="I353">
        <v>0</v>
      </c>
    </row>
    <row r="354" spans="4:9" customFormat="1" ht="13.95" customHeight="1">
      <c r="D354" t="s">
        <v>6524</v>
      </c>
      <c r="E354" t="s">
        <v>9449</v>
      </c>
      <c r="F354">
        <v>8.2000000000000003E-2</v>
      </c>
      <c r="G354" t="s">
        <v>6582</v>
      </c>
      <c r="H354" t="s">
        <v>9496</v>
      </c>
      <c r="I354">
        <v>0</v>
      </c>
    </row>
    <row r="355" spans="4:9" customFormat="1" ht="13.95" customHeight="1">
      <c r="D355" t="s">
        <v>6524</v>
      </c>
      <c r="E355" t="s">
        <v>9450</v>
      </c>
      <c r="F355">
        <v>8.5999999999999993E-2</v>
      </c>
      <c r="G355" t="s">
        <v>6582</v>
      </c>
      <c r="H355" t="s">
        <v>9497</v>
      </c>
      <c r="I355">
        <v>0</v>
      </c>
    </row>
    <row r="356" spans="4:9" customFormat="1" ht="13.95" customHeight="1">
      <c r="D356" t="s">
        <v>6524</v>
      </c>
      <c r="E356" t="s">
        <v>9451</v>
      </c>
      <c r="F356">
        <v>0</v>
      </c>
      <c r="G356" t="s">
        <v>6582</v>
      </c>
      <c r="H356" t="s">
        <v>9498</v>
      </c>
      <c r="I356">
        <v>0</v>
      </c>
    </row>
    <row r="357" spans="4:9" customFormat="1" ht="13.95" customHeight="1">
      <c r="D357" t="s">
        <v>6524</v>
      </c>
      <c r="E357" t="s">
        <v>9452</v>
      </c>
      <c r="F357">
        <v>0</v>
      </c>
      <c r="G357" t="s">
        <v>6582</v>
      </c>
      <c r="H357" t="s">
        <v>9499</v>
      </c>
      <c r="I357">
        <v>0</v>
      </c>
    </row>
    <row r="358" spans="4:9" customFormat="1" ht="13.95" customHeight="1">
      <c r="D358" t="s">
        <v>6524</v>
      </c>
      <c r="E358" t="s">
        <v>9453</v>
      </c>
      <c r="F358">
        <v>0</v>
      </c>
      <c r="G358" t="s">
        <v>6582</v>
      </c>
      <c r="H358" t="s">
        <v>9500</v>
      </c>
      <c r="I358">
        <v>0</v>
      </c>
    </row>
    <row r="359" spans="4:9" customFormat="1" ht="13.95" customHeight="1">
      <c r="D359" t="s">
        <v>6524</v>
      </c>
      <c r="E359" t="s">
        <v>9454</v>
      </c>
      <c r="F359">
        <v>0</v>
      </c>
      <c r="G359" t="s">
        <v>6582</v>
      </c>
      <c r="H359" t="s">
        <v>9501</v>
      </c>
      <c r="I359">
        <v>0</v>
      </c>
    </row>
    <row r="360" spans="4:9" customFormat="1" ht="13.95" customHeight="1">
      <c r="D360" t="s">
        <v>6524</v>
      </c>
      <c r="E360" t="s">
        <v>9455</v>
      </c>
      <c r="F360">
        <v>0</v>
      </c>
      <c r="G360" t="s">
        <v>6582</v>
      </c>
      <c r="H360" t="s">
        <v>9502</v>
      </c>
      <c r="I360">
        <v>0</v>
      </c>
    </row>
    <row r="361" spans="4:9" customFormat="1" ht="13.95" customHeight="1">
      <c r="D361" t="s">
        <v>6524</v>
      </c>
      <c r="E361" t="s">
        <v>9456</v>
      </c>
      <c r="F361">
        <v>0</v>
      </c>
      <c r="G361" t="s">
        <v>6582</v>
      </c>
      <c r="H361" t="s">
        <v>9503</v>
      </c>
      <c r="I361">
        <v>0</v>
      </c>
    </row>
    <row r="362" spans="4:9" customFormat="1" ht="13.95" customHeight="1">
      <c r="D362" t="s">
        <v>6524</v>
      </c>
      <c r="E362" t="s">
        <v>9457</v>
      </c>
      <c r="F362">
        <v>0</v>
      </c>
      <c r="G362" t="s">
        <v>6582</v>
      </c>
      <c r="H362" t="s">
        <v>9504</v>
      </c>
      <c r="I362">
        <v>0</v>
      </c>
    </row>
    <row r="363" spans="4:9" customFormat="1" ht="13.95" customHeight="1">
      <c r="D363" t="s">
        <v>6524</v>
      </c>
      <c r="E363" t="s">
        <v>9458</v>
      </c>
      <c r="F363">
        <v>0</v>
      </c>
      <c r="G363" t="s">
        <v>6582</v>
      </c>
      <c r="H363" t="s">
        <v>9505</v>
      </c>
      <c r="I363">
        <v>0</v>
      </c>
    </row>
    <row r="364" spans="4:9" customFormat="1" ht="13.95" customHeight="1">
      <c r="D364" t="s">
        <v>6524</v>
      </c>
      <c r="E364" t="s">
        <v>9459</v>
      </c>
      <c r="F364">
        <v>0</v>
      </c>
      <c r="G364" t="s">
        <v>6582</v>
      </c>
      <c r="H364" t="s">
        <v>9506</v>
      </c>
      <c r="I364">
        <v>0</v>
      </c>
    </row>
    <row r="365" spans="4:9" customFormat="1" ht="13.95" customHeight="1">
      <c r="D365" t="s">
        <v>6524</v>
      </c>
      <c r="E365" t="s">
        <v>9460</v>
      </c>
      <c r="F365">
        <v>0</v>
      </c>
      <c r="G365" t="s">
        <v>6582</v>
      </c>
      <c r="H365" t="s">
        <v>9507</v>
      </c>
      <c r="I365">
        <v>0</v>
      </c>
    </row>
    <row r="366" spans="4:9" customFormat="1" ht="13.95" customHeight="1">
      <c r="D366" t="s">
        <v>6524</v>
      </c>
      <c r="E366" t="s">
        <v>9461</v>
      </c>
      <c r="F366">
        <v>0</v>
      </c>
      <c r="G366" t="s">
        <v>6582</v>
      </c>
      <c r="H366" t="s">
        <v>9508</v>
      </c>
      <c r="I366">
        <v>0</v>
      </c>
    </row>
    <row r="367" spans="4:9" customFormat="1" ht="13.95" customHeight="1">
      <c r="D367" t="s">
        <v>6524</v>
      </c>
      <c r="E367" t="s">
        <v>9462</v>
      </c>
      <c r="F367">
        <v>0</v>
      </c>
      <c r="G367" t="s">
        <v>6582</v>
      </c>
      <c r="H367" t="s">
        <v>9509</v>
      </c>
      <c r="I367">
        <v>0</v>
      </c>
    </row>
    <row r="368" spans="4:9" customFormat="1" ht="13.95" customHeight="1">
      <c r="D368" t="s">
        <v>6524</v>
      </c>
      <c r="E368" t="s">
        <v>9481</v>
      </c>
      <c r="F368">
        <v>0</v>
      </c>
      <c r="G368" t="s">
        <v>6582</v>
      </c>
      <c r="H368" t="s">
        <v>9510</v>
      </c>
      <c r="I368">
        <v>0</v>
      </c>
    </row>
    <row r="369" spans="4:9" customFormat="1" ht="13.95" customHeight="1">
      <c r="D369" t="s">
        <v>6524</v>
      </c>
      <c r="E369" t="s">
        <v>9483</v>
      </c>
      <c r="F369">
        <v>0</v>
      </c>
      <c r="G369" t="s">
        <v>6582</v>
      </c>
      <c r="H369" t="s">
        <v>9511</v>
      </c>
      <c r="I369">
        <v>0</v>
      </c>
    </row>
    <row r="370" spans="4:9" customFormat="1" ht="13.95" customHeight="1">
      <c r="D370" t="s">
        <v>6524</v>
      </c>
      <c r="E370" t="s">
        <v>9486</v>
      </c>
      <c r="F370">
        <v>0</v>
      </c>
      <c r="G370" t="s">
        <v>6582</v>
      </c>
      <c r="H370" t="s">
        <v>9512</v>
      </c>
      <c r="I370">
        <v>0</v>
      </c>
    </row>
    <row r="371" spans="4:9" customFormat="1" ht="13.95" customHeight="1">
      <c r="D371" t="s">
        <v>6524</v>
      </c>
      <c r="E371" t="s">
        <v>9488</v>
      </c>
      <c r="F371">
        <v>0</v>
      </c>
      <c r="G371" t="s">
        <v>6582</v>
      </c>
      <c r="H371" t="s">
        <v>9513</v>
      </c>
      <c r="I371">
        <v>0</v>
      </c>
    </row>
    <row r="372" spans="4:9" customFormat="1" ht="13.95" customHeight="1">
      <c r="D372" t="s">
        <v>6524</v>
      </c>
      <c r="E372" t="s">
        <v>9490</v>
      </c>
      <c r="F372">
        <v>0</v>
      </c>
      <c r="G372" t="s">
        <v>6582</v>
      </c>
      <c r="H372" t="s">
        <v>9514</v>
      </c>
      <c r="I372">
        <v>0</v>
      </c>
    </row>
    <row r="373" spans="4:9" customFormat="1" ht="13.95" customHeight="1">
      <c r="D373" t="s">
        <v>6524</v>
      </c>
      <c r="E373" t="s">
        <v>9492</v>
      </c>
      <c r="F373">
        <v>0</v>
      </c>
      <c r="G373" t="s">
        <v>6582</v>
      </c>
      <c r="H373" t="s">
        <v>9515</v>
      </c>
      <c r="I373">
        <v>0</v>
      </c>
    </row>
    <row r="374" spans="4:9" customFormat="1" ht="13.95" customHeight="1">
      <c r="D374" t="s">
        <v>6524</v>
      </c>
      <c r="E374" t="s">
        <v>9494</v>
      </c>
      <c r="F374">
        <v>0</v>
      </c>
      <c r="G374" t="s">
        <v>6582</v>
      </c>
      <c r="H374" t="s">
        <v>9516</v>
      </c>
      <c r="I374">
        <v>0</v>
      </c>
    </row>
    <row r="375" spans="4:9" customFormat="1" ht="13.95" customHeight="1">
      <c r="D375" t="s">
        <v>6524</v>
      </c>
      <c r="E375" t="s">
        <v>9496</v>
      </c>
      <c r="F375">
        <v>0</v>
      </c>
      <c r="G375" t="s">
        <v>6582</v>
      </c>
      <c r="H375" t="s">
        <v>9517</v>
      </c>
      <c r="I375">
        <v>0</v>
      </c>
    </row>
    <row r="376" spans="4:9" customFormat="1" ht="13.95" customHeight="1">
      <c r="D376" t="s">
        <v>6524</v>
      </c>
      <c r="E376" t="s">
        <v>9497</v>
      </c>
      <c r="F376">
        <v>0</v>
      </c>
      <c r="G376" t="s">
        <v>6582</v>
      </c>
      <c r="H376" t="s">
        <v>9518</v>
      </c>
      <c r="I376">
        <v>0</v>
      </c>
    </row>
    <row r="377" spans="4:9" customFormat="1" ht="13.95" customHeight="1">
      <c r="D377" t="s">
        <v>6524</v>
      </c>
      <c r="E377" t="s">
        <v>9498</v>
      </c>
      <c r="F377">
        <v>0</v>
      </c>
      <c r="G377" t="s">
        <v>6582</v>
      </c>
      <c r="H377" t="s">
        <v>9519</v>
      </c>
      <c r="I377">
        <v>0</v>
      </c>
    </row>
    <row r="378" spans="4:9" customFormat="1" ht="13.95" customHeight="1">
      <c r="D378" t="s">
        <v>6524</v>
      </c>
      <c r="E378" t="s">
        <v>9499</v>
      </c>
      <c r="F378">
        <v>0</v>
      </c>
      <c r="G378" t="s">
        <v>6582</v>
      </c>
      <c r="H378" t="s">
        <v>9520</v>
      </c>
      <c r="I378">
        <v>0</v>
      </c>
    </row>
    <row r="379" spans="4:9" customFormat="1" ht="13.95" customHeight="1">
      <c r="D379" t="s">
        <v>6524</v>
      </c>
      <c r="E379" t="s">
        <v>9500</v>
      </c>
      <c r="F379">
        <v>0</v>
      </c>
      <c r="G379" t="s">
        <v>6582</v>
      </c>
      <c r="H379" t="s">
        <v>9521</v>
      </c>
      <c r="I379">
        <v>0</v>
      </c>
    </row>
    <row r="380" spans="4:9" customFormat="1" ht="13.95" customHeight="1">
      <c r="D380" t="s">
        <v>6524</v>
      </c>
      <c r="E380" t="s">
        <v>9501</v>
      </c>
      <c r="F380">
        <v>0</v>
      </c>
      <c r="G380" t="s">
        <v>6582</v>
      </c>
      <c r="H380" t="s">
        <v>9522</v>
      </c>
      <c r="I380">
        <v>0</v>
      </c>
    </row>
    <row r="381" spans="4:9" customFormat="1" ht="13.95" customHeight="1">
      <c r="D381" t="s">
        <v>6524</v>
      </c>
      <c r="E381" t="s">
        <v>9502</v>
      </c>
      <c r="F381">
        <v>0</v>
      </c>
      <c r="G381" t="s">
        <v>6582</v>
      </c>
      <c r="H381" t="s">
        <v>9523</v>
      </c>
      <c r="I381">
        <v>0</v>
      </c>
    </row>
    <row r="382" spans="4:9" customFormat="1" ht="13.95" customHeight="1">
      <c r="D382" t="s">
        <v>6524</v>
      </c>
      <c r="E382" t="s">
        <v>9503</v>
      </c>
      <c r="F382">
        <v>0</v>
      </c>
      <c r="G382" t="s">
        <v>6582</v>
      </c>
      <c r="H382" t="s">
        <v>9524</v>
      </c>
      <c r="I382">
        <v>0</v>
      </c>
    </row>
    <row r="383" spans="4:9" customFormat="1" ht="13.95" customHeight="1">
      <c r="D383" t="s">
        <v>6524</v>
      </c>
      <c r="E383" t="s">
        <v>9504</v>
      </c>
      <c r="F383">
        <v>0</v>
      </c>
      <c r="G383" t="s">
        <v>6583</v>
      </c>
      <c r="H383" t="s">
        <v>9445</v>
      </c>
      <c r="I383">
        <v>0</v>
      </c>
    </row>
    <row r="384" spans="4:9" customFormat="1" ht="13.95" customHeight="1">
      <c r="D384" t="s">
        <v>6524</v>
      </c>
      <c r="E384" t="s">
        <v>9505</v>
      </c>
      <c r="F384">
        <v>0</v>
      </c>
      <c r="G384" t="s">
        <v>6583</v>
      </c>
      <c r="H384" t="s">
        <v>9446</v>
      </c>
      <c r="I384">
        <v>0</v>
      </c>
    </row>
    <row r="385" spans="4:9" customFormat="1" ht="13.95" customHeight="1">
      <c r="D385" t="s">
        <v>6524</v>
      </c>
      <c r="E385" t="s">
        <v>9506</v>
      </c>
      <c r="F385">
        <v>0</v>
      </c>
      <c r="G385" t="s">
        <v>6583</v>
      </c>
      <c r="H385" t="s">
        <v>9447</v>
      </c>
      <c r="I385">
        <v>0</v>
      </c>
    </row>
    <row r="386" spans="4:9" customFormat="1" ht="13.95" customHeight="1">
      <c r="D386" t="s">
        <v>6526</v>
      </c>
      <c r="E386" t="s">
        <v>9445</v>
      </c>
      <c r="F386">
        <v>0</v>
      </c>
      <c r="G386" t="s">
        <v>6583</v>
      </c>
      <c r="H386" t="s">
        <v>9448</v>
      </c>
      <c r="I386">
        <v>0</v>
      </c>
    </row>
    <row r="387" spans="4:9" customFormat="1" ht="13.95" customHeight="1">
      <c r="D387" t="s">
        <v>6526</v>
      </c>
      <c r="E387" t="s">
        <v>9446</v>
      </c>
      <c r="F387">
        <v>0.223</v>
      </c>
      <c r="G387" t="s">
        <v>6583</v>
      </c>
      <c r="H387" t="s">
        <v>9449</v>
      </c>
      <c r="I387">
        <v>0</v>
      </c>
    </row>
    <row r="388" spans="4:9" customFormat="1" ht="13.95" customHeight="1">
      <c r="D388" t="s">
        <v>6526</v>
      </c>
      <c r="E388" t="s">
        <v>9447</v>
      </c>
      <c r="F388">
        <v>0.18</v>
      </c>
      <c r="G388" t="s">
        <v>6583</v>
      </c>
      <c r="H388" t="s">
        <v>9450</v>
      </c>
      <c r="I388">
        <v>0</v>
      </c>
    </row>
    <row r="389" spans="4:9" customFormat="1" ht="13.95" customHeight="1">
      <c r="D389" t="s">
        <v>6526</v>
      </c>
      <c r="E389" t="s">
        <v>9448</v>
      </c>
      <c r="F389">
        <v>0</v>
      </c>
      <c r="G389" t="s">
        <v>6583</v>
      </c>
      <c r="H389" t="s">
        <v>9451</v>
      </c>
      <c r="I389">
        <v>0</v>
      </c>
    </row>
    <row r="390" spans="4:9" customFormat="1" ht="13.95" customHeight="1">
      <c r="D390" t="s">
        <v>6526</v>
      </c>
      <c r="E390" t="s">
        <v>9449</v>
      </c>
      <c r="F390">
        <v>0</v>
      </c>
      <c r="G390" t="s">
        <v>6583</v>
      </c>
      <c r="H390" t="s">
        <v>9452</v>
      </c>
      <c r="I390">
        <v>0</v>
      </c>
    </row>
    <row r="391" spans="4:9" customFormat="1" ht="13.95" customHeight="1">
      <c r="D391" t="s">
        <v>6526</v>
      </c>
      <c r="E391" t="s">
        <v>9450</v>
      </c>
      <c r="F391">
        <v>0.255</v>
      </c>
      <c r="G391" t="s">
        <v>6583</v>
      </c>
      <c r="H391" t="s">
        <v>9453</v>
      </c>
      <c r="I391">
        <v>0</v>
      </c>
    </row>
    <row r="392" spans="4:9" customFormat="1" ht="13.95" customHeight="1">
      <c r="D392" t="s">
        <v>6526</v>
      </c>
      <c r="E392" t="s">
        <v>9451</v>
      </c>
      <c r="F392">
        <v>1.087</v>
      </c>
      <c r="G392" t="s">
        <v>6583</v>
      </c>
      <c r="H392" t="s">
        <v>9454</v>
      </c>
      <c r="I392">
        <v>0</v>
      </c>
    </row>
    <row r="393" spans="4:9" customFormat="1" ht="13.95" customHeight="1">
      <c r="D393" t="s">
        <v>6526</v>
      </c>
      <c r="E393" t="s">
        <v>9452</v>
      </c>
      <c r="F393">
        <v>0</v>
      </c>
      <c r="G393" t="s">
        <v>6583</v>
      </c>
      <c r="H393" t="s">
        <v>9455</v>
      </c>
      <c r="I393">
        <v>0</v>
      </c>
    </row>
    <row r="394" spans="4:9" customFormat="1" ht="13.95" customHeight="1">
      <c r="D394" t="s">
        <v>6526</v>
      </c>
      <c r="E394" t="s">
        <v>9453</v>
      </c>
      <c r="F394">
        <v>0</v>
      </c>
      <c r="G394" t="s">
        <v>6583</v>
      </c>
      <c r="H394" t="s">
        <v>9456</v>
      </c>
      <c r="I394">
        <v>0</v>
      </c>
    </row>
    <row r="395" spans="4:9" customFormat="1" ht="13.95" customHeight="1">
      <c r="D395" t="s">
        <v>6526</v>
      </c>
      <c r="E395" t="s">
        <v>9454</v>
      </c>
      <c r="F395">
        <v>0</v>
      </c>
      <c r="G395" t="s">
        <v>6583</v>
      </c>
      <c r="H395" t="s">
        <v>9457</v>
      </c>
      <c r="I395">
        <v>0</v>
      </c>
    </row>
    <row r="396" spans="4:9" customFormat="1" ht="13.95" customHeight="1">
      <c r="D396" t="s">
        <v>6526</v>
      </c>
      <c r="E396" t="s">
        <v>9455</v>
      </c>
      <c r="F396">
        <v>0</v>
      </c>
      <c r="G396" t="s">
        <v>6583</v>
      </c>
      <c r="H396" t="s">
        <v>9458</v>
      </c>
      <c r="I396">
        <v>0</v>
      </c>
    </row>
    <row r="397" spans="4:9" customFormat="1" ht="13.95" customHeight="1">
      <c r="D397" t="s">
        <v>6526</v>
      </c>
      <c r="E397" t="s">
        <v>9456</v>
      </c>
      <c r="F397">
        <v>0</v>
      </c>
      <c r="G397" t="s">
        <v>6583</v>
      </c>
      <c r="H397" t="s">
        <v>9459</v>
      </c>
      <c r="I397">
        <v>0</v>
      </c>
    </row>
    <row r="398" spans="4:9" customFormat="1" ht="13.95" customHeight="1">
      <c r="D398" t="s">
        <v>6526</v>
      </c>
      <c r="E398" t="s">
        <v>9457</v>
      </c>
      <c r="F398">
        <v>0</v>
      </c>
      <c r="G398" t="s">
        <v>6583</v>
      </c>
      <c r="H398" t="s">
        <v>9460</v>
      </c>
      <c r="I398">
        <v>0</v>
      </c>
    </row>
    <row r="399" spans="4:9" customFormat="1" ht="13.95" customHeight="1">
      <c r="D399" t="s">
        <v>6526</v>
      </c>
      <c r="E399" t="s">
        <v>9458</v>
      </c>
      <c r="F399">
        <v>0</v>
      </c>
      <c r="G399" t="s">
        <v>6583</v>
      </c>
      <c r="H399" t="s">
        <v>9461</v>
      </c>
      <c r="I399">
        <v>0</v>
      </c>
    </row>
    <row r="400" spans="4:9" customFormat="1" ht="13.95" customHeight="1">
      <c r="D400" t="s">
        <v>6526</v>
      </c>
      <c r="E400" t="s">
        <v>9459</v>
      </c>
      <c r="F400">
        <v>0</v>
      </c>
      <c r="G400" t="s">
        <v>6583</v>
      </c>
      <c r="H400" t="s">
        <v>9462</v>
      </c>
      <c r="I400">
        <v>0</v>
      </c>
    </row>
    <row r="401" spans="4:9" customFormat="1" ht="13.95" customHeight="1">
      <c r="D401" t="s">
        <v>6526</v>
      </c>
      <c r="E401" t="s">
        <v>9460</v>
      </c>
      <c r="F401">
        <v>0</v>
      </c>
      <c r="G401" t="s">
        <v>6583</v>
      </c>
      <c r="H401" t="s">
        <v>9481</v>
      </c>
      <c r="I401">
        <v>0</v>
      </c>
    </row>
    <row r="402" spans="4:9" customFormat="1" ht="13.95" customHeight="1">
      <c r="D402" t="s">
        <v>6526</v>
      </c>
      <c r="E402" t="s">
        <v>9461</v>
      </c>
      <c r="F402">
        <v>0</v>
      </c>
      <c r="G402" t="s">
        <v>6583</v>
      </c>
      <c r="H402" t="s">
        <v>9483</v>
      </c>
      <c r="I402">
        <v>0</v>
      </c>
    </row>
    <row r="403" spans="4:9" customFormat="1" ht="13.95" customHeight="1">
      <c r="D403" t="s">
        <v>6526</v>
      </c>
      <c r="E403" t="s">
        <v>9462</v>
      </c>
      <c r="F403">
        <v>0</v>
      </c>
      <c r="G403" t="s">
        <v>6583</v>
      </c>
      <c r="H403" t="s">
        <v>9486</v>
      </c>
      <c r="I403">
        <v>0</v>
      </c>
    </row>
    <row r="404" spans="4:9" customFormat="1" ht="13.95" customHeight="1">
      <c r="D404" t="s">
        <v>6526</v>
      </c>
      <c r="E404" t="s">
        <v>9481</v>
      </c>
      <c r="F404">
        <v>0</v>
      </c>
      <c r="G404" t="s">
        <v>6583</v>
      </c>
      <c r="H404" t="s">
        <v>9488</v>
      </c>
      <c r="I404">
        <v>0</v>
      </c>
    </row>
    <row r="405" spans="4:9" customFormat="1" ht="13.95" customHeight="1">
      <c r="D405" t="s">
        <v>6526</v>
      </c>
      <c r="E405" t="s">
        <v>9483</v>
      </c>
      <c r="F405">
        <v>0</v>
      </c>
      <c r="G405" t="s">
        <v>6583</v>
      </c>
      <c r="H405" t="s">
        <v>9490</v>
      </c>
      <c r="I405">
        <v>0</v>
      </c>
    </row>
    <row r="406" spans="4:9" customFormat="1" ht="13.95" customHeight="1">
      <c r="D406" t="s">
        <v>6526</v>
      </c>
      <c r="E406" t="s">
        <v>9486</v>
      </c>
      <c r="F406">
        <v>0</v>
      </c>
      <c r="G406" t="s">
        <v>6583</v>
      </c>
      <c r="H406" t="s">
        <v>9492</v>
      </c>
      <c r="I406">
        <v>0</v>
      </c>
    </row>
    <row r="407" spans="4:9" customFormat="1" ht="13.95" customHeight="1">
      <c r="D407" t="s">
        <v>6526</v>
      </c>
      <c r="E407" t="s">
        <v>9488</v>
      </c>
      <c r="F407">
        <v>0</v>
      </c>
      <c r="G407" t="s">
        <v>6583</v>
      </c>
      <c r="H407" t="s">
        <v>9494</v>
      </c>
      <c r="I407">
        <v>0</v>
      </c>
    </row>
    <row r="408" spans="4:9" customFormat="1" ht="13.95" customHeight="1">
      <c r="D408" t="s">
        <v>6526</v>
      </c>
      <c r="E408" t="s">
        <v>9490</v>
      </c>
      <c r="F408">
        <v>0</v>
      </c>
      <c r="G408" t="s">
        <v>6583</v>
      </c>
      <c r="H408" t="s">
        <v>9496</v>
      </c>
      <c r="I408">
        <v>0</v>
      </c>
    </row>
    <row r="409" spans="4:9" customFormat="1" ht="13.95" customHeight="1">
      <c r="D409" t="s">
        <v>6526</v>
      </c>
      <c r="E409" t="s">
        <v>9492</v>
      </c>
      <c r="F409">
        <v>0</v>
      </c>
      <c r="G409" t="s">
        <v>6583</v>
      </c>
      <c r="H409" t="s">
        <v>9497</v>
      </c>
      <c r="I409">
        <v>0</v>
      </c>
    </row>
    <row r="410" spans="4:9" customFormat="1" ht="13.95" customHeight="1">
      <c r="D410" t="s">
        <v>6526</v>
      </c>
      <c r="E410" t="s">
        <v>9494</v>
      </c>
      <c r="F410">
        <v>0</v>
      </c>
      <c r="G410" t="s">
        <v>6583</v>
      </c>
      <c r="H410" t="s">
        <v>9498</v>
      </c>
      <c r="I410">
        <v>0</v>
      </c>
    </row>
    <row r="411" spans="4:9" customFormat="1" ht="13.95" customHeight="1">
      <c r="D411" t="s">
        <v>6526</v>
      </c>
      <c r="E411" t="s">
        <v>9496</v>
      </c>
      <c r="F411">
        <v>0</v>
      </c>
      <c r="G411" t="s">
        <v>6583</v>
      </c>
      <c r="H411" t="s">
        <v>9499</v>
      </c>
      <c r="I411">
        <v>0</v>
      </c>
    </row>
    <row r="412" spans="4:9" customFormat="1" ht="13.95" customHeight="1">
      <c r="D412" t="s">
        <v>6526</v>
      </c>
      <c r="E412" t="s">
        <v>9497</v>
      </c>
      <c r="F412">
        <v>0</v>
      </c>
      <c r="G412" t="s">
        <v>6583</v>
      </c>
      <c r="H412" t="s">
        <v>9500</v>
      </c>
      <c r="I412">
        <v>0</v>
      </c>
    </row>
    <row r="413" spans="4:9" customFormat="1" ht="13.95" customHeight="1">
      <c r="D413" t="s">
        <v>6526</v>
      </c>
      <c r="E413" t="s">
        <v>9498</v>
      </c>
      <c r="F413">
        <v>0</v>
      </c>
      <c r="G413" t="s">
        <v>6583</v>
      </c>
      <c r="H413" t="s">
        <v>9501</v>
      </c>
      <c r="I413">
        <v>0</v>
      </c>
    </row>
    <row r="414" spans="4:9" customFormat="1" ht="13.95" customHeight="1">
      <c r="D414" t="s">
        <v>6526</v>
      </c>
      <c r="E414" t="s">
        <v>9499</v>
      </c>
      <c r="F414">
        <v>0</v>
      </c>
      <c r="G414" t="s">
        <v>6583</v>
      </c>
      <c r="H414" t="s">
        <v>9502</v>
      </c>
      <c r="I414">
        <v>0</v>
      </c>
    </row>
    <row r="415" spans="4:9" customFormat="1" ht="13.95" customHeight="1">
      <c r="D415" t="s">
        <v>6526</v>
      </c>
      <c r="E415" t="s">
        <v>9500</v>
      </c>
      <c r="F415">
        <v>0</v>
      </c>
      <c r="G415" t="s">
        <v>6583</v>
      </c>
      <c r="H415" t="s">
        <v>9503</v>
      </c>
      <c r="I415">
        <v>0</v>
      </c>
    </row>
    <row r="416" spans="4:9" customFormat="1" ht="13.95" customHeight="1">
      <c r="D416" t="s">
        <v>6526</v>
      </c>
      <c r="E416" t="s">
        <v>9501</v>
      </c>
      <c r="F416">
        <v>0</v>
      </c>
      <c r="G416" t="s">
        <v>6583</v>
      </c>
      <c r="H416" t="s">
        <v>9504</v>
      </c>
      <c r="I416">
        <v>0</v>
      </c>
    </row>
    <row r="417" spans="4:9" customFormat="1" ht="13.95" customHeight="1">
      <c r="D417" t="s">
        <v>6526</v>
      </c>
      <c r="E417" t="s">
        <v>9502</v>
      </c>
      <c r="F417">
        <v>0</v>
      </c>
      <c r="G417" t="s">
        <v>6583</v>
      </c>
      <c r="H417" t="s">
        <v>9505</v>
      </c>
      <c r="I417">
        <v>0</v>
      </c>
    </row>
    <row r="418" spans="4:9" customFormat="1" ht="13.95" customHeight="1">
      <c r="D418" t="s">
        <v>6526</v>
      </c>
      <c r="E418" t="s">
        <v>9503</v>
      </c>
      <c r="F418">
        <v>0</v>
      </c>
      <c r="G418" t="s">
        <v>6583</v>
      </c>
      <c r="H418" t="s">
        <v>9506</v>
      </c>
      <c r="I418">
        <v>0</v>
      </c>
    </row>
    <row r="419" spans="4:9" customFormat="1" ht="13.95" customHeight="1">
      <c r="D419" t="s">
        <v>6526</v>
      </c>
      <c r="E419" t="s">
        <v>9504</v>
      </c>
      <c r="F419">
        <v>0</v>
      </c>
      <c r="G419" t="s">
        <v>6583</v>
      </c>
      <c r="H419" t="s">
        <v>9507</v>
      </c>
      <c r="I419">
        <v>0</v>
      </c>
    </row>
    <row r="420" spans="4:9" customFormat="1" ht="13.95" customHeight="1">
      <c r="D420" t="s">
        <v>6526</v>
      </c>
      <c r="E420" t="s">
        <v>9505</v>
      </c>
      <c r="F420">
        <v>0</v>
      </c>
      <c r="G420" t="s">
        <v>6583</v>
      </c>
      <c r="H420" t="s">
        <v>9508</v>
      </c>
      <c r="I420">
        <v>0</v>
      </c>
    </row>
    <row r="421" spans="4:9" customFormat="1" ht="13.95" customHeight="1">
      <c r="D421" t="s">
        <v>6526</v>
      </c>
      <c r="E421" t="s">
        <v>9506</v>
      </c>
      <c r="F421">
        <v>0</v>
      </c>
      <c r="G421" t="s">
        <v>6583</v>
      </c>
      <c r="H421" t="s">
        <v>9509</v>
      </c>
      <c r="I421">
        <v>0</v>
      </c>
    </row>
    <row r="422" spans="4:9" customFormat="1" ht="13.95" customHeight="1">
      <c r="D422" t="s">
        <v>6528</v>
      </c>
      <c r="E422" t="s">
        <v>9445</v>
      </c>
      <c r="F422">
        <v>0</v>
      </c>
      <c r="G422" t="s">
        <v>6583</v>
      </c>
      <c r="H422" t="s">
        <v>9510</v>
      </c>
      <c r="I422">
        <v>0</v>
      </c>
    </row>
    <row r="423" spans="4:9" customFormat="1" ht="13.95" customHeight="1">
      <c r="D423" t="s">
        <v>6528</v>
      </c>
      <c r="E423" t="s">
        <v>9446</v>
      </c>
      <c r="F423">
        <v>0</v>
      </c>
      <c r="G423" t="s">
        <v>6583</v>
      </c>
      <c r="H423" t="s">
        <v>9511</v>
      </c>
      <c r="I423">
        <v>0</v>
      </c>
    </row>
    <row r="424" spans="4:9" customFormat="1" ht="13.95" customHeight="1">
      <c r="D424" t="s">
        <v>6528</v>
      </c>
      <c r="E424" t="s">
        <v>9447</v>
      </c>
      <c r="F424">
        <v>0</v>
      </c>
      <c r="G424" t="s">
        <v>6583</v>
      </c>
      <c r="H424" t="s">
        <v>9512</v>
      </c>
      <c r="I424">
        <v>0</v>
      </c>
    </row>
    <row r="425" spans="4:9" customFormat="1" ht="13.95" customHeight="1">
      <c r="D425" t="s">
        <v>6528</v>
      </c>
      <c r="E425" t="s">
        <v>9448</v>
      </c>
      <c r="F425">
        <v>0</v>
      </c>
      <c r="G425" t="s">
        <v>6583</v>
      </c>
      <c r="H425" t="s">
        <v>9513</v>
      </c>
      <c r="I425">
        <v>0</v>
      </c>
    </row>
    <row r="426" spans="4:9" customFormat="1" ht="13.95" customHeight="1">
      <c r="D426" t="s">
        <v>6528</v>
      </c>
      <c r="E426" t="s">
        <v>9449</v>
      </c>
      <c r="F426">
        <v>0</v>
      </c>
      <c r="G426" t="s">
        <v>6583</v>
      </c>
      <c r="H426" t="s">
        <v>9514</v>
      </c>
      <c r="I426">
        <v>0</v>
      </c>
    </row>
    <row r="427" spans="4:9" customFormat="1" ht="13.95" customHeight="1">
      <c r="D427" t="s">
        <v>6528</v>
      </c>
      <c r="E427" t="s">
        <v>9450</v>
      </c>
      <c r="F427">
        <v>0.38100000000000001</v>
      </c>
      <c r="G427" t="s">
        <v>6583</v>
      </c>
      <c r="H427" t="s">
        <v>9515</v>
      </c>
      <c r="I427">
        <v>0</v>
      </c>
    </row>
    <row r="428" spans="4:9" customFormat="1" ht="13.95" customHeight="1">
      <c r="D428" t="s">
        <v>6528</v>
      </c>
      <c r="E428" t="s">
        <v>9451</v>
      </c>
      <c r="F428">
        <v>0</v>
      </c>
      <c r="G428" t="s">
        <v>6583</v>
      </c>
      <c r="H428" t="s">
        <v>9516</v>
      </c>
      <c r="I428">
        <v>0</v>
      </c>
    </row>
    <row r="429" spans="4:9" customFormat="1" ht="13.95" customHeight="1">
      <c r="D429" t="s">
        <v>6528</v>
      </c>
      <c r="E429" t="s">
        <v>9452</v>
      </c>
      <c r="F429">
        <v>0</v>
      </c>
      <c r="G429" t="s">
        <v>6583</v>
      </c>
      <c r="H429" t="s">
        <v>9517</v>
      </c>
      <c r="I429">
        <v>0</v>
      </c>
    </row>
    <row r="430" spans="4:9" customFormat="1" ht="13.95" customHeight="1">
      <c r="D430" t="s">
        <v>6528</v>
      </c>
      <c r="E430" t="s">
        <v>9453</v>
      </c>
      <c r="F430">
        <v>1.1379999999999999</v>
      </c>
      <c r="G430" t="s">
        <v>6583</v>
      </c>
      <c r="H430" t="s">
        <v>9518</v>
      </c>
      <c r="I430">
        <v>0</v>
      </c>
    </row>
    <row r="431" spans="4:9" customFormat="1" ht="13.95" customHeight="1">
      <c r="D431" t="s">
        <v>6528</v>
      </c>
      <c r="E431" t="s">
        <v>9454</v>
      </c>
      <c r="F431">
        <v>0</v>
      </c>
      <c r="G431" t="s">
        <v>6583</v>
      </c>
      <c r="H431" t="s">
        <v>9519</v>
      </c>
      <c r="I431">
        <v>0</v>
      </c>
    </row>
    <row r="432" spans="4:9" customFormat="1" ht="13.95" customHeight="1">
      <c r="D432" t="s">
        <v>6528</v>
      </c>
      <c r="E432" t="s">
        <v>9455</v>
      </c>
      <c r="F432">
        <v>0</v>
      </c>
      <c r="G432" t="s">
        <v>6583</v>
      </c>
      <c r="H432" t="s">
        <v>9520</v>
      </c>
      <c r="I432">
        <v>0</v>
      </c>
    </row>
    <row r="433" spans="4:9" customFormat="1" ht="13.95" customHeight="1">
      <c r="D433" t="s">
        <v>6528</v>
      </c>
      <c r="E433" t="s">
        <v>9456</v>
      </c>
      <c r="F433">
        <v>0</v>
      </c>
      <c r="G433" t="s">
        <v>6583</v>
      </c>
      <c r="H433" t="s">
        <v>9521</v>
      </c>
      <c r="I433">
        <v>0</v>
      </c>
    </row>
    <row r="434" spans="4:9" customFormat="1" ht="13.95" customHeight="1">
      <c r="D434" t="s">
        <v>6528</v>
      </c>
      <c r="E434" t="s">
        <v>9457</v>
      </c>
      <c r="F434">
        <v>0.432</v>
      </c>
      <c r="G434" t="s">
        <v>6583</v>
      </c>
      <c r="H434" t="s">
        <v>9522</v>
      </c>
      <c r="I434">
        <v>0</v>
      </c>
    </row>
    <row r="435" spans="4:9" customFormat="1" ht="13.95" customHeight="1">
      <c r="D435" t="s">
        <v>6528</v>
      </c>
      <c r="E435" t="s">
        <v>9458</v>
      </c>
      <c r="F435">
        <v>0</v>
      </c>
      <c r="G435" t="s">
        <v>6583</v>
      </c>
      <c r="H435" t="s">
        <v>9523</v>
      </c>
      <c r="I435">
        <v>0</v>
      </c>
    </row>
    <row r="436" spans="4:9" customFormat="1" ht="13.95" customHeight="1">
      <c r="D436" t="s">
        <v>6528</v>
      </c>
      <c r="E436" t="s">
        <v>9459</v>
      </c>
      <c r="F436">
        <v>0</v>
      </c>
      <c r="G436" t="s">
        <v>6583</v>
      </c>
      <c r="H436" t="s">
        <v>9524</v>
      </c>
      <c r="I436">
        <v>0</v>
      </c>
    </row>
    <row r="437" spans="4:9" customFormat="1" ht="13.95" customHeight="1">
      <c r="D437" t="s">
        <v>6528</v>
      </c>
      <c r="E437" t="s">
        <v>9460</v>
      </c>
      <c r="F437">
        <v>0</v>
      </c>
      <c r="G437" t="s">
        <v>6572</v>
      </c>
      <c r="H437" t="s">
        <v>9445</v>
      </c>
      <c r="I437">
        <v>0</v>
      </c>
    </row>
    <row r="438" spans="4:9" customFormat="1" ht="13.95" customHeight="1">
      <c r="D438" t="s">
        <v>6528</v>
      </c>
      <c r="E438" t="s">
        <v>9461</v>
      </c>
      <c r="F438">
        <v>0</v>
      </c>
      <c r="G438" t="s">
        <v>6572</v>
      </c>
      <c r="H438" t="s">
        <v>9446</v>
      </c>
      <c r="I438">
        <v>0</v>
      </c>
    </row>
    <row r="439" spans="4:9" customFormat="1" ht="13.95" customHeight="1">
      <c r="D439" t="s">
        <v>6528</v>
      </c>
      <c r="E439" t="s">
        <v>9462</v>
      </c>
      <c r="F439">
        <v>0.70499999999999996</v>
      </c>
      <c r="G439" t="s">
        <v>6572</v>
      </c>
      <c r="H439" t="s">
        <v>9447</v>
      </c>
      <c r="I439">
        <v>0</v>
      </c>
    </row>
    <row r="440" spans="4:9" customFormat="1" ht="13.95" customHeight="1">
      <c r="D440" t="s">
        <v>6528</v>
      </c>
      <c r="E440" t="s">
        <v>9481</v>
      </c>
      <c r="F440">
        <v>0</v>
      </c>
      <c r="G440" t="s">
        <v>6572</v>
      </c>
      <c r="H440" t="s">
        <v>9448</v>
      </c>
      <c r="I440">
        <v>0</v>
      </c>
    </row>
    <row r="441" spans="4:9" customFormat="1" ht="13.95" customHeight="1">
      <c r="D441" t="s">
        <v>6528</v>
      </c>
      <c r="E441" t="s">
        <v>9483</v>
      </c>
      <c r="F441">
        <v>0.48199999999999998</v>
      </c>
      <c r="G441" t="s">
        <v>6572</v>
      </c>
      <c r="H441" t="s">
        <v>9449</v>
      </c>
      <c r="I441">
        <v>0</v>
      </c>
    </row>
    <row r="442" spans="4:9" customFormat="1" ht="13.95" customHeight="1">
      <c r="D442" t="s">
        <v>6528</v>
      </c>
      <c r="E442" t="s">
        <v>9486</v>
      </c>
      <c r="F442">
        <v>0.51800000000000002</v>
      </c>
      <c r="G442" t="s">
        <v>6572</v>
      </c>
      <c r="H442" t="s">
        <v>9450</v>
      </c>
      <c r="I442">
        <v>0</v>
      </c>
    </row>
    <row r="443" spans="4:9" customFormat="1" ht="13.95" customHeight="1">
      <c r="D443" t="s">
        <v>6528</v>
      </c>
      <c r="E443" t="s">
        <v>9488</v>
      </c>
      <c r="F443">
        <v>0</v>
      </c>
      <c r="G443" t="s">
        <v>6572</v>
      </c>
      <c r="H443" t="s">
        <v>9451</v>
      </c>
      <c r="I443">
        <v>0</v>
      </c>
    </row>
    <row r="444" spans="4:9" customFormat="1" ht="13.95" customHeight="1">
      <c r="D444" t="s">
        <v>6528</v>
      </c>
      <c r="E444" t="s">
        <v>9490</v>
      </c>
      <c r="F444">
        <v>1.181</v>
      </c>
      <c r="G444" t="s">
        <v>6572</v>
      </c>
      <c r="H444" t="s">
        <v>9452</v>
      </c>
      <c r="I444">
        <v>0</v>
      </c>
    </row>
    <row r="445" spans="4:9" customFormat="1" ht="13.95" customHeight="1">
      <c r="D445" t="s">
        <v>6528</v>
      </c>
      <c r="E445" t="s">
        <v>9492</v>
      </c>
      <c r="F445">
        <v>0</v>
      </c>
      <c r="G445" t="s">
        <v>6572</v>
      </c>
      <c r="H445" t="s">
        <v>9453</v>
      </c>
      <c r="I445">
        <v>0</v>
      </c>
    </row>
    <row r="446" spans="4:9" customFormat="1" ht="13.95" customHeight="1">
      <c r="D446" t="s">
        <v>6528</v>
      </c>
      <c r="E446" t="s">
        <v>9494</v>
      </c>
      <c r="F446">
        <v>0</v>
      </c>
      <c r="G446" t="s">
        <v>6572</v>
      </c>
      <c r="H446" t="s">
        <v>9454</v>
      </c>
      <c r="I446">
        <v>0</v>
      </c>
    </row>
    <row r="447" spans="4:9" customFormat="1" ht="13.95" customHeight="1">
      <c r="D447" t="s">
        <v>6528</v>
      </c>
      <c r="E447" t="s">
        <v>9496</v>
      </c>
      <c r="F447">
        <v>1.1870000000000001</v>
      </c>
      <c r="G447" t="s">
        <v>6572</v>
      </c>
      <c r="H447" t="s">
        <v>9455</v>
      </c>
      <c r="I447">
        <v>0</v>
      </c>
    </row>
    <row r="448" spans="4:9" customFormat="1" ht="13.95" customHeight="1">
      <c r="D448" t="s">
        <v>6528</v>
      </c>
      <c r="E448" t="s">
        <v>9497</v>
      </c>
      <c r="F448">
        <v>0.626</v>
      </c>
      <c r="G448" t="s">
        <v>6572</v>
      </c>
      <c r="H448" t="s">
        <v>9456</v>
      </c>
      <c r="I448">
        <v>0</v>
      </c>
    </row>
    <row r="449" spans="4:9" customFormat="1" ht="13.95" customHeight="1">
      <c r="D449" t="s">
        <v>6528</v>
      </c>
      <c r="E449" t="s">
        <v>9498</v>
      </c>
      <c r="F449">
        <v>1.2170000000000001</v>
      </c>
      <c r="G449" t="s">
        <v>6572</v>
      </c>
      <c r="H449" t="s">
        <v>9457</v>
      </c>
      <c r="I449">
        <v>0</v>
      </c>
    </row>
    <row r="450" spans="4:9" customFormat="1" ht="13.95" customHeight="1">
      <c r="D450" t="s">
        <v>6528</v>
      </c>
      <c r="E450" t="s">
        <v>9499</v>
      </c>
      <c r="F450">
        <v>0</v>
      </c>
      <c r="G450" t="s">
        <v>6572</v>
      </c>
      <c r="H450" t="s">
        <v>9458</v>
      </c>
      <c r="I450">
        <v>0</v>
      </c>
    </row>
    <row r="451" spans="4:9" customFormat="1" ht="13.95" customHeight="1">
      <c r="D451" t="s">
        <v>6528</v>
      </c>
      <c r="E451" t="s">
        <v>9500</v>
      </c>
      <c r="F451">
        <v>0</v>
      </c>
      <c r="G451" t="s">
        <v>6572</v>
      </c>
      <c r="H451" t="s">
        <v>9459</v>
      </c>
      <c r="I451">
        <v>0</v>
      </c>
    </row>
    <row r="452" spans="4:9" customFormat="1" ht="13.95" customHeight="1">
      <c r="D452" t="s">
        <v>6528</v>
      </c>
      <c r="E452" t="s">
        <v>9501</v>
      </c>
      <c r="F452">
        <v>0</v>
      </c>
      <c r="G452" t="s">
        <v>6572</v>
      </c>
      <c r="H452" t="s">
        <v>9460</v>
      </c>
      <c r="I452">
        <v>0</v>
      </c>
    </row>
    <row r="453" spans="4:9" customFormat="1" ht="13.95" customHeight="1">
      <c r="D453" t="s">
        <v>6528</v>
      </c>
      <c r="E453" t="s">
        <v>9502</v>
      </c>
      <c r="F453">
        <v>0</v>
      </c>
      <c r="G453" t="s">
        <v>6572</v>
      </c>
      <c r="H453" t="s">
        <v>9461</v>
      </c>
      <c r="I453">
        <v>0</v>
      </c>
    </row>
    <row r="454" spans="4:9" customFormat="1" ht="13.95" customHeight="1">
      <c r="D454" t="s">
        <v>6531</v>
      </c>
      <c r="E454" t="s">
        <v>9445</v>
      </c>
      <c r="F454">
        <v>0</v>
      </c>
      <c r="G454" t="s">
        <v>6572</v>
      </c>
      <c r="H454" t="s">
        <v>9462</v>
      </c>
      <c r="I454">
        <v>0</v>
      </c>
    </row>
    <row r="455" spans="4:9" customFormat="1" ht="13.95" customHeight="1">
      <c r="D455" t="s">
        <v>6531</v>
      </c>
      <c r="E455" t="s">
        <v>9446</v>
      </c>
      <c r="F455">
        <v>0</v>
      </c>
      <c r="G455" t="s">
        <v>6572</v>
      </c>
      <c r="H455" t="s">
        <v>9481</v>
      </c>
      <c r="I455">
        <v>0</v>
      </c>
    </row>
    <row r="456" spans="4:9" customFormat="1" ht="13.95" customHeight="1">
      <c r="D456" t="s">
        <v>6531</v>
      </c>
      <c r="E456" t="s">
        <v>9447</v>
      </c>
      <c r="F456">
        <v>0</v>
      </c>
      <c r="G456" t="s">
        <v>6572</v>
      </c>
      <c r="H456" t="s">
        <v>9483</v>
      </c>
      <c r="I456">
        <v>0</v>
      </c>
    </row>
    <row r="457" spans="4:9" customFormat="1" ht="13.95" customHeight="1">
      <c r="D457" t="s">
        <v>6531</v>
      </c>
      <c r="E457" t="s">
        <v>9448</v>
      </c>
      <c r="F457">
        <v>0.34499999999999997</v>
      </c>
      <c r="G457" t="s">
        <v>6572</v>
      </c>
      <c r="H457" t="s">
        <v>9486</v>
      </c>
      <c r="I457">
        <v>0</v>
      </c>
    </row>
    <row r="458" spans="4:9" customFormat="1" ht="13.95" customHeight="1">
      <c r="D458" t="s">
        <v>6531</v>
      </c>
      <c r="E458" t="s">
        <v>9449</v>
      </c>
      <c r="F458">
        <v>0</v>
      </c>
      <c r="G458" t="s">
        <v>6572</v>
      </c>
      <c r="H458" t="s">
        <v>9488</v>
      </c>
      <c r="I458">
        <v>0</v>
      </c>
    </row>
    <row r="459" spans="4:9" customFormat="1" ht="13.95" customHeight="1">
      <c r="D459" t="s">
        <v>6531</v>
      </c>
      <c r="E459" t="s">
        <v>9450</v>
      </c>
      <c r="F459">
        <v>0</v>
      </c>
      <c r="G459" t="s">
        <v>6572</v>
      </c>
      <c r="H459" t="s">
        <v>9490</v>
      </c>
      <c r="I459">
        <v>0</v>
      </c>
    </row>
    <row r="460" spans="4:9" customFormat="1" ht="13.95" customHeight="1">
      <c r="D460" t="s">
        <v>6531</v>
      </c>
      <c r="E460" t="s">
        <v>9451</v>
      </c>
      <c r="F460">
        <v>0</v>
      </c>
      <c r="G460" t="s">
        <v>6572</v>
      </c>
      <c r="H460" t="s">
        <v>9492</v>
      </c>
      <c r="I460">
        <v>0</v>
      </c>
    </row>
    <row r="461" spans="4:9" customFormat="1" ht="13.95" customHeight="1">
      <c r="D461" t="s">
        <v>6531</v>
      </c>
      <c r="E461" t="s">
        <v>9452</v>
      </c>
      <c r="F461">
        <v>0</v>
      </c>
      <c r="G461" t="s">
        <v>6572</v>
      </c>
      <c r="H461" t="s">
        <v>9494</v>
      </c>
      <c r="I461">
        <v>0</v>
      </c>
    </row>
    <row r="462" spans="4:9" customFormat="1" ht="13.95" customHeight="1">
      <c r="D462" t="s">
        <v>6531</v>
      </c>
      <c r="E462" t="s">
        <v>9453</v>
      </c>
      <c r="F462">
        <v>0.627</v>
      </c>
      <c r="G462" t="s">
        <v>6572</v>
      </c>
      <c r="H462" t="s">
        <v>9496</v>
      </c>
      <c r="I462">
        <v>0</v>
      </c>
    </row>
    <row r="463" spans="4:9" customFormat="1" ht="13.95" customHeight="1">
      <c r="D463" t="s">
        <v>6531</v>
      </c>
      <c r="E463" t="s">
        <v>9454</v>
      </c>
      <c r="F463">
        <v>0</v>
      </c>
      <c r="G463" t="s">
        <v>6572</v>
      </c>
      <c r="H463" t="s">
        <v>9497</v>
      </c>
      <c r="I463">
        <v>0</v>
      </c>
    </row>
    <row r="464" spans="4:9" customFormat="1" ht="13.95" customHeight="1">
      <c r="D464" t="s">
        <v>6531</v>
      </c>
      <c r="E464" t="s">
        <v>9455</v>
      </c>
      <c r="F464">
        <v>0</v>
      </c>
      <c r="G464" t="s">
        <v>6572</v>
      </c>
      <c r="H464" t="s">
        <v>9498</v>
      </c>
      <c r="I464">
        <v>0</v>
      </c>
    </row>
    <row r="465" spans="4:9" customFormat="1" ht="13.95" customHeight="1">
      <c r="D465" t="s">
        <v>6531</v>
      </c>
      <c r="E465" t="s">
        <v>9456</v>
      </c>
      <c r="F465">
        <v>0</v>
      </c>
      <c r="G465" t="s">
        <v>6572</v>
      </c>
      <c r="H465" t="s">
        <v>9499</v>
      </c>
      <c r="I465">
        <v>0</v>
      </c>
    </row>
    <row r="466" spans="4:9" customFormat="1" ht="13.95" customHeight="1">
      <c r="D466" t="s">
        <v>6531</v>
      </c>
      <c r="E466" t="s">
        <v>9457</v>
      </c>
      <c r="F466">
        <v>0</v>
      </c>
      <c r="G466" t="s">
        <v>6572</v>
      </c>
      <c r="H466" t="s">
        <v>9500</v>
      </c>
      <c r="I466">
        <v>0</v>
      </c>
    </row>
    <row r="467" spans="4:9" customFormat="1" ht="13.95" customHeight="1">
      <c r="D467" t="s">
        <v>6531</v>
      </c>
      <c r="E467" t="s">
        <v>9458</v>
      </c>
      <c r="F467">
        <v>0</v>
      </c>
      <c r="G467" t="s">
        <v>6572</v>
      </c>
      <c r="H467" t="s">
        <v>9501</v>
      </c>
      <c r="I467">
        <v>0</v>
      </c>
    </row>
    <row r="468" spans="4:9" customFormat="1" ht="13.95" customHeight="1">
      <c r="D468" t="s">
        <v>6531</v>
      </c>
      <c r="E468" t="s">
        <v>9459</v>
      </c>
      <c r="F468">
        <v>0</v>
      </c>
      <c r="G468" t="s">
        <v>6572</v>
      </c>
      <c r="H468" t="s">
        <v>9502</v>
      </c>
      <c r="I468">
        <v>0</v>
      </c>
    </row>
    <row r="469" spans="4:9" customFormat="1" ht="13.95" customHeight="1">
      <c r="D469" t="s">
        <v>6531</v>
      </c>
      <c r="E469" t="s">
        <v>9460</v>
      </c>
      <c r="F469">
        <v>1.4259999999999999</v>
      </c>
      <c r="G469" t="s">
        <v>6572</v>
      </c>
      <c r="H469" t="s">
        <v>9503</v>
      </c>
      <c r="I469">
        <v>0</v>
      </c>
    </row>
    <row r="470" spans="4:9" customFormat="1" ht="13.95" customHeight="1">
      <c r="D470" t="s">
        <v>6531</v>
      </c>
      <c r="E470" t="s">
        <v>9461</v>
      </c>
      <c r="F470">
        <v>0</v>
      </c>
      <c r="G470" t="s">
        <v>6572</v>
      </c>
      <c r="H470" t="s">
        <v>9504</v>
      </c>
      <c r="I470">
        <v>0</v>
      </c>
    </row>
    <row r="471" spans="4:9" customFormat="1" ht="13.95" customHeight="1">
      <c r="D471" t="s">
        <v>6531</v>
      </c>
      <c r="E471" t="s">
        <v>9462</v>
      </c>
      <c r="F471">
        <v>0.69799999999999995</v>
      </c>
      <c r="G471" t="s">
        <v>6572</v>
      </c>
      <c r="H471" t="s">
        <v>9505</v>
      </c>
      <c r="I471">
        <v>0</v>
      </c>
    </row>
    <row r="472" spans="4:9" customFormat="1" ht="13.95" customHeight="1">
      <c r="D472" t="s">
        <v>6531</v>
      </c>
      <c r="E472" t="s">
        <v>9481</v>
      </c>
      <c r="F472">
        <v>0.56200000000000006</v>
      </c>
      <c r="G472" t="s">
        <v>6572</v>
      </c>
      <c r="H472" t="s">
        <v>9506</v>
      </c>
      <c r="I472">
        <v>0</v>
      </c>
    </row>
    <row r="473" spans="4:9" customFormat="1" ht="13.95" customHeight="1">
      <c r="D473" t="s">
        <v>6531</v>
      </c>
      <c r="E473" t="s">
        <v>9483</v>
      </c>
      <c r="F473">
        <v>0</v>
      </c>
      <c r="G473" t="s">
        <v>6572</v>
      </c>
      <c r="H473" t="s">
        <v>9507</v>
      </c>
      <c r="I473">
        <v>0</v>
      </c>
    </row>
    <row r="474" spans="4:9" customFormat="1" ht="13.95" customHeight="1">
      <c r="D474" t="s">
        <v>6531</v>
      </c>
      <c r="E474" t="s">
        <v>9486</v>
      </c>
      <c r="F474">
        <v>1.1160000000000001</v>
      </c>
      <c r="G474" t="s">
        <v>6572</v>
      </c>
      <c r="H474" t="s">
        <v>9508</v>
      </c>
      <c r="I474">
        <v>0</v>
      </c>
    </row>
    <row r="475" spans="4:9" customFormat="1" ht="13.95" customHeight="1">
      <c r="D475" t="s">
        <v>6531</v>
      </c>
      <c r="E475" t="s">
        <v>9488</v>
      </c>
      <c r="F475">
        <v>0</v>
      </c>
      <c r="G475" t="s">
        <v>6572</v>
      </c>
      <c r="H475" t="s">
        <v>9509</v>
      </c>
      <c r="I475">
        <v>0</v>
      </c>
    </row>
    <row r="476" spans="4:9" customFormat="1" ht="13.95" customHeight="1">
      <c r="D476" t="s">
        <v>6531</v>
      </c>
      <c r="E476" t="s">
        <v>9490</v>
      </c>
      <c r="F476">
        <v>0</v>
      </c>
      <c r="G476" t="s">
        <v>6572</v>
      </c>
      <c r="H476" t="s">
        <v>9510</v>
      </c>
      <c r="I476">
        <v>0</v>
      </c>
    </row>
    <row r="477" spans="4:9" customFormat="1" ht="13.95" customHeight="1">
      <c r="D477" t="s">
        <v>6531</v>
      </c>
      <c r="E477" t="s">
        <v>9492</v>
      </c>
      <c r="F477">
        <v>0.77800000000000002</v>
      </c>
      <c r="G477" t="s">
        <v>6572</v>
      </c>
      <c r="H477" t="s">
        <v>9511</v>
      </c>
      <c r="I477">
        <v>0</v>
      </c>
    </row>
    <row r="478" spans="4:9" customFormat="1" ht="13.95" customHeight="1">
      <c r="D478" t="s">
        <v>6531</v>
      </c>
      <c r="E478" t="s">
        <v>9494</v>
      </c>
      <c r="F478">
        <v>0.83499999999999996</v>
      </c>
      <c r="G478" t="s">
        <v>6572</v>
      </c>
      <c r="H478" t="s">
        <v>9512</v>
      </c>
      <c r="I478">
        <v>0</v>
      </c>
    </row>
    <row r="479" spans="4:9" customFormat="1" ht="13.95" customHeight="1">
      <c r="D479" t="s">
        <v>6531</v>
      </c>
      <c r="E479" t="s">
        <v>9496</v>
      </c>
      <c r="F479">
        <v>1.087</v>
      </c>
      <c r="G479" t="s">
        <v>6572</v>
      </c>
      <c r="H479" t="s">
        <v>9513</v>
      </c>
      <c r="I479">
        <v>0</v>
      </c>
    </row>
    <row r="480" spans="4:9" customFormat="1" ht="13.95" customHeight="1">
      <c r="D480" t="s">
        <v>6531</v>
      </c>
      <c r="E480" t="s">
        <v>9497</v>
      </c>
      <c r="F480">
        <v>0</v>
      </c>
      <c r="G480" t="s">
        <v>6572</v>
      </c>
      <c r="H480" t="s">
        <v>9514</v>
      </c>
      <c r="I480">
        <v>0</v>
      </c>
    </row>
    <row r="481" spans="4:9" customFormat="1" ht="13.95" customHeight="1">
      <c r="D481" t="s">
        <v>6531</v>
      </c>
      <c r="E481" t="s">
        <v>9498</v>
      </c>
      <c r="F481">
        <v>1.2889999999999999</v>
      </c>
      <c r="G481" t="s">
        <v>6572</v>
      </c>
      <c r="H481" t="s">
        <v>9515</v>
      </c>
      <c r="I481">
        <v>0</v>
      </c>
    </row>
    <row r="482" spans="4:9" customFormat="1" ht="13.95" customHeight="1">
      <c r="D482" t="s">
        <v>6531</v>
      </c>
      <c r="E482" t="s">
        <v>9499</v>
      </c>
      <c r="F482">
        <v>0</v>
      </c>
      <c r="G482" t="s">
        <v>6572</v>
      </c>
      <c r="H482" t="s">
        <v>9516</v>
      </c>
      <c r="I482">
        <v>0</v>
      </c>
    </row>
    <row r="483" spans="4:9" customFormat="1" ht="13.95" customHeight="1">
      <c r="D483" t="s">
        <v>6531</v>
      </c>
      <c r="E483" t="s">
        <v>9500</v>
      </c>
      <c r="F483">
        <v>1.4179999999999999</v>
      </c>
      <c r="G483" t="s">
        <v>6572</v>
      </c>
      <c r="H483" t="s">
        <v>9517</v>
      </c>
      <c r="I483">
        <v>0</v>
      </c>
    </row>
    <row r="484" spans="4:9" customFormat="1" ht="13.95" customHeight="1">
      <c r="D484" t="s">
        <v>6531</v>
      </c>
      <c r="E484" t="s">
        <v>9501</v>
      </c>
      <c r="F484">
        <v>0</v>
      </c>
      <c r="G484" t="s">
        <v>6572</v>
      </c>
      <c r="H484" t="s">
        <v>9518</v>
      </c>
      <c r="I484">
        <v>0</v>
      </c>
    </row>
    <row r="485" spans="4:9" customFormat="1" ht="13.95" customHeight="1">
      <c r="D485" t="s">
        <v>6531</v>
      </c>
      <c r="E485" t="s">
        <v>9502</v>
      </c>
      <c r="F485">
        <v>0.70499999999999996</v>
      </c>
      <c r="G485" t="s">
        <v>6572</v>
      </c>
      <c r="H485" t="s">
        <v>9519</v>
      </c>
      <c r="I485">
        <v>0</v>
      </c>
    </row>
    <row r="486" spans="4:9" customFormat="1" ht="13.95" customHeight="1">
      <c r="D486" t="s">
        <v>6529</v>
      </c>
      <c r="E486" t="s">
        <v>9445</v>
      </c>
      <c r="F486">
        <v>0</v>
      </c>
      <c r="G486" t="s">
        <v>6572</v>
      </c>
      <c r="H486" t="s">
        <v>9520</v>
      </c>
      <c r="I486">
        <v>0</v>
      </c>
    </row>
    <row r="487" spans="4:9" customFormat="1" ht="13.95" customHeight="1">
      <c r="D487" t="s">
        <v>6529</v>
      </c>
      <c r="E487" t="s">
        <v>9446</v>
      </c>
      <c r="F487">
        <v>0</v>
      </c>
      <c r="G487" t="s">
        <v>6573</v>
      </c>
      <c r="H487" t="s">
        <v>9445</v>
      </c>
      <c r="I487">
        <v>0</v>
      </c>
    </row>
    <row r="488" spans="4:9" customFormat="1" ht="13.95" customHeight="1">
      <c r="D488" t="s">
        <v>6529</v>
      </c>
      <c r="E488" t="s">
        <v>9447</v>
      </c>
      <c r="F488">
        <v>1.3540000000000001</v>
      </c>
      <c r="G488" t="s">
        <v>6573</v>
      </c>
      <c r="H488" t="s">
        <v>9446</v>
      </c>
      <c r="I488">
        <v>0</v>
      </c>
    </row>
    <row r="489" spans="4:9" customFormat="1" ht="13.95" customHeight="1">
      <c r="D489" t="s">
        <v>6529</v>
      </c>
      <c r="E489" t="s">
        <v>9448</v>
      </c>
      <c r="F489">
        <v>0</v>
      </c>
      <c r="G489" t="s">
        <v>6573</v>
      </c>
      <c r="H489" t="s">
        <v>9447</v>
      </c>
      <c r="I489">
        <v>0</v>
      </c>
    </row>
    <row r="490" spans="4:9" customFormat="1" ht="13.95" customHeight="1">
      <c r="D490" t="s">
        <v>6529</v>
      </c>
      <c r="E490" t="s">
        <v>9449</v>
      </c>
      <c r="F490">
        <v>0.81299999999999994</v>
      </c>
      <c r="G490" t="s">
        <v>6573</v>
      </c>
      <c r="H490" t="s">
        <v>9448</v>
      </c>
      <c r="I490">
        <v>0</v>
      </c>
    </row>
    <row r="491" spans="4:9" customFormat="1" ht="13.95" customHeight="1">
      <c r="D491" t="s">
        <v>6529</v>
      </c>
      <c r="E491" t="s">
        <v>9450</v>
      </c>
      <c r="F491">
        <v>1.325</v>
      </c>
      <c r="G491" t="s">
        <v>6573</v>
      </c>
      <c r="H491" t="s">
        <v>9449</v>
      </c>
      <c r="I491">
        <v>0</v>
      </c>
    </row>
    <row r="492" spans="4:9" customFormat="1" ht="13.95" customHeight="1">
      <c r="D492" t="s">
        <v>6529</v>
      </c>
      <c r="E492" t="s">
        <v>9451</v>
      </c>
      <c r="F492">
        <v>0</v>
      </c>
      <c r="G492" t="s">
        <v>6573</v>
      </c>
      <c r="H492" t="s">
        <v>9450</v>
      </c>
      <c r="I492">
        <v>0</v>
      </c>
    </row>
    <row r="493" spans="4:9" customFormat="1" ht="13.95" customHeight="1">
      <c r="D493" t="s">
        <v>6529</v>
      </c>
      <c r="E493" t="s">
        <v>9452</v>
      </c>
      <c r="F493">
        <v>0.89300000000000002</v>
      </c>
      <c r="G493" t="s">
        <v>6573</v>
      </c>
      <c r="H493" t="s">
        <v>9451</v>
      </c>
      <c r="I493">
        <v>0</v>
      </c>
    </row>
    <row r="494" spans="4:9" customFormat="1" ht="13.95" customHeight="1">
      <c r="D494" t="s">
        <v>6529</v>
      </c>
      <c r="E494" t="s">
        <v>9453</v>
      </c>
      <c r="F494">
        <v>0</v>
      </c>
      <c r="G494" t="s">
        <v>6573</v>
      </c>
      <c r="H494" t="s">
        <v>9452</v>
      </c>
      <c r="I494">
        <v>0</v>
      </c>
    </row>
    <row r="495" spans="4:9" customFormat="1" ht="13.95" customHeight="1">
      <c r="D495" t="s">
        <v>6529</v>
      </c>
      <c r="E495" t="s">
        <v>9454</v>
      </c>
      <c r="F495">
        <v>0</v>
      </c>
      <c r="G495" t="s">
        <v>6573</v>
      </c>
      <c r="H495" t="s">
        <v>9453</v>
      </c>
      <c r="I495">
        <v>0</v>
      </c>
    </row>
    <row r="496" spans="4:9" customFormat="1" ht="13.95" customHeight="1">
      <c r="D496" t="s">
        <v>6529</v>
      </c>
      <c r="E496" t="s">
        <v>9455</v>
      </c>
      <c r="F496">
        <v>0</v>
      </c>
      <c r="G496" t="s">
        <v>6573</v>
      </c>
      <c r="H496" t="s">
        <v>9454</v>
      </c>
      <c r="I496">
        <v>0</v>
      </c>
    </row>
    <row r="497" spans="4:9" customFormat="1" ht="13.95" customHeight="1">
      <c r="D497" t="s">
        <v>6529</v>
      </c>
      <c r="E497" t="s">
        <v>9456</v>
      </c>
      <c r="F497">
        <v>0</v>
      </c>
      <c r="G497" t="s">
        <v>6573</v>
      </c>
      <c r="H497" t="s">
        <v>9455</v>
      </c>
      <c r="I497">
        <v>0</v>
      </c>
    </row>
    <row r="498" spans="4:9" customFormat="1" ht="13.95" customHeight="1">
      <c r="D498" t="s">
        <v>6529</v>
      </c>
      <c r="E498" t="s">
        <v>9457</v>
      </c>
      <c r="F498">
        <v>0.108</v>
      </c>
      <c r="G498" t="s">
        <v>6573</v>
      </c>
      <c r="H498" t="s">
        <v>9456</v>
      </c>
      <c r="I498">
        <v>0</v>
      </c>
    </row>
    <row r="499" spans="4:9" customFormat="1" ht="13.95" customHeight="1">
      <c r="D499" t="s">
        <v>6529</v>
      </c>
      <c r="E499" t="s">
        <v>9458</v>
      </c>
      <c r="F499">
        <v>0</v>
      </c>
      <c r="G499" t="s">
        <v>6573</v>
      </c>
      <c r="H499" t="s">
        <v>9457</v>
      </c>
      <c r="I499">
        <v>0</v>
      </c>
    </row>
    <row r="500" spans="4:9" customFormat="1" ht="13.95" customHeight="1">
      <c r="D500" t="s">
        <v>6529</v>
      </c>
      <c r="E500" t="s">
        <v>9459</v>
      </c>
      <c r="F500">
        <v>0</v>
      </c>
      <c r="G500" t="s">
        <v>6573</v>
      </c>
      <c r="H500" t="s">
        <v>9458</v>
      </c>
      <c r="I500">
        <v>0</v>
      </c>
    </row>
    <row r="501" spans="4:9" customFormat="1" ht="13.95" customHeight="1">
      <c r="D501" t="s">
        <v>6529</v>
      </c>
      <c r="E501" t="s">
        <v>9460</v>
      </c>
      <c r="F501">
        <v>0.86399999999999999</v>
      </c>
      <c r="G501" t="s">
        <v>6573</v>
      </c>
      <c r="H501" t="s">
        <v>9459</v>
      </c>
      <c r="I501">
        <v>0</v>
      </c>
    </row>
    <row r="502" spans="4:9" customFormat="1" ht="13.95" customHeight="1">
      <c r="D502" t="s">
        <v>6529</v>
      </c>
      <c r="E502" t="s">
        <v>9461</v>
      </c>
      <c r="F502">
        <v>0</v>
      </c>
      <c r="G502" t="s">
        <v>6573</v>
      </c>
      <c r="H502" t="s">
        <v>9460</v>
      </c>
      <c r="I502">
        <v>0</v>
      </c>
    </row>
    <row r="503" spans="4:9" customFormat="1" ht="13.95" customHeight="1">
      <c r="D503" t="s">
        <v>6529</v>
      </c>
      <c r="E503" t="s">
        <v>9462</v>
      </c>
      <c r="F503">
        <v>0</v>
      </c>
      <c r="G503" t="s">
        <v>6573</v>
      </c>
      <c r="H503" t="s">
        <v>9461</v>
      </c>
      <c r="I503">
        <v>0</v>
      </c>
    </row>
    <row r="504" spans="4:9" customFormat="1" ht="13.95" customHeight="1">
      <c r="D504" t="s">
        <v>6529</v>
      </c>
      <c r="E504" t="s">
        <v>9481</v>
      </c>
      <c r="F504">
        <v>1.1879999999999999</v>
      </c>
      <c r="G504" t="s">
        <v>6573</v>
      </c>
      <c r="H504" t="s">
        <v>9462</v>
      </c>
      <c r="I504">
        <v>0</v>
      </c>
    </row>
    <row r="505" spans="4:9" customFormat="1" ht="13.95" customHeight="1">
      <c r="D505" t="s">
        <v>6529</v>
      </c>
      <c r="E505" t="s">
        <v>9483</v>
      </c>
      <c r="F505">
        <v>0</v>
      </c>
      <c r="G505" t="s">
        <v>6573</v>
      </c>
      <c r="H505" t="s">
        <v>9481</v>
      </c>
      <c r="I505">
        <v>0</v>
      </c>
    </row>
    <row r="506" spans="4:9" customFormat="1" ht="13.95" customHeight="1">
      <c r="D506" t="s">
        <v>6529</v>
      </c>
      <c r="E506" t="s">
        <v>9486</v>
      </c>
      <c r="F506">
        <v>0.61099999999999999</v>
      </c>
      <c r="G506" t="s">
        <v>6573</v>
      </c>
      <c r="H506" t="s">
        <v>9483</v>
      </c>
      <c r="I506">
        <v>0</v>
      </c>
    </row>
    <row r="507" spans="4:9" customFormat="1" ht="13.95" customHeight="1">
      <c r="D507" t="s">
        <v>6529</v>
      </c>
      <c r="E507" t="s">
        <v>9488</v>
      </c>
      <c r="F507">
        <v>0</v>
      </c>
      <c r="G507" t="s">
        <v>6573</v>
      </c>
      <c r="H507" t="s">
        <v>9486</v>
      </c>
      <c r="I507">
        <v>0</v>
      </c>
    </row>
    <row r="508" spans="4:9" customFormat="1" ht="13.95" customHeight="1">
      <c r="D508" t="s">
        <v>6529</v>
      </c>
      <c r="E508" t="s">
        <v>9490</v>
      </c>
      <c r="F508">
        <v>2.1310000000000002</v>
      </c>
      <c r="G508" t="s">
        <v>6573</v>
      </c>
      <c r="H508" t="s">
        <v>9488</v>
      </c>
      <c r="I508">
        <v>0</v>
      </c>
    </row>
    <row r="509" spans="4:9" customFormat="1" ht="13.95" customHeight="1">
      <c r="D509" t="s">
        <v>6529</v>
      </c>
      <c r="E509" t="s">
        <v>9492</v>
      </c>
      <c r="F509">
        <v>0</v>
      </c>
      <c r="G509" t="s">
        <v>6573</v>
      </c>
      <c r="H509" t="s">
        <v>9490</v>
      </c>
      <c r="I509">
        <v>0</v>
      </c>
    </row>
    <row r="510" spans="4:9" customFormat="1" ht="13.95" customHeight="1">
      <c r="D510" t="s">
        <v>6529</v>
      </c>
      <c r="E510" t="s">
        <v>9494</v>
      </c>
      <c r="F510">
        <v>0.53300000000000003</v>
      </c>
      <c r="G510" t="s">
        <v>6573</v>
      </c>
      <c r="H510" t="s">
        <v>9492</v>
      </c>
      <c r="I510">
        <v>0</v>
      </c>
    </row>
    <row r="511" spans="4:9" customFormat="1" ht="13.95" customHeight="1">
      <c r="D511" t="s">
        <v>6529</v>
      </c>
      <c r="E511" t="s">
        <v>9496</v>
      </c>
      <c r="F511">
        <v>0.40300000000000002</v>
      </c>
      <c r="G511" t="s">
        <v>6573</v>
      </c>
      <c r="H511" t="s">
        <v>9494</v>
      </c>
      <c r="I511">
        <v>0</v>
      </c>
    </row>
    <row r="512" spans="4:9" customFormat="1" ht="13.95" customHeight="1">
      <c r="D512" t="s">
        <v>6529</v>
      </c>
      <c r="E512" t="s">
        <v>9497</v>
      </c>
      <c r="F512">
        <v>0</v>
      </c>
      <c r="G512" t="s">
        <v>6573</v>
      </c>
      <c r="H512" t="s">
        <v>9496</v>
      </c>
      <c r="I512">
        <v>0</v>
      </c>
    </row>
    <row r="513" spans="4:9" customFormat="1" ht="13.95" customHeight="1">
      <c r="D513" t="s">
        <v>6529</v>
      </c>
      <c r="E513" t="s">
        <v>9498</v>
      </c>
      <c r="F513">
        <v>0</v>
      </c>
      <c r="G513" t="s">
        <v>6573</v>
      </c>
      <c r="H513" t="s">
        <v>9497</v>
      </c>
      <c r="I513">
        <v>0</v>
      </c>
    </row>
    <row r="514" spans="4:9" customFormat="1" ht="13.95" customHeight="1">
      <c r="D514" t="s">
        <v>6529</v>
      </c>
      <c r="E514" t="s">
        <v>9499</v>
      </c>
      <c r="F514">
        <v>0</v>
      </c>
      <c r="G514" t="s">
        <v>6573</v>
      </c>
      <c r="H514" t="s">
        <v>9498</v>
      </c>
      <c r="I514">
        <v>0</v>
      </c>
    </row>
    <row r="515" spans="4:9" customFormat="1" ht="13.95" customHeight="1">
      <c r="D515" t="s">
        <v>6529</v>
      </c>
      <c r="E515" t="s">
        <v>9500</v>
      </c>
      <c r="F515">
        <v>0</v>
      </c>
      <c r="G515" t="s">
        <v>6573</v>
      </c>
      <c r="H515" t="s">
        <v>9499</v>
      </c>
      <c r="I515">
        <v>0</v>
      </c>
    </row>
    <row r="516" spans="4:9" customFormat="1" ht="13.95" customHeight="1">
      <c r="D516" t="s">
        <v>6529</v>
      </c>
      <c r="E516" t="s">
        <v>9501</v>
      </c>
      <c r="F516">
        <v>0</v>
      </c>
      <c r="G516" t="s">
        <v>6573</v>
      </c>
      <c r="H516" t="s">
        <v>9500</v>
      </c>
      <c r="I516">
        <v>0</v>
      </c>
    </row>
    <row r="517" spans="4:9" customFormat="1" ht="13.95" customHeight="1">
      <c r="D517" t="s">
        <v>6529</v>
      </c>
      <c r="E517" t="s">
        <v>9502</v>
      </c>
      <c r="F517">
        <v>0</v>
      </c>
      <c r="G517" t="s">
        <v>6573</v>
      </c>
      <c r="H517" t="s">
        <v>9501</v>
      </c>
      <c r="I517">
        <v>0</v>
      </c>
    </row>
    <row r="518" spans="4:9" customFormat="1" ht="13.95" customHeight="1">
      <c r="D518" t="s">
        <v>6532</v>
      </c>
      <c r="E518" t="s">
        <v>9445</v>
      </c>
      <c r="F518">
        <v>0</v>
      </c>
      <c r="G518" t="s">
        <v>6573</v>
      </c>
      <c r="H518" t="s">
        <v>9502</v>
      </c>
      <c r="I518">
        <v>0</v>
      </c>
    </row>
    <row r="519" spans="4:9" customFormat="1" ht="13.95" customHeight="1">
      <c r="D519" t="s">
        <v>6532</v>
      </c>
      <c r="E519" t="s">
        <v>9446</v>
      </c>
      <c r="F519">
        <v>0</v>
      </c>
      <c r="G519" t="s">
        <v>6573</v>
      </c>
      <c r="H519" t="s">
        <v>9503</v>
      </c>
      <c r="I519">
        <v>0</v>
      </c>
    </row>
    <row r="520" spans="4:9" customFormat="1" ht="13.95" customHeight="1">
      <c r="D520" t="s">
        <v>6532</v>
      </c>
      <c r="E520" t="s">
        <v>9447</v>
      </c>
      <c r="F520">
        <v>1.268</v>
      </c>
      <c r="G520" t="s">
        <v>6573</v>
      </c>
      <c r="H520" t="s">
        <v>9504</v>
      </c>
      <c r="I520">
        <v>0</v>
      </c>
    </row>
    <row r="521" spans="4:9" customFormat="1" ht="13.95" customHeight="1">
      <c r="D521" t="s">
        <v>6532</v>
      </c>
      <c r="E521" t="s">
        <v>9448</v>
      </c>
      <c r="F521">
        <v>1.6280000000000001</v>
      </c>
      <c r="G521" t="s">
        <v>6573</v>
      </c>
      <c r="H521" t="s">
        <v>9505</v>
      </c>
      <c r="I521">
        <v>0</v>
      </c>
    </row>
    <row r="522" spans="4:9" customFormat="1" ht="13.95" customHeight="1">
      <c r="D522" t="s">
        <v>6532</v>
      </c>
      <c r="E522" t="s">
        <v>9449</v>
      </c>
      <c r="F522">
        <v>0</v>
      </c>
      <c r="G522" t="s">
        <v>6573</v>
      </c>
      <c r="H522" t="s">
        <v>9506</v>
      </c>
      <c r="I522">
        <v>0</v>
      </c>
    </row>
    <row r="523" spans="4:9" customFormat="1" ht="13.95" customHeight="1">
      <c r="D523" t="s">
        <v>6532</v>
      </c>
      <c r="E523" t="s">
        <v>9450</v>
      </c>
      <c r="F523">
        <v>0.63300000000000001</v>
      </c>
      <c r="G523" t="s">
        <v>6573</v>
      </c>
      <c r="H523" t="s">
        <v>9507</v>
      </c>
      <c r="I523">
        <v>0</v>
      </c>
    </row>
    <row r="524" spans="4:9" customFormat="1" ht="13.95" customHeight="1">
      <c r="D524" t="s">
        <v>6532</v>
      </c>
      <c r="E524" t="s">
        <v>9451</v>
      </c>
      <c r="F524">
        <v>0</v>
      </c>
      <c r="G524" t="s">
        <v>6573</v>
      </c>
      <c r="H524" t="s">
        <v>9508</v>
      </c>
      <c r="I524">
        <v>0</v>
      </c>
    </row>
    <row r="525" spans="4:9" customFormat="1" ht="13.95" customHeight="1">
      <c r="D525" t="s">
        <v>6532</v>
      </c>
      <c r="E525" t="s">
        <v>9452</v>
      </c>
      <c r="F525">
        <v>0</v>
      </c>
      <c r="G525" t="s">
        <v>6573</v>
      </c>
      <c r="H525" t="s">
        <v>9509</v>
      </c>
      <c r="I525">
        <v>0</v>
      </c>
    </row>
    <row r="526" spans="4:9" customFormat="1" ht="13.95" customHeight="1">
      <c r="D526" t="s">
        <v>6532</v>
      </c>
      <c r="E526" t="s">
        <v>9453</v>
      </c>
      <c r="F526">
        <v>0</v>
      </c>
      <c r="G526" t="s">
        <v>6573</v>
      </c>
      <c r="H526" t="s">
        <v>9510</v>
      </c>
      <c r="I526">
        <v>0</v>
      </c>
    </row>
    <row r="527" spans="4:9" customFormat="1" ht="13.95" customHeight="1">
      <c r="D527" t="s">
        <v>6532</v>
      </c>
      <c r="E527" t="s">
        <v>9454</v>
      </c>
      <c r="F527">
        <v>0</v>
      </c>
      <c r="G527" t="s">
        <v>6573</v>
      </c>
      <c r="H527" t="s">
        <v>9511</v>
      </c>
      <c r="I527">
        <v>0</v>
      </c>
    </row>
    <row r="528" spans="4:9" customFormat="1" ht="13.95" customHeight="1">
      <c r="D528" t="s">
        <v>6532</v>
      </c>
      <c r="E528" t="s">
        <v>9455</v>
      </c>
      <c r="F528">
        <v>0</v>
      </c>
      <c r="G528" t="s">
        <v>6573</v>
      </c>
      <c r="H528" t="s">
        <v>9512</v>
      </c>
      <c r="I528">
        <v>0</v>
      </c>
    </row>
    <row r="529" spans="4:9" customFormat="1" ht="13.95" customHeight="1">
      <c r="D529" t="s">
        <v>6532</v>
      </c>
      <c r="E529" t="s">
        <v>9456</v>
      </c>
      <c r="F529">
        <v>0</v>
      </c>
      <c r="G529" t="s">
        <v>6573</v>
      </c>
      <c r="H529" t="s">
        <v>9513</v>
      </c>
      <c r="I529">
        <v>0</v>
      </c>
    </row>
    <row r="530" spans="4:9" customFormat="1" ht="13.95" customHeight="1">
      <c r="D530" t="s">
        <v>6532</v>
      </c>
      <c r="E530" t="s">
        <v>9457</v>
      </c>
      <c r="F530">
        <v>0.35299999999999998</v>
      </c>
      <c r="G530" t="s">
        <v>6573</v>
      </c>
      <c r="H530" t="s">
        <v>9514</v>
      </c>
      <c r="I530">
        <v>0</v>
      </c>
    </row>
    <row r="531" spans="4:9" customFormat="1" ht="13.95" customHeight="1">
      <c r="D531" t="s">
        <v>6532</v>
      </c>
      <c r="E531" t="s">
        <v>9458</v>
      </c>
      <c r="F531">
        <v>0.71299999999999997</v>
      </c>
      <c r="G531" t="s">
        <v>6573</v>
      </c>
      <c r="H531" t="s">
        <v>9515</v>
      </c>
      <c r="I531">
        <v>0</v>
      </c>
    </row>
    <row r="532" spans="4:9" customFormat="1" ht="13.95" customHeight="1">
      <c r="D532" t="s">
        <v>6532</v>
      </c>
      <c r="E532" t="s">
        <v>9459</v>
      </c>
      <c r="F532">
        <v>0</v>
      </c>
      <c r="G532" t="s">
        <v>6573</v>
      </c>
      <c r="H532" t="s">
        <v>9516</v>
      </c>
      <c r="I532">
        <v>0</v>
      </c>
    </row>
    <row r="533" spans="4:9" customFormat="1" ht="13.95" customHeight="1">
      <c r="D533" t="s">
        <v>6532</v>
      </c>
      <c r="E533" t="s">
        <v>9460</v>
      </c>
      <c r="F533">
        <v>0</v>
      </c>
      <c r="G533" t="s">
        <v>6573</v>
      </c>
      <c r="H533" t="s">
        <v>9517</v>
      </c>
      <c r="I533">
        <v>0</v>
      </c>
    </row>
    <row r="534" spans="4:9" customFormat="1" ht="13.95" customHeight="1">
      <c r="D534" t="s">
        <v>6532</v>
      </c>
      <c r="E534" t="s">
        <v>9461</v>
      </c>
      <c r="F534">
        <v>0.19400000000000001</v>
      </c>
      <c r="G534" t="s">
        <v>6573</v>
      </c>
      <c r="H534" t="s">
        <v>9518</v>
      </c>
      <c r="I534">
        <v>0</v>
      </c>
    </row>
    <row r="535" spans="4:9" customFormat="1" ht="13.95" customHeight="1">
      <c r="D535" t="s">
        <v>6532</v>
      </c>
      <c r="E535" t="s">
        <v>9462</v>
      </c>
      <c r="F535">
        <v>0</v>
      </c>
      <c r="G535" t="s">
        <v>6573</v>
      </c>
      <c r="H535" t="s">
        <v>9519</v>
      </c>
      <c r="I535">
        <v>0</v>
      </c>
    </row>
    <row r="536" spans="4:9" customFormat="1" ht="13.95" customHeight="1">
      <c r="D536" t="s">
        <v>6532</v>
      </c>
      <c r="E536" t="s">
        <v>9481</v>
      </c>
      <c r="F536">
        <v>0.55400000000000005</v>
      </c>
      <c r="G536" t="s">
        <v>6573</v>
      </c>
      <c r="H536" t="s">
        <v>9520</v>
      </c>
      <c r="I536">
        <v>0</v>
      </c>
    </row>
    <row r="537" spans="4:9" customFormat="1" ht="13.95" customHeight="1">
      <c r="D537" t="s">
        <v>6532</v>
      </c>
      <c r="E537" t="s">
        <v>9483</v>
      </c>
      <c r="F537">
        <v>0</v>
      </c>
      <c r="G537" t="s">
        <v>6574</v>
      </c>
      <c r="H537" t="s">
        <v>9445</v>
      </c>
      <c r="I537">
        <v>0</v>
      </c>
    </row>
    <row r="538" spans="4:9" customFormat="1" ht="13.95" customHeight="1">
      <c r="D538" t="s">
        <v>6532</v>
      </c>
      <c r="E538" t="s">
        <v>9486</v>
      </c>
      <c r="F538">
        <v>0.79200000000000004</v>
      </c>
      <c r="G538" t="s">
        <v>6574</v>
      </c>
      <c r="H538" t="s">
        <v>9446</v>
      </c>
      <c r="I538">
        <v>0</v>
      </c>
    </row>
    <row r="539" spans="4:9" customFormat="1" ht="13.95" customHeight="1">
      <c r="D539" t="s">
        <v>6532</v>
      </c>
      <c r="E539" t="s">
        <v>9488</v>
      </c>
      <c r="F539">
        <v>0</v>
      </c>
      <c r="G539" t="s">
        <v>6574</v>
      </c>
      <c r="H539" t="s">
        <v>9447</v>
      </c>
      <c r="I539">
        <v>0</v>
      </c>
    </row>
    <row r="540" spans="4:9" customFormat="1" ht="13.95" customHeight="1">
      <c r="D540" t="s">
        <v>6532</v>
      </c>
      <c r="E540" t="s">
        <v>9490</v>
      </c>
      <c r="F540">
        <v>0.56200000000000006</v>
      </c>
      <c r="G540" t="s">
        <v>6574</v>
      </c>
      <c r="H540" t="s">
        <v>9448</v>
      </c>
      <c r="I540">
        <v>0</v>
      </c>
    </row>
    <row r="541" spans="4:9" customFormat="1" ht="13.95" customHeight="1">
      <c r="D541" t="s">
        <v>6532</v>
      </c>
      <c r="E541" t="s">
        <v>9492</v>
      </c>
      <c r="F541">
        <v>1.1379999999999999</v>
      </c>
      <c r="G541" t="s">
        <v>6574</v>
      </c>
      <c r="H541" t="s">
        <v>9449</v>
      </c>
      <c r="I541">
        <v>0</v>
      </c>
    </row>
    <row r="542" spans="4:9" customFormat="1" ht="13.95" customHeight="1">
      <c r="D542" t="s">
        <v>6532</v>
      </c>
      <c r="E542" t="s">
        <v>9494</v>
      </c>
      <c r="F542">
        <v>0</v>
      </c>
      <c r="G542" t="s">
        <v>6574</v>
      </c>
      <c r="H542" t="s">
        <v>9450</v>
      </c>
      <c r="I542">
        <v>0</v>
      </c>
    </row>
    <row r="543" spans="4:9" customFormat="1" ht="13.95" customHeight="1">
      <c r="D543" t="s">
        <v>6532</v>
      </c>
      <c r="E543" t="s">
        <v>9496</v>
      </c>
      <c r="F543">
        <v>0</v>
      </c>
      <c r="G543" t="s">
        <v>6574</v>
      </c>
      <c r="H543" t="s">
        <v>9451</v>
      </c>
      <c r="I543">
        <v>0</v>
      </c>
    </row>
    <row r="544" spans="4:9" customFormat="1" ht="13.95" customHeight="1">
      <c r="D544" t="s">
        <v>6532</v>
      </c>
      <c r="E544" t="s">
        <v>9497</v>
      </c>
      <c r="F544">
        <v>0</v>
      </c>
      <c r="G544" t="s">
        <v>6574</v>
      </c>
      <c r="H544" t="s">
        <v>9452</v>
      </c>
      <c r="I544">
        <v>0</v>
      </c>
    </row>
    <row r="545" spans="4:9" customFormat="1" ht="13.95" customHeight="1">
      <c r="D545" t="s">
        <v>6532</v>
      </c>
      <c r="E545" t="s">
        <v>9498</v>
      </c>
      <c r="F545">
        <v>0</v>
      </c>
      <c r="G545" t="s">
        <v>6574</v>
      </c>
      <c r="H545" t="s">
        <v>9453</v>
      </c>
      <c r="I545">
        <v>0</v>
      </c>
    </row>
    <row r="546" spans="4:9" customFormat="1" ht="13.95" customHeight="1">
      <c r="D546" t="s">
        <v>6532</v>
      </c>
      <c r="E546" t="s">
        <v>9499</v>
      </c>
      <c r="F546">
        <v>0</v>
      </c>
      <c r="G546" t="s">
        <v>6574</v>
      </c>
      <c r="H546" t="s">
        <v>9454</v>
      </c>
      <c r="I546">
        <v>0</v>
      </c>
    </row>
    <row r="547" spans="4:9" customFormat="1" ht="13.95" customHeight="1">
      <c r="D547" t="s">
        <v>6532</v>
      </c>
      <c r="E547" t="s">
        <v>9500</v>
      </c>
      <c r="F547">
        <v>0</v>
      </c>
      <c r="G547" t="s">
        <v>6574</v>
      </c>
      <c r="H547" t="s">
        <v>9455</v>
      </c>
      <c r="I547">
        <v>0</v>
      </c>
    </row>
    <row r="548" spans="4:9" customFormat="1" ht="13.95" customHeight="1">
      <c r="D548" t="s">
        <v>6532</v>
      </c>
      <c r="E548" t="s">
        <v>9501</v>
      </c>
      <c r="F548">
        <v>0</v>
      </c>
      <c r="G548" t="s">
        <v>6574</v>
      </c>
      <c r="H548" t="s">
        <v>9456</v>
      </c>
      <c r="I548">
        <v>0</v>
      </c>
    </row>
    <row r="549" spans="4:9" customFormat="1" ht="13.95" customHeight="1">
      <c r="D549" t="s">
        <v>6532</v>
      </c>
      <c r="E549" t="s">
        <v>9502</v>
      </c>
      <c r="F549">
        <v>0</v>
      </c>
      <c r="G549" t="s">
        <v>6574</v>
      </c>
      <c r="H549" t="s">
        <v>9457</v>
      </c>
      <c r="I549">
        <v>0</v>
      </c>
    </row>
    <row r="550" spans="4:9" customFormat="1" ht="13.95" customHeight="1">
      <c r="D550" t="s">
        <v>6530</v>
      </c>
      <c r="E550" t="s">
        <v>9445</v>
      </c>
      <c r="F550">
        <v>3.0139999999999998</v>
      </c>
      <c r="G550" t="s">
        <v>6574</v>
      </c>
      <c r="H550" t="s">
        <v>9458</v>
      </c>
      <c r="I550">
        <v>0</v>
      </c>
    </row>
    <row r="551" spans="4:9" customFormat="1" ht="13.95" customHeight="1">
      <c r="D551" t="s">
        <v>6530</v>
      </c>
      <c r="E551" t="s">
        <v>9446</v>
      </c>
      <c r="F551">
        <v>1.77</v>
      </c>
      <c r="G551" t="s">
        <v>6574</v>
      </c>
      <c r="H551" t="s">
        <v>9459</v>
      </c>
      <c r="I551">
        <v>0</v>
      </c>
    </row>
    <row r="552" spans="4:9" customFormat="1" ht="13.95" customHeight="1">
      <c r="D552" t="s">
        <v>6530</v>
      </c>
      <c r="E552" t="s">
        <v>9447</v>
      </c>
      <c r="F552">
        <v>0</v>
      </c>
      <c r="G552" t="s">
        <v>6574</v>
      </c>
      <c r="H552" t="s">
        <v>9460</v>
      </c>
      <c r="I552">
        <v>0</v>
      </c>
    </row>
    <row r="553" spans="4:9" customFormat="1" ht="13.95" customHeight="1">
      <c r="D553" t="s">
        <v>6530</v>
      </c>
      <c r="E553" t="s">
        <v>9448</v>
      </c>
      <c r="F553">
        <v>0</v>
      </c>
      <c r="G553" t="s">
        <v>6574</v>
      </c>
      <c r="H553" t="s">
        <v>9461</v>
      </c>
      <c r="I553">
        <v>0</v>
      </c>
    </row>
    <row r="554" spans="4:9" customFormat="1" ht="13.95" customHeight="1">
      <c r="D554" t="s">
        <v>6530</v>
      </c>
      <c r="E554" t="s">
        <v>9449</v>
      </c>
      <c r="F554">
        <v>0</v>
      </c>
      <c r="G554" t="s">
        <v>6574</v>
      </c>
      <c r="H554" t="s">
        <v>9462</v>
      </c>
      <c r="I554">
        <v>0</v>
      </c>
    </row>
    <row r="555" spans="4:9" customFormat="1" ht="13.95" customHeight="1">
      <c r="D555" t="s">
        <v>6530</v>
      </c>
      <c r="E555" t="s">
        <v>9450</v>
      </c>
      <c r="F555">
        <v>0</v>
      </c>
      <c r="G555" t="s">
        <v>6574</v>
      </c>
      <c r="H555" t="s">
        <v>9481</v>
      </c>
      <c r="I555">
        <v>1.325</v>
      </c>
    </row>
    <row r="556" spans="4:9" customFormat="1" ht="13.95" customHeight="1">
      <c r="D556" t="s">
        <v>6530</v>
      </c>
      <c r="E556" t="s">
        <v>9451</v>
      </c>
      <c r="F556">
        <v>0.79900000000000004</v>
      </c>
      <c r="G556" t="s">
        <v>6574</v>
      </c>
      <c r="H556" t="s">
        <v>9483</v>
      </c>
      <c r="I556">
        <v>0</v>
      </c>
    </row>
    <row r="557" spans="4:9" customFormat="1" ht="13.95" customHeight="1">
      <c r="D557" t="s">
        <v>6530</v>
      </c>
      <c r="E557" t="s">
        <v>9452</v>
      </c>
      <c r="F557">
        <v>0.84899999999999998</v>
      </c>
      <c r="G557" t="s">
        <v>6574</v>
      </c>
      <c r="H557" t="s">
        <v>9486</v>
      </c>
      <c r="I557">
        <v>0</v>
      </c>
    </row>
    <row r="558" spans="4:9" customFormat="1" ht="13.95" customHeight="1">
      <c r="D558" t="s">
        <v>6530</v>
      </c>
      <c r="E558" t="s">
        <v>9453</v>
      </c>
      <c r="F558">
        <v>0.29499999999999998</v>
      </c>
      <c r="G558" t="s">
        <v>6574</v>
      </c>
      <c r="H558" t="s">
        <v>9488</v>
      </c>
      <c r="I558">
        <v>0</v>
      </c>
    </row>
    <row r="559" spans="4:9" customFormat="1" ht="13.95" customHeight="1">
      <c r="D559" t="s">
        <v>6530</v>
      </c>
      <c r="E559" t="s">
        <v>9454</v>
      </c>
      <c r="F559">
        <v>1.5270000000000001</v>
      </c>
      <c r="G559" t="s">
        <v>6574</v>
      </c>
      <c r="H559" t="s">
        <v>9490</v>
      </c>
      <c r="I559">
        <v>0</v>
      </c>
    </row>
    <row r="560" spans="4:9" customFormat="1" ht="13.95" customHeight="1">
      <c r="D560" t="s">
        <v>6530</v>
      </c>
      <c r="E560" t="s">
        <v>9455</v>
      </c>
      <c r="F560">
        <v>0</v>
      </c>
      <c r="G560" t="s">
        <v>6574</v>
      </c>
      <c r="H560" t="s">
        <v>9492</v>
      </c>
      <c r="I560">
        <v>0</v>
      </c>
    </row>
    <row r="561" spans="4:9" customFormat="1" ht="13.95" customHeight="1">
      <c r="D561" t="s">
        <v>6530</v>
      </c>
      <c r="E561" t="s">
        <v>9456</v>
      </c>
      <c r="F561">
        <v>0.41699999999999998</v>
      </c>
      <c r="G561" t="s">
        <v>6574</v>
      </c>
      <c r="H561" t="s">
        <v>9494</v>
      </c>
      <c r="I561">
        <v>0</v>
      </c>
    </row>
    <row r="562" spans="4:9" customFormat="1" ht="13.95" customHeight="1">
      <c r="D562" t="s">
        <v>6530</v>
      </c>
      <c r="E562" t="s">
        <v>9457</v>
      </c>
      <c r="F562">
        <v>0.14399999999999999</v>
      </c>
      <c r="G562" t="s">
        <v>6574</v>
      </c>
      <c r="H562" t="s">
        <v>9496</v>
      </c>
      <c r="I562">
        <v>0</v>
      </c>
    </row>
    <row r="563" spans="4:9" customFormat="1" ht="13.95" customHeight="1">
      <c r="D563" t="s">
        <v>6530</v>
      </c>
      <c r="E563" t="s">
        <v>9458</v>
      </c>
      <c r="F563">
        <v>0.252</v>
      </c>
      <c r="G563" t="s">
        <v>6574</v>
      </c>
      <c r="H563" t="s">
        <v>9497</v>
      </c>
      <c r="I563">
        <v>0</v>
      </c>
    </row>
    <row r="564" spans="4:9" customFormat="1" ht="13.95" customHeight="1">
      <c r="D564" t="s">
        <v>6530</v>
      </c>
      <c r="E564" t="s">
        <v>9459</v>
      </c>
      <c r="F564">
        <v>0</v>
      </c>
      <c r="G564" t="s">
        <v>6574</v>
      </c>
      <c r="H564" t="s">
        <v>9498</v>
      </c>
      <c r="I564">
        <v>0</v>
      </c>
    </row>
    <row r="565" spans="4:9" customFormat="1" ht="13.95" customHeight="1">
      <c r="D565" t="s">
        <v>6530</v>
      </c>
      <c r="E565" t="s">
        <v>9460</v>
      </c>
      <c r="F565">
        <v>0</v>
      </c>
      <c r="G565" t="s">
        <v>6574</v>
      </c>
      <c r="H565" t="s">
        <v>9499</v>
      </c>
      <c r="I565">
        <v>0</v>
      </c>
    </row>
    <row r="566" spans="4:9" customFormat="1" ht="13.95" customHeight="1">
      <c r="D566" t="s">
        <v>6530</v>
      </c>
      <c r="E566" t="s">
        <v>9461</v>
      </c>
      <c r="F566">
        <v>0</v>
      </c>
      <c r="G566" t="s">
        <v>6574</v>
      </c>
      <c r="H566" t="s">
        <v>9500</v>
      </c>
      <c r="I566">
        <v>0</v>
      </c>
    </row>
    <row r="567" spans="4:9" customFormat="1" ht="13.95" customHeight="1">
      <c r="D567" t="s">
        <v>6530</v>
      </c>
      <c r="E567" t="s">
        <v>9462</v>
      </c>
      <c r="F567">
        <v>0</v>
      </c>
      <c r="G567" t="s">
        <v>6574</v>
      </c>
      <c r="H567" t="s">
        <v>9501</v>
      </c>
      <c r="I567">
        <v>0</v>
      </c>
    </row>
    <row r="568" spans="4:9" customFormat="1" ht="13.95" customHeight="1">
      <c r="D568" t="s">
        <v>6530</v>
      </c>
      <c r="E568" t="s">
        <v>9481</v>
      </c>
      <c r="F568">
        <v>0</v>
      </c>
      <c r="G568" t="s">
        <v>6574</v>
      </c>
      <c r="H568" t="s">
        <v>9502</v>
      </c>
      <c r="I568">
        <v>0</v>
      </c>
    </row>
    <row r="569" spans="4:9" customFormat="1" ht="13.95" customHeight="1">
      <c r="D569" t="s">
        <v>6530</v>
      </c>
      <c r="E569" t="s">
        <v>9483</v>
      </c>
      <c r="F569">
        <v>0</v>
      </c>
      <c r="G569" t="s">
        <v>6574</v>
      </c>
      <c r="H569" t="s">
        <v>9503</v>
      </c>
      <c r="I569">
        <v>0</v>
      </c>
    </row>
    <row r="570" spans="4:9" customFormat="1" ht="13.95" customHeight="1">
      <c r="D570" t="s">
        <v>6530</v>
      </c>
      <c r="E570" t="s">
        <v>9486</v>
      </c>
      <c r="F570">
        <v>0</v>
      </c>
      <c r="G570" t="s">
        <v>6574</v>
      </c>
      <c r="H570" t="s">
        <v>9504</v>
      </c>
      <c r="I570">
        <v>0</v>
      </c>
    </row>
    <row r="571" spans="4:9" customFormat="1" ht="13.95" customHeight="1">
      <c r="D571" t="s">
        <v>6530</v>
      </c>
      <c r="E571" t="s">
        <v>9488</v>
      </c>
      <c r="F571">
        <v>0</v>
      </c>
      <c r="G571" t="s">
        <v>6574</v>
      </c>
      <c r="H571" t="s">
        <v>9505</v>
      </c>
      <c r="I571">
        <v>0</v>
      </c>
    </row>
    <row r="572" spans="4:9" customFormat="1" ht="13.95" customHeight="1">
      <c r="D572" t="s">
        <v>6530</v>
      </c>
      <c r="E572" t="s">
        <v>9490</v>
      </c>
      <c r="F572">
        <v>0.497</v>
      </c>
      <c r="G572" t="s">
        <v>6574</v>
      </c>
      <c r="H572" t="s">
        <v>9506</v>
      </c>
      <c r="I572">
        <v>0</v>
      </c>
    </row>
    <row r="573" spans="4:9" customFormat="1" ht="13.95" customHeight="1">
      <c r="D573" t="s">
        <v>6530</v>
      </c>
      <c r="E573" t="s">
        <v>9492</v>
      </c>
      <c r="F573">
        <v>0</v>
      </c>
      <c r="G573" t="s">
        <v>6574</v>
      </c>
      <c r="H573" t="s">
        <v>9507</v>
      </c>
      <c r="I573">
        <v>0</v>
      </c>
    </row>
    <row r="574" spans="4:9" customFormat="1" ht="13.95" customHeight="1">
      <c r="D574" t="s">
        <v>6530</v>
      </c>
      <c r="E574" t="s">
        <v>9494</v>
      </c>
      <c r="F574">
        <v>0</v>
      </c>
      <c r="G574" t="s">
        <v>6574</v>
      </c>
      <c r="H574" t="s">
        <v>9508</v>
      </c>
      <c r="I574">
        <v>0</v>
      </c>
    </row>
    <row r="575" spans="4:9" customFormat="1" ht="13.95" customHeight="1">
      <c r="D575" t="s">
        <v>6530</v>
      </c>
      <c r="E575" t="s">
        <v>9496</v>
      </c>
      <c r="F575">
        <v>0</v>
      </c>
      <c r="G575" t="s">
        <v>6574</v>
      </c>
      <c r="H575" t="s">
        <v>9509</v>
      </c>
      <c r="I575">
        <v>0</v>
      </c>
    </row>
    <row r="576" spans="4:9" customFormat="1" ht="13.95" customHeight="1">
      <c r="D576" t="s">
        <v>6530</v>
      </c>
      <c r="E576" t="s">
        <v>9497</v>
      </c>
      <c r="F576">
        <v>0</v>
      </c>
      <c r="G576" t="s">
        <v>6574</v>
      </c>
      <c r="H576" t="s">
        <v>9510</v>
      </c>
      <c r="I576">
        <v>0</v>
      </c>
    </row>
    <row r="577" spans="4:9" customFormat="1" ht="13.95" customHeight="1">
      <c r="D577" t="s">
        <v>6530</v>
      </c>
      <c r="E577" t="s">
        <v>9498</v>
      </c>
      <c r="F577">
        <v>0.115</v>
      </c>
      <c r="G577" t="s">
        <v>6574</v>
      </c>
      <c r="H577" t="s">
        <v>9511</v>
      </c>
      <c r="I577">
        <v>0</v>
      </c>
    </row>
    <row r="578" spans="4:9" customFormat="1" ht="13.95" customHeight="1">
      <c r="D578" t="s">
        <v>6530</v>
      </c>
      <c r="E578" t="s">
        <v>9499</v>
      </c>
      <c r="F578">
        <v>4.2999999999999997E-2</v>
      </c>
      <c r="G578" t="s">
        <v>6574</v>
      </c>
      <c r="H578" t="s">
        <v>9512</v>
      </c>
      <c r="I578">
        <v>0</v>
      </c>
    </row>
    <row r="579" spans="4:9" customFormat="1" ht="13.95" customHeight="1">
      <c r="D579" t="s">
        <v>6530</v>
      </c>
      <c r="E579" t="s">
        <v>9500</v>
      </c>
      <c r="F579">
        <v>0</v>
      </c>
      <c r="G579" t="s">
        <v>6574</v>
      </c>
      <c r="H579" t="s">
        <v>9513</v>
      </c>
      <c r="I579">
        <v>0</v>
      </c>
    </row>
    <row r="580" spans="4:9" customFormat="1" ht="13.95" customHeight="1">
      <c r="D580" t="s">
        <v>6533</v>
      </c>
      <c r="E580" t="s">
        <v>9445</v>
      </c>
      <c r="F580">
        <v>2.2709999999999999</v>
      </c>
      <c r="G580" t="s">
        <v>6574</v>
      </c>
      <c r="H580" t="s">
        <v>9514</v>
      </c>
      <c r="I580">
        <v>0</v>
      </c>
    </row>
    <row r="581" spans="4:9" customFormat="1" ht="13.95" customHeight="1">
      <c r="D581" t="s">
        <v>6533</v>
      </c>
      <c r="E581" t="s">
        <v>9446</v>
      </c>
      <c r="F581">
        <v>1.758</v>
      </c>
      <c r="G581" t="s">
        <v>6574</v>
      </c>
      <c r="H581" t="s">
        <v>9515</v>
      </c>
      <c r="I581">
        <v>0</v>
      </c>
    </row>
    <row r="582" spans="4:9" customFormat="1" ht="13.95" customHeight="1">
      <c r="D582" t="s">
        <v>6533</v>
      </c>
      <c r="E582" t="s">
        <v>9447</v>
      </c>
      <c r="F582">
        <v>0</v>
      </c>
      <c r="G582" t="s">
        <v>6574</v>
      </c>
      <c r="H582" t="s">
        <v>9516</v>
      </c>
      <c r="I582">
        <v>0</v>
      </c>
    </row>
    <row r="583" spans="4:9" customFormat="1" ht="13.95" customHeight="1">
      <c r="D583" t="s">
        <v>6533</v>
      </c>
      <c r="E583" t="s">
        <v>9448</v>
      </c>
      <c r="F583">
        <v>0</v>
      </c>
      <c r="G583" t="s">
        <v>6574</v>
      </c>
      <c r="H583" t="s">
        <v>9517</v>
      </c>
      <c r="I583">
        <v>0</v>
      </c>
    </row>
    <row r="584" spans="4:9" customFormat="1" ht="13.95" customHeight="1">
      <c r="D584" t="s">
        <v>6533</v>
      </c>
      <c r="E584" t="s">
        <v>9449</v>
      </c>
      <c r="F584">
        <v>0</v>
      </c>
      <c r="G584" t="s">
        <v>6574</v>
      </c>
      <c r="H584" t="s">
        <v>9518</v>
      </c>
      <c r="I584">
        <v>0</v>
      </c>
    </row>
    <row r="585" spans="4:9" customFormat="1" ht="13.95" customHeight="1">
      <c r="D585" t="s">
        <v>6533</v>
      </c>
      <c r="E585" t="s">
        <v>9450</v>
      </c>
      <c r="F585">
        <v>0</v>
      </c>
      <c r="G585" t="s">
        <v>6574</v>
      </c>
      <c r="H585" t="s">
        <v>9519</v>
      </c>
      <c r="I585">
        <v>0</v>
      </c>
    </row>
    <row r="586" spans="4:9" customFormat="1" ht="13.95" customHeight="1">
      <c r="D586" t="s">
        <v>6533</v>
      </c>
      <c r="E586" t="s">
        <v>9451</v>
      </c>
      <c r="F586">
        <v>0.84899999999999998</v>
      </c>
      <c r="G586" t="s">
        <v>6574</v>
      </c>
      <c r="H586" t="s">
        <v>9520</v>
      </c>
      <c r="I586">
        <v>0</v>
      </c>
    </row>
    <row r="587" spans="4:9" customFormat="1" ht="13.95" customHeight="1">
      <c r="D587" t="s">
        <v>6533</v>
      </c>
      <c r="E587" t="s">
        <v>9452</v>
      </c>
      <c r="F587">
        <v>0.95799999999999996</v>
      </c>
      <c r="G587" t="s">
        <v>6575</v>
      </c>
      <c r="H587" t="s">
        <v>9445</v>
      </c>
      <c r="I587">
        <v>0</v>
      </c>
    </row>
    <row r="588" spans="4:9" customFormat="1" ht="13.95" customHeight="1">
      <c r="D588" t="s">
        <v>6533</v>
      </c>
      <c r="E588" t="s">
        <v>9453</v>
      </c>
      <c r="F588">
        <v>0.309</v>
      </c>
      <c r="G588" t="s">
        <v>6575</v>
      </c>
      <c r="H588" t="s">
        <v>9446</v>
      </c>
      <c r="I588">
        <v>0</v>
      </c>
    </row>
    <row r="589" spans="4:9" customFormat="1" ht="13.95" customHeight="1">
      <c r="D589" t="s">
        <v>6533</v>
      </c>
      <c r="E589" t="s">
        <v>9454</v>
      </c>
      <c r="F589">
        <v>4.2999999999999997E-2</v>
      </c>
      <c r="G589" t="s">
        <v>6575</v>
      </c>
      <c r="H589" t="s">
        <v>9447</v>
      </c>
      <c r="I589">
        <v>0</v>
      </c>
    </row>
    <row r="590" spans="4:9" customFormat="1" ht="13.95" customHeight="1">
      <c r="D590" t="s">
        <v>6533</v>
      </c>
      <c r="E590" t="s">
        <v>9455</v>
      </c>
      <c r="F590">
        <v>0</v>
      </c>
      <c r="G590" t="s">
        <v>6575</v>
      </c>
      <c r="H590" t="s">
        <v>9448</v>
      </c>
      <c r="I590">
        <v>0</v>
      </c>
    </row>
    <row r="591" spans="4:9" customFormat="1" ht="13.95" customHeight="1">
      <c r="D591" t="s">
        <v>6533</v>
      </c>
      <c r="E591" t="s">
        <v>9456</v>
      </c>
      <c r="F591">
        <v>0.439</v>
      </c>
      <c r="G591" t="s">
        <v>6575</v>
      </c>
      <c r="H591" t="s">
        <v>9449</v>
      </c>
      <c r="I591">
        <v>0</v>
      </c>
    </row>
    <row r="592" spans="4:9" customFormat="1" ht="13.95" customHeight="1">
      <c r="D592" t="s">
        <v>6533</v>
      </c>
      <c r="E592" t="s">
        <v>9457</v>
      </c>
      <c r="F592">
        <v>0.374</v>
      </c>
      <c r="G592" t="s">
        <v>6575</v>
      </c>
      <c r="H592" t="s">
        <v>9450</v>
      </c>
      <c r="I592">
        <v>0</v>
      </c>
    </row>
    <row r="593" spans="4:9" customFormat="1" ht="13.95" customHeight="1">
      <c r="D593" t="s">
        <v>6533</v>
      </c>
      <c r="E593" t="s">
        <v>9458</v>
      </c>
      <c r="F593">
        <v>0.28799999999999998</v>
      </c>
      <c r="G593" t="s">
        <v>6575</v>
      </c>
      <c r="H593" t="s">
        <v>9451</v>
      </c>
      <c r="I593">
        <v>0</v>
      </c>
    </row>
    <row r="594" spans="4:9" customFormat="1" ht="13.95" customHeight="1">
      <c r="D594" t="s">
        <v>6533</v>
      </c>
      <c r="E594" t="s">
        <v>9459</v>
      </c>
      <c r="F594">
        <v>0.66900000000000004</v>
      </c>
      <c r="G594" t="s">
        <v>6575</v>
      </c>
      <c r="H594" t="s">
        <v>9452</v>
      </c>
      <c r="I594">
        <v>0</v>
      </c>
    </row>
    <row r="595" spans="4:9" customFormat="1" ht="13.95" customHeight="1">
      <c r="D595" t="s">
        <v>6533</v>
      </c>
      <c r="E595" t="s">
        <v>9460</v>
      </c>
      <c r="F595">
        <v>0</v>
      </c>
      <c r="G595" t="s">
        <v>6575</v>
      </c>
      <c r="H595" t="s">
        <v>9453</v>
      </c>
      <c r="I595">
        <v>0</v>
      </c>
    </row>
    <row r="596" spans="4:9" customFormat="1" ht="13.95" customHeight="1">
      <c r="D596" t="s">
        <v>6533</v>
      </c>
      <c r="E596" t="s">
        <v>9461</v>
      </c>
      <c r="F596">
        <v>0.69099999999999995</v>
      </c>
      <c r="G596" t="s">
        <v>6575</v>
      </c>
      <c r="H596" t="s">
        <v>9454</v>
      </c>
      <c r="I596">
        <v>0</v>
      </c>
    </row>
    <row r="597" spans="4:9" customFormat="1" ht="13.95" customHeight="1">
      <c r="D597" t="s">
        <v>6533</v>
      </c>
      <c r="E597" t="s">
        <v>9462</v>
      </c>
      <c r="F597">
        <v>0</v>
      </c>
      <c r="G597" t="s">
        <v>6575</v>
      </c>
      <c r="H597" t="s">
        <v>9455</v>
      </c>
      <c r="I597">
        <v>0</v>
      </c>
    </row>
    <row r="598" spans="4:9" customFormat="1" ht="13.95" customHeight="1">
      <c r="D598" t="s">
        <v>6533</v>
      </c>
      <c r="E598" t="s">
        <v>9481</v>
      </c>
      <c r="F598">
        <v>0</v>
      </c>
      <c r="G598" t="s">
        <v>6575</v>
      </c>
      <c r="H598" t="s">
        <v>9456</v>
      </c>
      <c r="I598">
        <v>0</v>
      </c>
    </row>
    <row r="599" spans="4:9" customFormat="1" ht="13.95" customHeight="1">
      <c r="D599" t="s">
        <v>6533</v>
      </c>
      <c r="E599" t="s">
        <v>9483</v>
      </c>
      <c r="F599">
        <v>0.122</v>
      </c>
      <c r="G599" t="s">
        <v>6575</v>
      </c>
      <c r="H599" t="s">
        <v>9457</v>
      </c>
      <c r="I599">
        <v>0</v>
      </c>
    </row>
    <row r="600" spans="4:9" customFormat="1" ht="13.95" customHeight="1">
      <c r="D600" t="s">
        <v>6533</v>
      </c>
      <c r="E600" t="s">
        <v>9486</v>
      </c>
      <c r="F600">
        <v>7.9000000000000001E-2</v>
      </c>
      <c r="G600" t="s">
        <v>6575</v>
      </c>
      <c r="H600" t="s">
        <v>9458</v>
      </c>
      <c r="I600">
        <v>0</v>
      </c>
    </row>
    <row r="601" spans="4:9" customFormat="1" ht="13.95" customHeight="1">
      <c r="D601" t="s">
        <v>6533</v>
      </c>
      <c r="E601" t="s">
        <v>9488</v>
      </c>
      <c r="F601">
        <v>0.115</v>
      </c>
      <c r="G601" t="s">
        <v>6575</v>
      </c>
      <c r="H601" t="s">
        <v>9459</v>
      </c>
      <c r="I601">
        <v>0</v>
      </c>
    </row>
    <row r="602" spans="4:9" customFormat="1" ht="13.95" customHeight="1">
      <c r="D602" t="s">
        <v>6533</v>
      </c>
      <c r="E602" t="s">
        <v>9490</v>
      </c>
      <c r="F602">
        <v>0</v>
      </c>
      <c r="G602" t="s">
        <v>6575</v>
      </c>
      <c r="H602" t="s">
        <v>9460</v>
      </c>
      <c r="I602">
        <v>0</v>
      </c>
    </row>
    <row r="603" spans="4:9" customFormat="1" ht="13.95" customHeight="1">
      <c r="D603" t="s">
        <v>6533</v>
      </c>
      <c r="E603" t="s">
        <v>9492</v>
      </c>
      <c r="F603">
        <v>0.72</v>
      </c>
      <c r="G603" t="s">
        <v>6575</v>
      </c>
      <c r="H603" t="s">
        <v>9461</v>
      </c>
      <c r="I603">
        <v>0</v>
      </c>
    </row>
    <row r="604" spans="4:9" customFormat="1" ht="13.95" customHeight="1">
      <c r="D604" t="s">
        <v>6533</v>
      </c>
      <c r="E604" t="s">
        <v>9494</v>
      </c>
      <c r="F604">
        <v>8.5999999999999993E-2</v>
      </c>
      <c r="G604" t="s">
        <v>6575</v>
      </c>
      <c r="H604" t="s">
        <v>9462</v>
      </c>
      <c r="I604">
        <v>0</v>
      </c>
    </row>
    <row r="605" spans="4:9" customFormat="1" ht="13.95" customHeight="1">
      <c r="D605" t="s">
        <v>6533</v>
      </c>
      <c r="E605" t="s">
        <v>9496</v>
      </c>
      <c r="F605">
        <v>0</v>
      </c>
      <c r="G605" t="s">
        <v>6575</v>
      </c>
      <c r="H605" t="s">
        <v>9481</v>
      </c>
      <c r="I605">
        <v>1.304</v>
      </c>
    </row>
    <row r="606" spans="4:9" customFormat="1" ht="13.95" customHeight="1">
      <c r="D606" t="s">
        <v>6533</v>
      </c>
      <c r="E606" t="s">
        <v>9497</v>
      </c>
      <c r="F606">
        <v>0.32400000000000001</v>
      </c>
      <c r="G606" t="s">
        <v>6575</v>
      </c>
      <c r="H606" t="s">
        <v>9483</v>
      </c>
      <c r="I606">
        <v>0</v>
      </c>
    </row>
    <row r="607" spans="4:9" customFormat="1" ht="13.95" customHeight="1">
      <c r="D607" t="s">
        <v>6533</v>
      </c>
      <c r="E607" t="s">
        <v>9498</v>
      </c>
      <c r="F607">
        <v>3.5999999999999997E-2</v>
      </c>
      <c r="G607" t="s">
        <v>6575</v>
      </c>
      <c r="H607" t="s">
        <v>9486</v>
      </c>
      <c r="I607">
        <v>0</v>
      </c>
    </row>
    <row r="608" spans="4:9" customFormat="1" ht="13.95" customHeight="1">
      <c r="D608" t="s">
        <v>6533</v>
      </c>
      <c r="E608" t="s">
        <v>9499</v>
      </c>
      <c r="F608">
        <v>0.48199999999999998</v>
      </c>
      <c r="G608" t="s">
        <v>6575</v>
      </c>
      <c r="H608" t="s">
        <v>9488</v>
      </c>
      <c r="I608">
        <v>0</v>
      </c>
    </row>
    <row r="609" spans="4:9" customFormat="1" ht="13.95" customHeight="1">
      <c r="D609" t="s">
        <v>6533</v>
      </c>
      <c r="E609" t="s">
        <v>9500</v>
      </c>
      <c r="F609">
        <v>6.4000000000000001E-2</v>
      </c>
      <c r="G609" t="s">
        <v>6575</v>
      </c>
      <c r="H609" t="s">
        <v>9490</v>
      </c>
      <c r="I609">
        <v>0</v>
      </c>
    </row>
    <row r="610" spans="4:9" customFormat="1" ht="13.95" customHeight="1">
      <c r="D610" t="s">
        <v>6534</v>
      </c>
      <c r="E610" t="s">
        <v>9433</v>
      </c>
      <c r="F610">
        <v>0.126</v>
      </c>
      <c r="G610" t="s">
        <v>6575</v>
      </c>
      <c r="H610" t="s">
        <v>9492</v>
      </c>
      <c r="I610">
        <v>0</v>
      </c>
    </row>
    <row r="611" spans="4:9" customFormat="1" ht="13.95" customHeight="1">
      <c r="D611" t="s">
        <v>6534</v>
      </c>
      <c r="E611" t="s">
        <v>9434</v>
      </c>
      <c r="F611">
        <v>0.16500000000000001</v>
      </c>
      <c r="G611" t="s">
        <v>6575</v>
      </c>
      <c r="H611" t="s">
        <v>9494</v>
      </c>
      <c r="I611">
        <v>0</v>
      </c>
    </row>
    <row r="612" spans="4:9" customFormat="1" ht="13.95" customHeight="1">
      <c r="D612" t="s">
        <v>6534</v>
      </c>
      <c r="E612" t="s">
        <v>9435</v>
      </c>
      <c r="F612">
        <v>0</v>
      </c>
      <c r="G612" t="s">
        <v>6575</v>
      </c>
      <c r="H612" t="s">
        <v>9496</v>
      </c>
      <c r="I612">
        <v>0</v>
      </c>
    </row>
    <row r="613" spans="4:9" customFormat="1" ht="13.95" customHeight="1">
      <c r="D613" t="s">
        <v>6534</v>
      </c>
      <c r="E613" t="s">
        <v>9436</v>
      </c>
      <c r="F613">
        <v>0</v>
      </c>
      <c r="G613" t="s">
        <v>6575</v>
      </c>
      <c r="H613" t="s">
        <v>9497</v>
      </c>
      <c r="I613">
        <v>0</v>
      </c>
    </row>
    <row r="614" spans="4:9" customFormat="1" ht="13.95" customHeight="1">
      <c r="D614" t="s">
        <v>6534</v>
      </c>
      <c r="E614" t="s">
        <v>9437</v>
      </c>
      <c r="F614">
        <v>0</v>
      </c>
      <c r="G614" t="s">
        <v>6575</v>
      </c>
      <c r="H614" t="s">
        <v>9498</v>
      </c>
      <c r="I614">
        <v>0</v>
      </c>
    </row>
    <row r="615" spans="4:9" customFormat="1" ht="13.95" customHeight="1">
      <c r="D615" t="s">
        <v>6534</v>
      </c>
      <c r="E615" t="s">
        <v>9438</v>
      </c>
      <c r="F615">
        <v>0</v>
      </c>
      <c r="G615" t="s">
        <v>6575</v>
      </c>
      <c r="H615" t="s">
        <v>9499</v>
      </c>
      <c r="I615">
        <v>0</v>
      </c>
    </row>
    <row r="616" spans="4:9" customFormat="1" ht="13.95" customHeight="1">
      <c r="D616" t="s">
        <v>6534</v>
      </c>
      <c r="E616" t="s">
        <v>9439</v>
      </c>
      <c r="F616">
        <v>0</v>
      </c>
      <c r="G616" t="s">
        <v>6575</v>
      </c>
      <c r="H616" t="s">
        <v>9500</v>
      </c>
      <c r="I616">
        <v>0</v>
      </c>
    </row>
    <row r="617" spans="4:9" customFormat="1" ht="13.95" customHeight="1">
      <c r="D617" t="s">
        <v>6534</v>
      </c>
      <c r="E617" t="s">
        <v>9440</v>
      </c>
      <c r="F617">
        <v>0.47799999999999998</v>
      </c>
      <c r="G617" t="s">
        <v>6575</v>
      </c>
      <c r="H617" t="s">
        <v>9501</v>
      </c>
      <c r="I617">
        <v>0</v>
      </c>
    </row>
    <row r="618" spans="4:9" customFormat="1" ht="13.95" customHeight="1">
      <c r="D618" t="s">
        <v>6534</v>
      </c>
      <c r="E618" t="s">
        <v>9441</v>
      </c>
      <c r="F618">
        <v>1.581</v>
      </c>
      <c r="G618" t="s">
        <v>6575</v>
      </c>
      <c r="H618" t="s">
        <v>9502</v>
      </c>
      <c r="I618">
        <v>0</v>
      </c>
    </row>
    <row r="619" spans="4:9" customFormat="1" ht="13.95" customHeight="1">
      <c r="D619" t="s">
        <v>6534</v>
      </c>
      <c r="E619" t="s">
        <v>9442</v>
      </c>
      <c r="F619">
        <v>1.393</v>
      </c>
      <c r="G619" t="s">
        <v>6575</v>
      </c>
      <c r="H619" t="s">
        <v>9503</v>
      </c>
      <c r="I619">
        <v>0</v>
      </c>
    </row>
    <row r="620" spans="4:9" customFormat="1" ht="13.95" customHeight="1">
      <c r="D620" t="s">
        <v>6534</v>
      </c>
      <c r="E620" t="s">
        <v>9443</v>
      </c>
      <c r="F620">
        <v>0.104</v>
      </c>
      <c r="G620" t="s">
        <v>6575</v>
      </c>
      <c r="H620" t="s">
        <v>9504</v>
      </c>
      <c r="I620">
        <v>0</v>
      </c>
    </row>
    <row r="621" spans="4:9" customFormat="1" ht="13.95" customHeight="1">
      <c r="D621" t="s">
        <v>6534</v>
      </c>
      <c r="E621" t="s">
        <v>9444</v>
      </c>
      <c r="F621">
        <v>0.22600000000000001</v>
      </c>
      <c r="G621" t="s">
        <v>6575</v>
      </c>
      <c r="H621" t="s">
        <v>9505</v>
      </c>
      <c r="I621">
        <v>0</v>
      </c>
    </row>
    <row r="622" spans="4:9" customFormat="1" ht="13.95" customHeight="1">
      <c r="D622" t="s">
        <v>6534</v>
      </c>
      <c r="E622" t="s">
        <v>9525</v>
      </c>
      <c r="F622">
        <v>0</v>
      </c>
      <c r="G622" t="s">
        <v>6575</v>
      </c>
      <c r="H622" t="s">
        <v>9506</v>
      </c>
      <c r="I622">
        <v>0</v>
      </c>
    </row>
    <row r="623" spans="4:9" customFormat="1" ht="13.95" customHeight="1">
      <c r="D623" t="s">
        <v>6534</v>
      </c>
      <c r="E623" t="s">
        <v>9526</v>
      </c>
      <c r="F623">
        <v>0</v>
      </c>
      <c r="G623" t="s">
        <v>6575</v>
      </c>
      <c r="H623" t="s">
        <v>9507</v>
      </c>
      <c r="I623">
        <v>0</v>
      </c>
    </row>
    <row r="624" spans="4:9" customFormat="1" ht="13.95" customHeight="1">
      <c r="D624" t="s">
        <v>6534</v>
      </c>
      <c r="E624" t="s">
        <v>9527</v>
      </c>
      <c r="F624">
        <v>0</v>
      </c>
      <c r="G624" t="s">
        <v>6575</v>
      </c>
      <c r="H624" t="s">
        <v>9508</v>
      </c>
      <c r="I624">
        <v>0</v>
      </c>
    </row>
    <row r="625" spans="4:9" customFormat="1" ht="13.95" customHeight="1">
      <c r="D625" t="s">
        <v>6534</v>
      </c>
      <c r="E625" t="s">
        <v>9528</v>
      </c>
      <c r="F625">
        <v>0</v>
      </c>
      <c r="G625" t="s">
        <v>6575</v>
      </c>
      <c r="H625" t="s">
        <v>9509</v>
      </c>
      <c r="I625">
        <v>0</v>
      </c>
    </row>
    <row r="626" spans="4:9" customFormat="1" ht="13.95" customHeight="1">
      <c r="D626" t="s">
        <v>6534</v>
      </c>
      <c r="E626" t="s">
        <v>9529</v>
      </c>
      <c r="F626">
        <v>0.122</v>
      </c>
      <c r="G626" t="s">
        <v>6575</v>
      </c>
      <c r="H626" t="s">
        <v>9510</v>
      </c>
      <c r="I626">
        <v>0</v>
      </c>
    </row>
    <row r="627" spans="4:9" customFormat="1" ht="13.95" customHeight="1">
      <c r="D627" t="s">
        <v>6534</v>
      </c>
      <c r="E627" t="s">
        <v>9530</v>
      </c>
      <c r="F627">
        <v>0</v>
      </c>
      <c r="G627" t="s">
        <v>6575</v>
      </c>
      <c r="H627" t="s">
        <v>9511</v>
      </c>
      <c r="I627">
        <v>0</v>
      </c>
    </row>
    <row r="628" spans="4:9" customFormat="1" ht="13.95" customHeight="1">
      <c r="D628" t="s">
        <v>6534</v>
      </c>
      <c r="E628" t="s">
        <v>9531</v>
      </c>
      <c r="F628">
        <v>0</v>
      </c>
      <c r="G628" t="s">
        <v>6575</v>
      </c>
      <c r="H628" t="s">
        <v>9512</v>
      </c>
      <c r="I628">
        <v>0</v>
      </c>
    </row>
    <row r="629" spans="4:9" customFormat="1" ht="13.95" customHeight="1">
      <c r="D629" t="s">
        <v>6534</v>
      </c>
      <c r="E629" t="s">
        <v>9532</v>
      </c>
      <c r="F629">
        <v>0</v>
      </c>
      <c r="G629" t="s">
        <v>6575</v>
      </c>
      <c r="H629" t="s">
        <v>9513</v>
      </c>
      <c r="I629">
        <v>0</v>
      </c>
    </row>
    <row r="630" spans="4:9" customFormat="1" ht="13.95" customHeight="1">
      <c r="D630" t="s">
        <v>6534</v>
      </c>
      <c r="E630" t="s">
        <v>9533</v>
      </c>
      <c r="F630">
        <v>0</v>
      </c>
      <c r="G630" t="s">
        <v>6575</v>
      </c>
      <c r="H630" t="s">
        <v>9514</v>
      </c>
      <c r="I630">
        <v>0</v>
      </c>
    </row>
    <row r="631" spans="4:9" customFormat="1" ht="13.95" customHeight="1">
      <c r="D631" t="s">
        <v>6534</v>
      </c>
      <c r="E631" t="s">
        <v>9534</v>
      </c>
      <c r="F631">
        <v>0</v>
      </c>
      <c r="G631" t="s">
        <v>6575</v>
      </c>
      <c r="H631" t="s">
        <v>9515</v>
      </c>
      <c r="I631">
        <v>0</v>
      </c>
    </row>
    <row r="632" spans="4:9" customFormat="1" ht="13.95" customHeight="1">
      <c r="D632" t="s">
        <v>6534</v>
      </c>
      <c r="E632" t="s">
        <v>9535</v>
      </c>
      <c r="F632">
        <v>0</v>
      </c>
      <c r="G632" t="s">
        <v>6575</v>
      </c>
      <c r="H632" t="s">
        <v>9516</v>
      </c>
      <c r="I632">
        <v>0</v>
      </c>
    </row>
    <row r="633" spans="4:9" customFormat="1" ht="13.95" customHeight="1">
      <c r="D633" t="s">
        <v>6534</v>
      </c>
      <c r="E633" t="s">
        <v>9536</v>
      </c>
      <c r="F633">
        <v>0</v>
      </c>
      <c r="G633" t="s">
        <v>6575</v>
      </c>
      <c r="H633" t="s">
        <v>9517</v>
      </c>
      <c r="I633">
        <v>0</v>
      </c>
    </row>
    <row r="634" spans="4:9" customFormat="1" ht="13.95" customHeight="1">
      <c r="D634" t="s">
        <v>6534</v>
      </c>
      <c r="E634" t="s">
        <v>9537</v>
      </c>
      <c r="F634">
        <v>0.34899999999999998</v>
      </c>
      <c r="G634" t="s">
        <v>6575</v>
      </c>
      <c r="H634" t="s">
        <v>9518</v>
      </c>
      <c r="I634">
        <v>0</v>
      </c>
    </row>
    <row r="635" spans="4:9" customFormat="1" ht="13.95" customHeight="1">
      <c r="D635" t="s">
        <v>6534</v>
      </c>
      <c r="E635" t="s">
        <v>9538</v>
      </c>
      <c r="F635">
        <v>0</v>
      </c>
      <c r="G635" t="s">
        <v>6575</v>
      </c>
      <c r="H635" t="s">
        <v>9519</v>
      </c>
      <c r="I635">
        <v>0</v>
      </c>
    </row>
    <row r="636" spans="4:9" customFormat="1" ht="13.95" customHeight="1">
      <c r="D636" t="s">
        <v>6534</v>
      </c>
      <c r="E636" t="s">
        <v>9539</v>
      </c>
      <c r="F636">
        <v>0</v>
      </c>
      <c r="G636" t="s">
        <v>6575</v>
      </c>
      <c r="H636" t="s">
        <v>9520</v>
      </c>
      <c r="I636">
        <v>0</v>
      </c>
    </row>
    <row r="637" spans="4:9" customFormat="1" ht="13.95" customHeight="1">
      <c r="D637" t="s">
        <v>6534</v>
      </c>
      <c r="E637" t="s">
        <v>9540</v>
      </c>
      <c r="F637">
        <v>0</v>
      </c>
      <c r="G637" t="s">
        <v>6570</v>
      </c>
      <c r="H637" t="s">
        <v>9445</v>
      </c>
      <c r="I637">
        <v>0</v>
      </c>
    </row>
    <row r="638" spans="4:9" customFormat="1" ht="13.95" customHeight="1">
      <c r="D638" t="s">
        <v>6534</v>
      </c>
      <c r="E638" t="s">
        <v>9541</v>
      </c>
      <c r="F638">
        <v>0</v>
      </c>
      <c r="G638" t="s">
        <v>6570</v>
      </c>
      <c r="H638" t="s">
        <v>9446</v>
      </c>
      <c r="I638">
        <v>0</v>
      </c>
    </row>
    <row r="639" spans="4:9" customFormat="1" ht="13.95" customHeight="1">
      <c r="D639" t="s">
        <v>6534</v>
      </c>
      <c r="E639" t="s">
        <v>9542</v>
      </c>
      <c r="F639">
        <v>0</v>
      </c>
      <c r="G639" t="s">
        <v>6570</v>
      </c>
      <c r="H639" t="s">
        <v>9447</v>
      </c>
      <c r="I639">
        <v>0</v>
      </c>
    </row>
    <row r="640" spans="4:9" customFormat="1" ht="13.95" customHeight="1">
      <c r="D640" t="s">
        <v>6534</v>
      </c>
      <c r="E640" t="s">
        <v>9543</v>
      </c>
      <c r="F640">
        <v>0</v>
      </c>
      <c r="G640" t="s">
        <v>6570</v>
      </c>
      <c r="H640" t="s">
        <v>9448</v>
      </c>
      <c r="I640">
        <v>0</v>
      </c>
    </row>
    <row r="641" spans="4:9" customFormat="1" ht="13.95" customHeight="1">
      <c r="D641" t="s">
        <v>6534</v>
      </c>
      <c r="E641" t="s">
        <v>9544</v>
      </c>
      <c r="F641">
        <v>0</v>
      </c>
      <c r="G641" t="s">
        <v>6570</v>
      </c>
      <c r="H641" t="s">
        <v>9449</v>
      </c>
      <c r="I641">
        <v>0</v>
      </c>
    </row>
    <row r="642" spans="4:9" customFormat="1" ht="13.95" customHeight="1">
      <c r="D642" t="s">
        <v>6534</v>
      </c>
      <c r="E642" t="s">
        <v>9545</v>
      </c>
      <c r="F642">
        <v>0</v>
      </c>
      <c r="G642" t="s">
        <v>6570</v>
      </c>
      <c r="H642" t="s">
        <v>9450</v>
      </c>
      <c r="I642">
        <v>0</v>
      </c>
    </row>
    <row r="643" spans="4:9" customFormat="1" ht="13.95" customHeight="1">
      <c r="D643" t="s">
        <v>6534</v>
      </c>
      <c r="E643" t="s">
        <v>9546</v>
      </c>
      <c r="F643">
        <v>0</v>
      </c>
      <c r="G643" t="s">
        <v>6570</v>
      </c>
      <c r="H643" t="s">
        <v>9451</v>
      </c>
      <c r="I643">
        <v>0</v>
      </c>
    </row>
    <row r="644" spans="4:9" customFormat="1" ht="13.95" customHeight="1">
      <c r="D644" t="s">
        <v>6535</v>
      </c>
      <c r="E644" t="s">
        <v>9433</v>
      </c>
      <c r="F644">
        <v>0.18</v>
      </c>
      <c r="G644" t="s">
        <v>6570</v>
      </c>
      <c r="H644" t="s">
        <v>9452</v>
      </c>
      <c r="I644">
        <v>0</v>
      </c>
    </row>
    <row r="645" spans="4:9" customFormat="1" ht="13.95" customHeight="1">
      <c r="D645" t="s">
        <v>6535</v>
      </c>
      <c r="E645" t="s">
        <v>9434</v>
      </c>
      <c r="F645">
        <v>0.154</v>
      </c>
      <c r="G645" t="s">
        <v>6570</v>
      </c>
      <c r="H645" t="s">
        <v>9453</v>
      </c>
      <c r="I645">
        <v>0</v>
      </c>
    </row>
    <row r="646" spans="4:9" customFormat="1" ht="13.95" customHeight="1">
      <c r="D646" t="s">
        <v>6535</v>
      </c>
      <c r="E646" t="s">
        <v>9435</v>
      </c>
      <c r="F646">
        <v>0</v>
      </c>
      <c r="G646" t="s">
        <v>6570</v>
      </c>
      <c r="H646" t="s">
        <v>9454</v>
      </c>
      <c r="I646">
        <v>0</v>
      </c>
    </row>
    <row r="647" spans="4:9" customFormat="1" ht="13.95" customHeight="1">
      <c r="D647" t="s">
        <v>6535</v>
      </c>
      <c r="E647" t="s">
        <v>9436</v>
      </c>
      <c r="F647">
        <v>0</v>
      </c>
      <c r="G647" t="s">
        <v>6570</v>
      </c>
      <c r="H647" t="s">
        <v>9455</v>
      </c>
      <c r="I647">
        <v>0</v>
      </c>
    </row>
    <row r="648" spans="4:9" customFormat="1" ht="13.95" customHeight="1">
      <c r="D648" t="s">
        <v>6535</v>
      </c>
      <c r="E648" t="s">
        <v>9437</v>
      </c>
      <c r="F648">
        <v>0</v>
      </c>
      <c r="G648" t="s">
        <v>6570</v>
      </c>
      <c r="H648" t="s">
        <v>9456</v>
      </c>
      <c r="I648">
        <v>0</v>
      </c>
    </row>
    <row r="649" spans="4:9" customFormat="1" ht="13.95" customHeight="1">
      <c r="D649" t="s">
        <v>6535</v>
      </c>
      <c r="E649" t="s">
        <v>9438</v>
      </c>
      <c r="F649">
        <v>0</v>
      </c>
      <c r="G649" t="s">
        <v>6570</v>
      </c>
      <c r="H649" t="s">
        <v>9457</v>
      </c>
      <c r="I649">
        <v>0</v>
      </c>
    </row>
    <row r="650" spans="4:9" customFormat="1" ht="13.95" customHeight="1">
      <c r="D650" t="s">
        <v>6535</v>
      </c>
      <c r="E650" t="s">
        <v>9439</v>
      </c>
      <c r="F650">
        <v>0</v>
      </c>
      <c r="G650" t="s">
        <v>6570</v>
      </c>
      <c r="H650" t="s">
        <v>9458</v>
      </c>
      <c r="I650">
        <v>0</v>
      </c>
    </row>
    <row r="651" spans="4:9" customFormat="1" ht="13.95" customHeight="1">
      <c r="D651" t="s">
        <v>6535</v>
      </c>
      <c r="E651" t="s">
        <v>9440</v>
      </c>
      <c r="F651">
        <v>0.45300000000000001</v>
      </c>
      <c r="G651" t="s">
        <v>6570</v>
      </c>
      <c r="H651" t="s">
        <v>9459</v>
      </c>
      <c r="I651">
        <v>0</v>
      </c>
    </row>
    <row r="652" spans="4:9" customFormat="1" ht="13.95" customHeight="1">
      <c r="D652" t="s">
        <v>6535</v>
      </c>
      <c r="E652" t="s">
        <v>9441</v>
      </c>
      <c r="F652">
        <v>1.0620000000000001</v>
      </c>
      <c r="G652" t="s">
        <v>6570</v>
      </c>
      <c r="H652" t="s">
        <v>9460</v>
      </c>
      <c r="I652">
        <v>0</v>
      </c>
    </row>
    <row r="653" spans="4:9" customFormat="1" ht="13.95" customHeight="1">
      <c r="D653" t="s">
        <v>6535</v>
      </c>
      <c r="E653" t="s">
        <v>9442</v>
      </c>
      <c r="F653">
        <v>0</v>
      </c>
      <c r="G653" t="s">
        <v>6570</v>
      </c>
      <c r="H653" t="s">
        <v>9461</v>
      </c>
      <c r="I653">
        <v>0</v>
      </c>
    </row>
    <row r="654" spans="4:9" customFormat="1" ht="13.95" customHeight="1">
      <c r="D654" t="s">
        <v>6535</v>
      </c>
      <c r="E654" t="s">
        <v>9443</v>
      </c>
      <c r="F654">
        <v>8.2000000000000003E-2</v>
      </c>
      <c r="G654" t="s">
        <v>6570</v>
      </c>
      <c r="H654" t="s">
        <v>9462</v>
      </c>
      <c r="I654">
        <v>0</v>
      </c>
    </row>
    <row r="655" spans="4:9" customFormat="1" ht="13.95" customHeight="1">
      <c r="D655" t="s">
        <v>6535</v>
      </c>
      <c r="E655" t="s">
        <v>9444</v>
      </c>
      <c r="F655">
        <v>0.20100000000000001</v>
      </c>
      <c r="G655" t="s">
        <v>6570</v>
      </c>
      <c r="H655" t="s">
        <v>9481</v>
      </c>
      <c r="I655">
        <v>0</v>
      </c>
    </row>
    <row r="656" spans="4:9" customFormat="1" ht="13.95" customHeight="1">
      <c r="D656" t="s">
        <v>6535</v>
      </c>
      <c r="E656" t="s">
        <v>9525</v>
      </c>
      <c r="F656">
        <v>0</v>
      </c>
      <c r="G656" t="s">
        <v>6570</v>
      </c>
      <c r="H656" t="s">
        <v>9483</v>
      </c>
      <c r="I656">
        <v>0</v>
      </c>
    </row>
    <row r="657" spans="4:9" customFormat="1" ht="13.95" customHeight="1">
      <c r="D657" t="s">
        <v>6535</v>
      </c>
      <c r="E657" t="s">
        <v>9526</v>
      </c>
      <c r="F657">
        <v>0</v>
      </c>
      <c r="G657" t="s">
        <v>6570</v>
      </c>
      <c r="H657" t="s">
        <v>9486</v>
      </c>
      <c r="I657">
        <v>0</v>
      </c>
    </row>
    <row r="658" spans="4:9" customFormat="1" ht="13.95" customHeight="1">
      <c r="D658" t="s">
        <v>6535</v>
      </c>
      <c r="E658" t="s">
        <v>9527</v>
      </c>
      <c r="F658">
        <v>0</v>
      </c>
      <c r="G658" t="s">
        <v>6570</v>
      </c>
      <c r="H658" t="s">
        <v>9488</v>
      </c>
      <c r="I658">
        <v>0</v>
      </c>
    </row>
    <row r="659" spans="4:9" customFormat="1" ht="13.95" customHeight="1">
      <c r="D659" t="s">
        <v>6535</v>
      </c>
      <c r="E659" t="s">
        <v>9528</v>
      </c>
      <c r="F659">
        <v>0</v>
      </c>
      <c r="G659" t="s">
        <v>6570</v>
      </c>
      <c r="H659" t="s">
        <v>9490</v>
      </c>
      <c r="I659">
        <v>0</v>
      </c>
    </row>
    <row r="660" spans="4:9" customFormat="1" ht="13.95" customHeight="1">
      <c r="D660" t="s">
        <v>6535</v>
      </c>
      <c r="E660" t="s">
        <v>9529</v>
      </c>
      <c r="F660">
        <v>0</v>
      </c>
      <c r="G660" t="s">
        <v>6570</v>
      </c>
      <c r="H660" t="s">
        <v>9492</v>
      </c>
      <c r="I660">
        <v>0</v>
      </c>
    </row>
    <row r="661" spans="4:9" customFormat="1" ht="13.95" customHeight="1">
      <c r="D661" t="s">
        <v>6535</v>
      </c>
      <c r="E661" t="s">
        <v>9530</v>
      </c>
      <c r="F661">
        <v>0</v>
      </c>
      <c r="G661" t="s">
        <v>6570</v>
      </c>
      <c r="H661" t="s">
        <v>9494</v>
      </c>
      <c r="I661">
        <v>0</v>
      </c>
    </row>
    <row r="662" spans="4:9" customFormat="1" ht="13.95" customHeight="1">
      <c r="D662" t="s">
        <v>6535</v>
      </c>
      <c r="E662" t="s">
        <v>9531</v>
      </c>
      <c r="F662">
        <v>0</v>
      </c>
      <c r="G662" t="s">
        <v>6570</v>
      </c>
      <c r="H662" t="s">
        <v>9496</v>
      </c>
      <c r="I662">
        <v>0</v>
      </c>
    </row>
    <row r="663" spans="4:9" customFormat="1" ht="13.95" customHeight="1">
      <c r="D663" t="s">
        <v>6535</v>
      </c>
      <c r="E663" t="s">
        <v>9532</v>
      </c>
      <c r="F663">
        <v>0</v>
      </c>
      <c r="G663" t="s">
        <v>6570</v>
      </c>
      <c r="H663" t="s">
        <v>9497</v>
      </c>
      <c r="I663">
        <v>0</v>
      </c>
    </row>
    <row r="664" spans="4:9" customFormat="1" ht="13.95" customHeight="1">
      <c r="D664" t="s">
        <v>6535</v>
      </c>
      <c r="E664" t="s">
        <v>9533</v>
      </c>
      <c r="F664">
        <v>0</v>
      </c>
      <c r="G664" t="s">
        <v>6570</v>
      </c>
      <c r="H664" t="s">
        <v>9498</v>
      </c>
      <c r="I664">
        <v>0</v>
      </c>
    </row>
    <row r="665" spans="4:9" customFormat="1" ht="13.95" customHeight="1">
      <c r="D665" t="s">
        <v>6535</v>
      </c>
      <c r="E665" t="s">
        <v>9534</v>
      </c>
      <c r="F665">
        <v>0</v>
      </c>
      <c r="G665" t="s">
        <v>6570</v>
      </c>
      <c r="H665" t="s">
        <v>9499</v>
      </c>
      <c r="I665">
        <v>0</v>
      </c>
    </row>
    <row r="666" spans="4:9" customFormat="1" ht="13.95" customHeight="1">
      <c r="D666" t="s">
        <v>6535</v>
      </c>
      <c r="E666" t="s">
        <v>9535</v>
      </c>
      <c r="F666">
        <v>0</v>
      </c>
      <c r="G666" t="s">
        <v>6570</v>
      </c>
      <c r="H666" t="s">
        <v>9500</v>
      </c>
      <c r="I666">
        <v>0</v>
      </c>
    </row>
    <row r="667" spans="4:9" customFormat="1" ht="13.95" customHeight="1">
      <c r="D667" t="s">
        <v>6535</v>
      </c>
      <c r="E667" t="s">
        <v>9536</v>
      </c>
      <c r="F667">
        <v>0</v>
      </c>
      <c r="G667" t="s">
        <v>6570</v>
      </c>
      <c r="H667" t="s">
        <v>9501</v>
      </c>
      <c r="I667">
        <v>0</v>
      </c>
    </row>
    <row r="668" spans="4:9" customFormat="1" ht="13.95" customHeight="1">
      <c r="D668" t="s">
        <v>6535</v>
      </c>
      <c r="E668" t="s">
        <v>9537</v>
      </c>
      <c r="F668">
        <v>0.108</v>
      </c>
      <c r="G668" t="s">
        <v>6570</v>
      </c>
      <c r="H668" t="s">
        <v>9502</v>
      </c>
      <c r="I668">
        <v>0</v>
      </c>
    </row>
    <row r="669" spans="4:9" customFormat="1" ht="13.95" customHeight="1">
      <c r="D669" t="s">
        <v>6535</v>
      </c>
      <c r="E669" t="s">
        <v>9538</v>
      </c>
      <c r="F669">
        <v>0</v>
      </c>
      <c r="G669" t="s">
        <v>6570</v>
      </c>
      <c r="H669" t="s">
        <v>9503</v>
      </c>
      <c r="I669">
        <v>0</v>
      </c>
    </row>
    <row r="670" spans="4:9" customFormat="1" ht="13.95" customHeight="1">
      <c r="D670" t="s">
        <v>6535</v>
      </c>
      <c r="E670" t="s">
        <v>9539</v>
      </c>
      <c r="F670">
        <v>0</v>
      </c>
      <c r="G670" t="s">
        <v>6570</v>
      </c>
      <c r="H670" t="s">
        <v>9504</v>
      </c>
      <c r="I670">
        <v>0</v>
      </c>
    </row>
    <row r="671" spans="4:9" customFormat="1" ht="13.95" customHeight="1">
      <c r="D671" t="s">
        <v>6535</v>
      </c>
      <c r="E671" t="s">
        <v>9540</v>
      </c>
      <c r="F671">
        <v>0</v>
      </c>
      <c r="G671" t="s">
        <v>6570</v>
      </c>
      <c r="H671" t="s">
        <v>9505</v>
      </c>
      <c r="I671">
        <v>0</v>
      </c>
    </row>
    <row r="672" spans="4:9" customFormat="1" ht="13.95" customHeight="1">
      <c r="D672" t="s">
        <v>6535</v>
      </c>
      <c r="E672" t="s">
        <v>9541</v>
      </c>
      <c r="F672">
        <v>0</v>
      </c>
      <c r="G672" t="s">
        <v>6570</v>
      </c>
      <c r="H672" t="s">
        <v>9506</v>
      </c>
      <c r="I672">
        <v>0</v>
      </c>
    </row>
    <row r="673" spans="4:9" customFormat="1" ht="13.95" customHeight="1">
      <c r="D673" t="s">
        <v>6535</v>
      </c>
      <c r="E673" t="s">
        <v>9542</v>
      </c>
      <c r="F673">
        <v>0</v>
      </c>
      <c r="G673" t="s">
        <v>6570</v>
      </c>
      <c r="H673" t="s">
        <v>9507</v>
      </c>
      <c r="I673">
        <v>0</v>
      </c>
    </row>
    <row r="674" spans="4:9" customFormat="1" ht="13.95" customHeight="1">
      <c r="D674" t="s">
        <v>6535</v>
      </c>
      <c r="E674" t="s">
        <v>9543</v>
      </c>
      <c r="F674">
        <v>0</v>
      </c>
      <c r="G674" t="s">
        <v>6570</v>
      </c>
      <c r="H674" t="s">
        <v>9508</v>
      </c>
      <c r="I674">
        <v>0</v>
      </c>
    </row>
    <row r="675" spans="4:9" customFormat="1" ht="13.95" customHeight="1">
      <c r="D675" t="s">
        <v>6535</v>
      </c>
      <c r="E675" t="s">
        <v>9544</v>
      </c>
      <c r="F675">
        <v>0</v>
      </c>
      <c r="G675" t="s">
        <v>6570</v>
      </c>
      <c r="H675" t="s">
        <v>9509</v>
      </c>
      <c r="I675">
        <v>0</v>
      </c>
    </row>
    <row r="676" spans="4:9" customFormat="1" ht="13.95" customHeight="1">
      <c r="D676" t="s">
        <v>6535</v>
      </c>
      <c r="E676" t="s">
        <v>9545</v>
      </c>
      <c r="F676">
        <v>0</v>
      </c>
      <c r="G676" t="s">
        <v>6570</v>
      </c>
      <c r="H676" t="s">
        <v>9510</v>
      </c>
      <c r="I676">
        <v>0</v>
      </c>
    </row>
    <row r="677" spans="4:9" customFormat="1" ht="13.95" customHeight="1">
      <c r="D677" t="s">
        <v>6535</v>
      </c>
      <c r="E677" t="s">
        <v>9546</v>
      </c>
      <c r="F677">
        <v>0</v>
      </c>
      <c r="G677" t="s">
        <v>6570</v>
      </c>
      <c r="H677" t="s">
        <v>9511</v>
      </c>
      <c r="I677">
        <v>0</v>
      </c>
    </row>
    <row r="678" spans="4:9" customFormat="1" ht="13.95" customHeight="1">
      <c r="D678" t="s">
        <v>6536</v>
      </c>
      <c r="E678" t="s">
        <v>9433</v>
      </c>
      <c r="F678">
        <v>1.181</v>
      </c>
      <c r="G678" t="s">
        <v>6570</v>
      </c>
      <c r="H678" t="s">
        <v>9512</v>
      </c>
      <c r="I678">
        <v>0</v>
      </c>
    </row>
    <row r="679" spans="4:9" customFormat="1" ht="13.95" customHeight="1">
      <c r="D679" t="s">
        <v>6536</v>
      </c>
      <c r="E679" t="s">
        <v>9434</v>
      </c>
      <c r="F679">
        <v>3.226</v>
      </c>
      <c r="G679" t="s">
        <v>6570</v>
      </c>
      <c r="H679" t="s">
        <v>9513</v>
      </c>
      <c r="I679">
        <v>0</v>
      </c>
    </row>
    <row r="680" spans="4:9" customFormat="1" ht="13.95" customHeight="1">
      <c r="D680" t="s">
        <v>6536</v>
      </c>
      <c r="E680" t="s">
        <v>9435</v>
      </c>
      <c r="F680">
        <v>2.9290000000000003</v>
      </c>
      <c r="G680" t="s">
        <v>6570</v>
      </c>
      <c r="H680" t="s">
        <v>9514</v>
      </c>
      <c r="I680">
        <v>0</v>
      </c>
    </row>
    <row r="681" spans="4:9" customFormat="1" ht="13.95" customHeight="1">
      <c r="D681" t="s">
        <v>6536</v>
      </c>
      <c r="E681" t="s">
        <v>9436</v>
      </c>
      <c r="F681">
        <v>1.8029999999999999</v>
      </c>
      <c r="G681" t="s">
        <v>6570</v>
      </c>
      <c r="H681" t="s">
        <v>9515</v>
      </c>
      <c r="I681">
        <v>0</v>
      </c>
    </row>
    <row r="682" spans="4:9" customFormat="1" ht="13.95" customHeight="1">
      <c r="D682" t="s">
        <v>6536</v>
      </c>
      <c r="E682" t="s">
        <v>9437</v>
      </c>
      <c r="F682">
        <v>0</v>
      </c>
      <c r="G682" t="s">
        <v>6570</v>
      </c>
      <c r="H682" t="s">
        <v>9516</v>
      </c>
      <c r="I682">
        <v>0</v>
      </c>
    </row>
    <row r="683" spans="4:9" customFormat="1" ht="13.95" customHeight="1">
      <c r="D683" t="s">
        <v>6536</v>
      </c>
      <c r="E683" t="s">
        <v>9438</v>
      </c>
      <c r="F683">
        <v>0.65200000000000002</v>
      </c>
      <c r="G683" t="s">
        <v>6570</v>
      </c>
      <c r="H683" t="s">
        <v>9517</v>
      </c>
      <c r="I683">
        <v>0</v>
      </c>
    </row>
    <row r="684" spans="4:9" customFormat="1" ht="13.95" customHeight="1">
      <c r="D684" t="s">
        <v>6536</v>
      </c>
      <c r="E684" t="s">
        <v>9439</v>
      </c>
      <c r="F684">
        <v>3.0379999999999998</v>
      </c>
      <c r="G684" t="s">
        <v>6570</v>
      </c>
      <c r="H684" t="s">
        <v>9518</v>
      </c>
      <c r="I684">
        <v>0</v>
      </c>
    </row>
    <row r="685" spans="4:9" customFormat="1" ht="13.95" customHeight="1">
      <c r="D685" t="s">
        <v>6536</v>
      </c>
      <c r="E685" t="s">
        <v>9440</v>
      </c>
      <c r="F685">
        <v>1.954</v>
      </c>
      <c r="G685" t="s">
        <v>6570</v>
      </c>
      <c r="H685" t="s">
        <v>9519</v>
      </c>
      <c r="I685">
        <v>0</v>
      </c>
    </row>
    <row r="686" spans="4:9" customFormat="1" ht="13.95" customHeight="1">
      <c r="D686" t="s">
        <v>6536</v>
      </c>
      <c r="E686" t="s">
        <v>9441</v>
      </c>
      <c r="F686">
        <v>2.387</v>
      </c>
      <c r="G686" t="s">
        <v>6570</v>
      </c>
      <c r="H686" t="s">
        <v>9520</v>
      </c>
      <c r="I686">
        <v>0</v>
      </c>
    </row>
    <row r="687" spans="4:9" customFormat="1" ht="13.95" customHeight="1">
      <c r="D687" t="s">
        <v>6536</v>
      </c>
      <c r="E687" t="s">
        <v>9442</v>
      </c>
      <c r="F687">
        <v>2.1320000000000001</v>
      </c>
      <c r="G687" t="s">
        <v>6570</v>
      </c>
      <c r="H687" t="s">
        <v>9521</v>
      </c>
      <c r="I687">
        <v>0</v>
      </c>
    </row>
    <row r="688" spans="4:9" customFormat="1" ht="13.95" customHeight="1">
      <c r="D688" t="s">
        <v>6536</v>
      </c>
      <c r="E688" t="s">
        <v>9443</v>
      </c>
      <c r="F688">
        <v>2.036</v>
      </c>
      <c r="G688" t="s">
        <v>6570</v>
      </c>
      <c r="H688" t="s">
        <v>9522</v>
      </c>
      <c r="I688">
        <v>0</v>
      </c>
    </row>
    <row r="689" spans="4:9" customFormat="1" ht="13.95" customHeight="1">
      <c r="D689" t="s">
        <v>6536</v>
      </c>
      <c r="E689" t="s">
        <v>9444</v>
      </c>
      <c r="F689">
        <v>0.79500000000000004</v>
      </c>
      <c r="G689" t="s">
        <v>6570</v>
      </c>
      <c r="H689" t="s">
        <v>9523</v>
      </c>
      <c r="I689">
        <v>0</v>
      </c>
    </row>
    <row r="690" spans="4:9" customFormat="1" ht="13.95" customHeight="1">
      <c r="D690" t="s">
        <v>6536</v>
      </c>
      <c r="E690" t="s">
        <v>9525</v>
      </c>
      <c r="F690">
        <v>2.669</v>
      </c>
      <c r="G690" t="s">
        <v>6570</v>
      </c>
      <c r="H690" t="s">
        <v>9524</v>
      </c>
      <c r="I690">
        <v>0</v>
      </c>
    </row>
    <row r="691" spans="4:9" customFormat="1" ht="13.95" customHeight="1">
      <c r="D691" t="s">
        <v>6536</v>
      </c>
      <c r="E691" t="s">
        <v>9526</v>
      </c>
      <c r="F691">
        <v>0.33100000000000002</v>
      </c>
      <c r="G691" t="s">
        <v>6571</v>
      </c>
      <c r="H691" t="s">
        <v>9445</v>
      </c>
      <c r="I691">
        <v>0</v>
      </c>
    </row>
    <row r="692" spans="4:9" customFormat="1" ht="13.95" customHeight="1">
      <c r="D692" t="s">
        <v>6536</v>
      </c>
      <c r="E692" t="s">
        <v>9527</v>
      </c>
      <c r="F692">
        <v>2.1349999999999998</v>
      </c>
      <c r="G692" t="s">
        <v>6571</v>
      </c>
      <c r="H692" t="s">
        <v>9446</v>
      </c>
      <c r="I692">
        <v>0</v>
      </c>
    </row>
    <row r="693" spans="4:9" customFormat="1" ht="13.95" customHeight="1">
      <c r="D693" t="s">
        <v>6536</v>
      </c>
      <c r="E693" t="s">
        <v>9528</v>
      </c>
      <c r="F693">
        <v>3.3660000000000001</v>
      </c>
      <c r="G693" t="s">
        <v>6571</v>
      </c>
      <c r="H693" t="s">
        <v>9447</v>
      </c>
      <c r="I693">
        <v>0</v>
      </c>
    </row>
    <row r="694" spans="4:9" customFormat="1" ht="13.95" customHeight="1">
      <c r="D694" t="s">
        <v>6536</v>
      </c>
      <c r="E694" t="s">
        <v>9529</v>
      </c>
      <c r="F694">
        <v>0.97099999999999997</v>
      </c>
      <c r="G694" t="s">
        <v>6571</v>
      </c>
      <c r="H694" t="s">
        <v>9448</v>
      </c>
      <c r="I694">
        <v>0</v>
      </c>
    </row>
    <row r="695" spans="4:9" customFormat="1" ht="13.95" customHeight="1">
      <c r="D695" t="s">
        <v>6536</v>
      </c>
      <c r="E695" t="s">
        <v>9530</v>
      </c>
      <c r="F695">
        <v>1.998</v>
      </c>
      <c r="G695" t="s">
        <v>6571</v>
      </c>
      <c r="H695" t="s">
        <v>9449</v>
      </c>
      <c r="I695">
        <v>0</v>
      </c>
    </row>
    <row r="696" spans="4:9" customFormat="1" ht="13.95" customHeight="1">
      <c r="D696" t="s">
        <v>6536</v>
      </c>
      <c r="E696" t="s">
        <v>9531</v>
      </c>
      <c r="F696">
        <v>1.282</v>
      </c>
      <c r="G696" t="s">
        <v>6571</v>
      </c>
      <c r="H696" t="s">
        <v>9450</v>
      </c>
      <c r="I696">
        <v>0</v>
      </c>
    </row>
    <row r="697" spans="4:9" customFormat="1" ht="13.95" customHeight="1">
      <c r="D697" t="s">
        <v>6536</v>
      </c>
      <c r="E697" t="s">
        <v>9532</v>
      </c>
      <c r="F697">
        <v>2.5220000000000002</v>
      </c>
      <c r="G697" t="s">
        <v>6571</v>
      </c>
      <c r="H697" t="s">
        <v>9451</v>
      </c>
      <c r="I697">
        <v>0</v>
      </c>
    </row>
    <row r="698" spans="4:9" customFormat="1" ht="13.95" customHeight="1">
      <c r="D698" t="s">
        <v>6536</v>
      </c>
      <c r="E698" t="s">
        <v>9533</v>
      </c>
      <c r="F698">
        <v>0</v>
      </c>
      <c r="G698" t="s">
        <v>6571</v>
      </c>
      <c r="H698" t="s">
        <v>9452</v>
      </c>
      <c r="I698">
        <v>0</v>
      </c>
    </row>
    <row r="699" spans="4:9" customFormat="1" ht="13.95" customHeight="1">
      <c r="D699" t="s">
        <v>6536</v>
      </c>
      <c r="E699" t="s">
        <v>9534</v>
      </c>
      <c r="F699">
        <v>2.4809999999999999</v>
      </c>
      <c r="G699" t="s">
        <v>6571</v>
      </c>
      <c r="H699" t="s">
        <v>9453</v>
      </c>
      <c r="I699">
        <v>0</v>
      </c>
    </row>
    <row r="700" spans="4:9" customFormat="1" ht="13.95" customHeight="1">
      <c r="D700" t="s">
        <v>6536</v>
      </c>
      <c r="E700" t="s">
        <v>9535</v>
      </c>
      <c r="F700">
        <v>1.494</v>
      </c>
      <c r="G700" t="s">
        <v>6571</v>
      </c>
      <c r="H700" t="s">
        <v>9454</v>
      </c>
      <c r="I700">
        <v>0</v>
      </c>
    </row>
    <row r="701" spans="4:9" customFormat="1" ht="13.95" customHeight="1">
      <c r="D701" t="s">
        <v>6536</v>
      </c>
      <c r="E701" t="s">
        <v>9536</v>
      </c>
      <c r="F701">
        <v>0</v>
      </c>
      <c r="G701" t="s">
        <v>6571</v>
      </c>
      <c r="H701" t="s">
        <v>9455</v>
      </c>
      <c r="I701">
        <v>0</v>
      </c>
    </row>
    <row r="702" spans="4:9" customFormat="1" ht="13.95" customHeight="1">
      <c r="D702" t="s">
        <v>6537</v>
      </c>
      <c r="E702" t="s">
        <v>9433</v>
      </c>
      <c r="F702">
        <v>1.9729999999999999</v>
      </c>
      <c r="G702" t="s">
        <v>6571</v>
      </c>
      <c r="H702" t="s">
        <v>9456</v>
      </c>
      <c r="I702">
        <v>0</v>
      </c>
    </row>
    <row r="703" spans="4:9" customFormat="1" ht="13.95" customHeight="1">
      <c r="D703" t="s">
        <v>6537</v>
      </c>
      <c r="E703" t="s">
        <v>9434</v>
      </c>
      <c r="F703">
        <v>3.254</v>
      </c>
      <c r="G703" t="s">
        <v>6571</v>
      </c>
      <c r="H703" t="s">
        <v>9457</v>
      </c>
      <c r="I703">
        <v>0</v>
      </c>
    </row>
    <row r="704" spans="4:9" customFormat="1" ht="13.95" customHeight="1">
      <c r="D704" t="s">
        <v>6537</v>
      </c>
      <c r="E704" t="s">
        <v>9435</v>
      </c>
      <c r="F704">
        <v>2.0009999999999999</v>
      </c>
      <c r="G704" t="s">
        <v>6571</v>
      </c>
      <c r="H704" t="s">
        <v>9458</v>
      </c>
      <c r="I704">
        <v>0</v>
      </c>
    </row>
    <row r="705" spans="4:9" customFormat="1" ht="13.95" customHeight="1">
      <c r="D705" t="s">
        <v>6537</v>
      </c>
      <c r="E705" t="s">
        <v>9436</v>
      </c>
      <c r="F705">
        <v>1.7429999999999999</v>
      </c>
      <c r="G705" t="s">
        <v>6571</v>
      </c>
      <c r="H705" t="s">
        <v>9459</v>
      </c>
      <c r="I705">
        <v>0</v>
      </c>
    </row>
    <row r="706" spans="4:9" customFormat="1" ht="13.95" customHeight="1">
      <c r="D706" t="s">
        <v>6537</v>
      </c>
      <c r="E706" t="s">
        <v>9437</v>
      </c>
      <c r="F706">
        <v>0</v>
      </c>
      <c r="G706" t="s">
        <v>6571</v>
      </c>
      <c r="H706" t="s">
        <v>9460</v>
      </c>
      <c r="I706">
        <v>0</v>
      </c>
    </row>
    <row r="707" spans="4:9" customFormat="1" ht="13.95" customHeight="1">
      <c r="D707" t="s">
        <v>6537</v>
      </c>
      <c r="E707" t="s">
        <v>9438</v>
      </c>
      <c r="F707">
        <v>0.38900000000000001</v>
      </c>
      <c r="G707" t="s">
        <v>6571</v>
      </c>
      <c r="H707" t="s">
        <v>9461</v>
      </c>
      <c r="I707">
        <v>0</v>
      </c>
    </row>
    <row r="708" spans="4:9" customFormat="1" ht="13.95" customHeight="1">
      <c r="D708" t="s">
        <v>6537</v>
      </c>
      <c r="E708" t="s">
        <v>9439</v>
      </c>
      <c r="F708">
        <v>2.9590000000000001</v>
      </c>
      <c r="G708" t="s">
        <v>6571</v>
      </c>
      <c r="H708" t="s">
        <v>9462</v>
      </c>
      <c r="I708">
        <v>0</v>
      </c>
    </row>
    <row r="709" spans="4:9" customFormat="1" ht="13.95" customHeight="1">
      <c r="D709" t="s">
        <v>6537</v>
      </c>
      <c r="E709" t="s">
        <v>9440</v>
      </c>
      <c r="F709">
        <v>1.8780000000000001</v>
      </c>
      <c r="G709" t="s">
        <v>6571</v>
      </c>
      <c r="H709" t="s">
        <v>9481</v>
      </c>
      <c r="I709">
        <v>0</v>
      </c>
    </row>
    <row r="710" spans="4:9" customFormat="1" ht="13.95" customHeight="1">
      <c r="D710" t="s">
        <v>6537</v>
      </c>
      <c r="E710" t="s">
        <v>9441</v>
      </c>
      <c r="F710">
        <v>2.375</v>
      </c>
      <c r="G710" t="s">
        <v>6571</v>
      </c>
      <c r="H710" t="s">
        <v>9483</v>
      </c>
      <c r="I710">
        <v>0</v>
      </c>
    </row>
    <row r="711" spans="4:9" customFormat="1" ht="13.95" customHeight="1">
      <c r="D711" t="s">
        <v>6537</v>
      </c>
      <c r="E711" t="s">
        <v>9442</v>
      </c>
      <c r="F711">
        <v>2.1310000000000002</v>
      </c>
      <c r="G711" t="s">
        <v>6571</v>
      </c>
      <c r="H711" t="s">
        <v>9486</v>
      </c>
      <c r="I711">
        <v>0</v>
      </c>
    </row>
    <row r="712" spans="4:9" customFormat="1" ht="13.95" customHeight="1">
      <c r="D712" t="s">
        <v>6537</v>
      </c>
      <c r="E712" t="s">
        <v>9443</v>
      </c>
      <c r="F712">
        <v>1.994</v>
      </c>
      <c r="G712" t="s">
        <v>6571</v>
      </c>
      <c r="H712" t="s">
        <v>9488</v>
      </c>
      <c r="I712">
        <v>0</v>
      </c>
    </row>
    <row r="713" spans="4:9" customFormat="1" ht="13.95" customHeight="1">
      <c r="D713" t="s">
        <v>6537</v>
      </c>
      <c r="E713" t="s">
        <v>9444</v>
      </c>
      <c r="F713">
        <v>0.77</v>
      </c>
      <c r="G713" t="s">
        <v>6571</v>
      </c>
      <c r="H713" t="s">
        <v>9490</v>
      </c>
      <c r="I713">
        <v>0</v>
      </c>
    </row>
    <row r="714" spans="4:9" customFormat="1" ht="13.95" customHeight="1">
      <c r="D714" t="s">
        <v>6537</v>
      </c>
      <c r="E714" t="s">
        <v>9525</v>
      </c>
      <c r="F714">
        <v>2.5779999999999998</v>
      </c>
      <c r="G714" t="s">
        <v>6571</v>
      </c>
      <c r="H714" t="s">
        <v>9492</v>
      </c>
      <c r="I714">
        <v>0</v>
      </c>
    </row>
    <row r="715" spans="4:9" customFormat="1" ht="13.95" customHeight="1">
      <c r="D715" t="s">
        <v>6537</v>
      </c>
      <c r="E715" t="s">
        <v>9526</v>
      </c>
      <c r="F715">
        <v>0.309</v>
      </c>
      <c r="G715" t="s">
        <v>6571</v>
      </c>
      <c r="H715" t="s">
        <v>9494</v>
      </c>
      <c r="I715">
        <v>0</v>
      </c>
    </row>
    <row r="716" spans="4:9" customFormat="1" ht="13.95" customHeight="1">
      <c r="D716" t="s">
        <v>6537</v>
      </c>
      <c r="E716" t="s">
        <v>9527</v>
      </c>
      <c r="F716">
        <v>2.4050000000000002</v>
      </c>
      <c r="G716" t="s">
        <v>6571</v>
      </c>
      <c r="H716" t="s">
        <v>9496</v>
      </c>
      <c r="I716">
        <v>0</v>
      </c>
    </row>
    <row r="717" spans="4:9" customFormat="1" ht="13.95" customHeight="1">
      <c r="D717" t="s">
        <v>6537</v>
      </c>
      <c r="E717" t="s">
        <v>9528</v>
      </c>
      <c r="F717">
        <v>3.4769999999999999</v>
      </c>
      <c r="G717" t="s">
        <v>6571</v>
      </c>
      <c r="H717" t="s">
        <v>9497</v>
      </c>
      <c r="I717">
        <v>0</v>
      </c>
    </row>
    <row r="718" spans="4:9" customFormat="1" ht="13.95" customHeight="1">
      <c r="D718" t="s">
        <v>6537</v>
      </c>
      <c r="E718" t="s">
        <v>9529</v>
      </c>
      <c r="F718">
        <v>1.0569999999999999</v>
      </c>
      <c r="G718" t="s">
        <v>6571</v>
      </c>
      <c r="H718" t="s">
        <v>9498</v>
      </c>
      <c r="I718">
        <v>0</v>
      </c>
    </row>
    <row r="719" spans="4:9" customFormat="1" ht="13.95" customHeight="1">
      <c r="D719" t="s">
        <v>6537</v>
      </c>
      <c r="E719" t="s">
        <v>9530</v>
      </c>
      <c r="F719">
        <v>2.0230000000000001</v>
      </c>
      <c r="G719" t="s">
        <v>6571</v>
      </c>
      <c r="H719" t="s">
        <v>9499</v>
      </c>
      <c r="I719">
        <v>0</v>
      </c>
    </row>
    <row r="720" spans="4:9" customFormat="1" ht="13.95" customHeight="1">
      <c r="D720" t="s">
        <v>6537</v>
      </c>
      <c r="E720" t="s">
        <v>9531</v>
      </c>
      <c r="F720">
        <v>1.2170000000000001</v>
      </c>
      <c r="G720" t="s">
        <v>6571</v>
      </c>
      <c r="H720" t="s">
        <v>9500</v>
      </c>
      <c r="I720">
        <v>0</v>
      </c>
    </row>
    <row r="721" spans="4:9" customFormat="1" ht="13.95" customHeight="1">
      <c r="D721" t="s">
        <v>6537</v>
      </c>
      <c r="E721" t="s">
        <v>9532</v>
      </c>
      <c r="F721">
        <v>1.5979999999999999</v>
      </c>
      <c r="G721" t="s">
        <v>6571</v>
      </c>
      <c r="H721" t="s">
        <v>9501</v>
      </c>
      <c r="I721">
        <v>0</v>
      </c>
    </row>
    <row r="722" spans="4:9" customFormat="1" ht="13.95" customHeight="1">
      <c r="D722" t="s">
        <v>6537</v>
      </c>
      <c r="E722" t="s">
        <v>9533</v>
      </c>
      <c r="F722">
        <v>0</v>
      </c>
      <c r="G722" t="s">
        <v>6571</v>
      </c>
      <c r="H722" t="s">
        <v>9502</v>
      </c>
      <c r="I722">
        <v>0</v>
      </c>
    </row>
    <row r="723" spans="4:9" customFormat="1" ht="13.95" customHeight="1">
      <c r="D723" t="s">
        <v>6537</v>
      </c>
      <c r="E723" t="s">
        <v>9534</v>
      </c>
      <c r="F723">
        <v>1.101</v>
      </c>
      <c r="G723" t="s">
        <v>6571</v>
      </c>
      <c r="H723" t="s">
        <v>9503</v>
      </c>
      <c r="I723">
        <v>0</v>
      </c>
    </row>
    <row r="724" spans="4:9" customFormat="1" ht="13.95" customHeight="1">
      <c r="D724" t="s">
        <v>6537</v>
      </c>
      <c r="E724" t="s">
        <v>9535</v>
      </c>
      <c r="F724">
        <v>1.577</v>
      </c>
      <c r="G724" t="s">
        <v>6571</v>
      </c>
      <c r="H724" t="s">
        <v>9504</v>
      </c>
      <c r="I724">
        <v>0</v>
      </c>
    </row>
    <row r="725" spans="4:9" customFormat="1" ht="13.95" customHeight="1">
      <c r="D725" t="s">
        <v>6537</v>
      </c>
      <c r="E725" t="s">
        <v>9536</v>
      </c>
      <c r="F725">
        <v>0</v>
      </c>
      <c r="G725" t="s">
        <v>6571</v>
      </c>
      <c r="H725" t="s">
        <v>9505</v>
      </c>
      <c r="I725">
        <v>0</v>
      </c>
    </row>
    <row r="726" spans="4:9" customFormat="1" ht="13.95" customHeight="1">
      <c r="D726" t="s">
        <v>6538</v>
      </c>
      <c r="E726" t="s">
        <v>9433</v>
      </c>
      <c r="F726">
        <v>2.1030000000000002</v>
      </c>
      <c r="G726" t="s">
        <v>6571</v>
      </c>
      <c r="H726" t="s">
        <v>9506</v>
      </c>
      <c r="I726">
        <v>0</v>
      </c>
    </row>
    <row r="727" spans="4:9" customFormat="1" ht="13.95" customHeight="1">
      <c r="D727" t="s">
        <v>6538</v>
      </c>
      <c r="E727" t="s">
        <v>9434</v>
      </c>
      <c r="F727">
        <v>2.54</v>
      </c>
      <c r="G727" t="s">
        <v>6571</v>
      </c>
      <c r="H727" t="s">
        <v>9507</v>
      </c>
      <c r="I727">
        <v>0</v>
      </c>
    </row>
    <row r="728" spans="4:9" customFormat="1" ht="13.95" customHeight="1">
      <c r="D728" t="s">
        <v>6538</v>
      </c>
      <c r="E728" t="s">
        <v>9435</v>
      </c>
      <c r="F728">
        <v>3.8759999999999999</v>
      </c>
      <c r="G728" t="s">
        <v>6571</v>
      </c>
      <c r="H728" t="s">
        <v>9508</v>
      </c>
      <c r="I728">
        <v>0</v>
      </c>
    </row>
    <row r="729" spans="4:9" customFormat="1" ht="13.95" customHeight="1">
      <c r="D729" t="s">
        <v>6538</v>
      </c>
      <c r="E729" t="s">
        <v>9436</v>
      </c>
      <c r="F729">
        <v>1.073</v>
      </c>
      <c r="G729" t="s">
        <v>6571</v>
      </c>
      <c r="H729" t="s">
        <v>9509</v>
      </c>
      <c r="I729">
        <v>0</v>
      </c>
    </row>
    <row r="730" spans="4:9" customFormat="1" ht="13.95" customHeight="1">
      <c r="D730" t="s">
        <v>6538</v>
      </c>
      <c r="E730" t="s">
        <v>9437</v>
      </c>
      <c r="F730">
        <v>0.48899999999999999</v>
      </c>
      <c r="G730" t="s">
        <v>6571</v>
      </c>
      <c r="H730" t="s">
        <v>9510</v>
      </c>
      <c r="I730">
        <v>0</v>
      </c>
    </row>
    <row r="731" spans="4:9" customFormat="1" ht="13.95" customHeight="1">
      <c r="D731" t="s">
        <v>6538</v>
      </c>
      <c r="E731" t="s">
        <v>9438</v>
      </c>
      <c r="F731">
        <v>1.081</v>
      </c>
      <c r="G731" t="s">
        <v>6571</v>
      </c>
      <c r="H731" t="s">
        <v>9511</v>
      </c>
      <c r="I731">
        <v>0</v>
      </c>
    </row>
    <row r="732" spans="4:9" customFormat="1" ht="13.95" customHeight="1">
      <c r="D732" t="s">
        <v>6538</v>
      </c>
      <c r="E732" t="s">
        <v>9439</v>
      </c>
      <c r="F732">
        <v>1.6989999999999998</v>
      </c>
      <c r="G732" t="s">
        <v>6571</v>
      </c>
      <c r="H732" t="s">
        <v>9512</v>
      </c>
      <c r="I732">
        <v>0</v>
      </c>
    </row>
    <row r="733" spans="4:9" customFormat="1" ht="13.95" customHeight="1">
      <c r="D733" t="s">
        <v>6538</v>
      </c>
      <c r="E733" t="s">
        <v>9440</v>
      </c>
      <c r="F733">
        <v>1.3900000000000001</v>
      </c>
      <c r="G733" t="s">
        <v>6571</v>
      </c>
      <c r="H733" t="s">
        <v>9513</v>
      </c>
      <c r="I733">
        <v>0</v>
      </c>
    </row>
    <row r="734" spans="4:9" customFormat="1" ht="13.95" customHeight="1">
      <c r="D734" t="s">
        <v>6538</v>
      </c>
      <c r="E734" t="s">
        <v>9441</v>
      </c>
      <c r="F734">
        <v>3.2770000000000001</v>
      </c>
      <c r="G734" t="s">
        <v>6571</v>
      </c>
      <c r="H734" t="s">
        <v>9514</v>
      </c>
      <c r="I734">
        <v>0</v>
      </c>
    </row>
    <row r="735" spans="4:9" customFormat="1" ht="13.95" customHeight="1">
      <c r="D735" t="s">
        <v>6538</v>
      </c>
      <c r="E735" t="s">
        <v>9442</v>
      </c>
      <c r="F735">
        <v>2.5920000000000001</v>
      </c>
      <c r="G735" t="s">
        <v>6571</v>
      </c>
      <c r="H735" t="s">
        <v>9515</v>
      </c>
      <c r="I735">
        <v>0</v>
      </c>
    </row>
    <row r="736" spans="4:9" customFormat="1" ht="13.95" customHeight="1">
      <c r="D736" t="s">
        <v>6538</v>
      </c>
      <c r="E736" t="s">
        <v>9443</v>
      </c>
      <c r="F736">
        <v>1.8580000000000001</v>
      </c>
      <c r="G736" t="s">
        <v>6571</v>
      </c>
      <c r="H736" t="s">
        <v>9516</v>
      </c>
      <c r="I736">
        <v>0</v>
      </c>
    </row>
    <row r="737" spans="4:9" customFormat="1" ht="13.95" customHeight="1">
      <c r="D737" t="s">
        <v>6538</v>
      </c>
      <c r="E737" t="s">
        <v>9444</v>
      </c>
      <c r="F737">
        <v>0.68400000000000005</v>
      </c>
      <c r="G737" t="s">
        <v>6571</v>
      </c>
      <c r="H737" t="s">
        <v>9517</v>
      </c>
      <c r="I737">
        <v>0</v>
      </c>
    </row>
    <row r="738" spans="4:9" customFormat="1" ht="13.95" customHeight="1">
      <c r="D738" t="s">
        <v>6538</v>
      </c>
      <c r="E738" t="s">
        <v>9525</v>
      </c>
      <c r="F738">
        <v>3.06</v>
      </c>
      <c r="G738" t="s">
        <v>6571</v>
      </c>
      <c r="H738" t="s">
        <v>9518</v>
      </c>
      <c r="I738">
        <v>0</v>
      </c>
    </row>
    <row r="739" spans="4:9" customFormat="1" ht="13.95" customHeight="1">
      <c r="D739" t="s">
        <v>6538</v>
      </c>
      <c r="E739" t="s">
        <v>9526</v>
      </c>
      <c r="F739">
        <v>0.47499999999999998</v>
      </c>
      <c r="G739" t="s">
        <v>6571</v>
      </c>
      <c r="H739" t="s">
        <v>9519</v>
      </c>
      <c r="I739">
        <v>0</v>
      </c>
    </row>
    <row r="740" spans="4:9" customFormat="1" ht="13.95" customHeight="1">
      <c r="D740" t="s">
        <v>6538</v>
      </c>
      <c r="E740" t="s">
        <v>9527</v>
      </c>
      <c r="F740">
        <v>1.123</v>
      </c>
      <c r="G740" t="s">
        <v>6571</v>
      </c>
      <c r="H740" t="s">
        <v>9520</v>
      </c>
      <c r="I740">
        <v>0</v>
      </c>
    </row>
    <row r="741" spans="4:9" customFormat="1" ht="13.95" customHeight="1">
      <c r="D741" t="s">
        <v>6538</v>
      </c>
      <c r="E741" t="s">
        <v>9528</v>
      </c>
      <c r="F741">
        <v>2.98</v>
      </c>
      <c r="G741" t="s">
        <v>6571</v>
      </c>
      <c r="H741" t="s">
        <v>9521</v>
      </c>
      <c r="I741">
        <v>0</v>
      </c>
    </row>
    <row r="742" spans="4:9" customFormat="1" ht="13.95" customHeight="1">
      <c r="D742" t="s">
        <v>6538</v>
      </c>
      <c r="E742" t="s">
        <v>9529</v>
      </c>
      <c r="F742">
        <v>1.159</v>
      </c>
      <c r="G742" t="s">
        <v>6571</v>
      </c>
      <c r="H742" t="s">
        <v>9522</v>
      </c>
      <c r="I742">
        <v>0</v>
      </c>
    </row>
    <row r="743" spans="4:9" customFormat="1" ht="13.95" customHeight="1">
      <c r="D743" t="s">
        <v>6538</v>
      </c>
      <c r="E743" t="s">
        <v>9530</v>
      </c>
      <c r="F743">
        <v>1.7789999999999999</v>
      </c>
      <c r="G743" t="s">
        <v>6571</v>
      </c>
      <c r="H743" t="s">
        <v>9523</v>
      </c>
      <c r="I743">
        <v>0</v>
      </c>
    </row>
    <row r="744" spans="4:9" customFormat="1" ht="13.95" customHeight="1">
      <c r="D744" t="s">
        <v>6538</v>
      </c>
      <c r="E744" t="s">
        <v>9531</v>
      </c>
      <c r="F744">
        <v>1.288</v>
      </c>
      <c r="G744" t="s">
        <v>6571</v>
      </c>
      <c r="H744" t="s">
        <v>9524</v>
      </c>
      <c r="I744">
        <v>0</v>
      </c>
    </row>
    <row r="745" spans="4:9" customFormat="1" ht="13.95" customHeight="1">
      <c r="D745" t="s">
        <v>6538</v>
      </c>
      <c r="E745" t="s">
        <v>9532</v>
      </c>
      <c r="F745">
        <v>2.3250000000000002</v>
      </c>
    </row>
    <row r="746" spans="4:9" customFormat="1" ht="13.95" customHeight="1">
      <c r="D746" t="s">
        <v>6538</v>
      </c>
      <c r="E746" t="s">
        <v>9533</v>
      </c>
      <c r="F746">
        <v>0</v>
      </c>
    </row>
    <row r="747" spans="4:9" customFormat="1" ht="13.95" customHeight="1">
      <c r="D747" t="s">
        <v>6538</v>
      </c>
      <c r="E747" t="s">
        <v>9534</v>
      </c>
      <c r="F747">
        <v>1.663</v>
      </c>
    </row>
    <row r="748" spans="4:9" customFormat="1" ht="13.95" customHeight="1">
      <c r="D748" t="s">
        <v>6538</v>
      </c>
      <c r="E748" t="s">
        <v>9535</v>
      </c>
      <c r="F748">
        <v>2.1669999999999998</v>
      </c>
    </row>
    <row r="749" spans="4:9" customFormat="1" ht="13.95" customHeight="1">
      <c r="D749" t="s">
        <v>6538</v>
      </c>
      <c r="E749" t="s">
        <v>9536</v>
      </c>
      <c r="F749">
        <v>0</v>
      </c>
    </row>
    <row r="750" spans="4:9" customFormat="1" ht="13.95" customHeight="1">
      <c r="D750" t="s">
        <v>6539</v>
      </c>
      <c r="E750" t="s">
        <v>9433</v>
      </c>
      <c r="F750">
        <v>2.2029999999999998</v>
      </c>
    </row>
    <row r="751" spans="4:9" customFormat="1" ht="13.95" customHeight="1">
      <c r="D751" t="s">
        <v>6539</v>
      </c>
      <c r="E751" t="s">
        <v>9434</v>
      </c>
      <c r="F751">
        <v>2.4470000000000001</v>
      </c>
    </row>
    <row r="752" spans="4:9" customFormat="1" ht="13.95" customHeight="1">
      <c r="D752" t="s">
        <v>6539</v>
      </c>
      <c r="E752" t="s">
        <v>9435</v>
      </c>
      <c r="F752">
        <v>2.0150000000000001</v>
      </c>
    </row>
    <row r="753" spans="4:6" customFormat="1" ht="13.95" customHeight="1">
      <c r="D753" t="s">
        <v>6539</v>
      </c>
      <c r="E753" t="s">
        <v>9436</v>
      </c>
      <c r="F753">
        <v>1.052</v>
      </c>
    </row>
    <row r="754" spans="4:6" customFormat="1" ht="13.95" customHeight="1">
      <c r="D754" t="s">
        <v>6539</v>
      </c>
      <c r="E754" t="s">
        <v>9437</v>
      </c>
      <c r="F754">
        <v>0.48899999999999999</v>
      </c>
    </row>
    <row r="755" spans="4:6" customFormat="1" ht="13.95" customHeight="1">
      <c r="D755" t="s">
        <v>6539</v>
      </c>
      <c r="E755" t="s">
        <v>9438</v>
      </c>
      <c r="F755">
        <v>0.85699999999999998</v>
      </c>
    </row>
    <row r="756" spans="4:6" customFormat="1" ht="13.95" customHeight="1">
      <c r="D756" t="s">
        <v>6539</v>
      </c>
      <c r="E756" t="s">
        <v>9439</v>
      </c>
      <c r="F756">
        <v>1.7</v>
      </c>
    </row>
    <row r="757" spans="4:6" customFormat="1" ht="13.95" customHeight="1">
      <c r="D757" t="s">
        <v>6539</v>
      </c>
      <c r="E757" t="s">
        <v>9440</v>
      </c>
      <c r="F757">
        <v>1.6560000000000001</v>
      </c>
    </row>
    <row r="758" spans="4:6" customFormat="1" ht="13.95" customHeight="1">
      <c r="D758" t="s">
        <v>6539</v>
      </c>
      <c r="E758" t="s">
        <v>9441</v>
      </c>
      <c r="F758">
        <v>3.1819999999999999</v>
      </c>
    </row>
    <row r="759" spans="4:6" customFormat="1" ht="13.95" customHeight="1">
      <c r="D759" t="s">
        <v>6539</v>
      </c>
      <c r="E759" t="s">
        <v>9442</v>
      </c>
      <c r="F759">
        <v>2.65</v>
      </c>
    </row>
    <row r="760" spans="4:6" customFormat="1" ht="13.95" customHeight="1">
      <c r="D760" t="s">
        <v>6539</v>
      </c>
      <c r="E760" t="s">
        <v>9443</v>
      </c>
      <c r="F760">
        <v>1.915</v>
      </c>
    </row>
    <row r="761" spans="4:6" customFormat="1" ht="13.95" customHeight="1">
      <c r="D761" t="s">
        <v>6539</v>
      </c>
      <c r="E761" t="s">
        <v>9444</v>
      </c>
      <c r="F761">
        <v>0.67700000000000005</v>
      </c>
    </row>
    <row r="762" spans="4:6" customFormat="1" ht="13.95" customHeight="1">
      <c r="D762" t="s">
        <v>6539</v>
      </c>
      <c r="E762" t="s">
        <v>9525</v>
      </c>
      <c r="F762">
        <v>2.9239999999999999</v>
      </c>
    </row>
    <row r="763" spans="4:6" customFormat="1" ht="13.95" customHeight="1">
      <c r="D763" t="s">
        <v>6539</v>
      </c>
      <c r="E763" t="s">
        <v>9526</v>
      </c>
      <c r="F763">
        <v>0.48299999999999998</v>
      </c>
    </row>
    <row r="764" spans="4:6" customFormat="1" ht="13.95" customHeight="1">
      <c r="D764" t="s">
        <v>6539</v>
      </c>
      <c r="E764" t="s">
        <v>9527</v>
      </c>
      <c r="F764">
        <v>1.274</v>
      </c>
    </row>
    <row r="765" spans="4:6" customFormat="1" ht="13.95" customHeight="1">
      <c r="D765" t="s">
        <v>6539</v>
      </c>
      <c r="E765" t="s">
        <v>9528</v>
      </c>
      <c r="F765">
        <v>3.0819999999999999</v>
      </c>
    </row>
    <row r="766" spans="4:6" customFormat="1" ht="13.95" customHeight="1">
      <c r="D766" t="s">
        <v>6539</v>
      </c>
      <c r="E766" t="s">
        <v>9529</v>
      </c>
      <c r="F766">
        <v>1.2030000000000001</v>
      </c>
    </row>
    <row r="767" spans="4:6" customFormat="1" ht="13.95" customHeight="1">
      <c r="D767" t="s">
        <v>6539</v>
      </c>
      <c r="E767" t="s">
        <v>9530</v>
      </c>
      <c r="F767">
        <v>1.677</v>
      </c>
    </row>
    <row r="768" spans="4:6" customFormat="1" ht="13.95" customHeight="1">
      <c r="D768" t="s">
        <v>6539</v>
      </c>
      <c r="E768" t="s">
        <v>9531</v>
      </c>
      <c r="F768">
        <v>1.3029999999999999</v>
      </c>
    </row>
    <row r="769" spans="4:6" customFormat="1" ht="13.95" customHeight="1">
      <c r="D769" t="s">
        <v>6539</v>
      </c>
      <c r="E769" t="s">
        <v>9532</v>
      </c>
      <c r="F769">
        <v>1.663</v>
      </c>
    </row>
    <row r="770" spans="4:6" customFormat="1" ht="13.95" customHeight="1">
      <c r="D770" t="s">
        <v>6539</v>
      </c>
      <c r="E770" t="s">
        <v>9533</v>
      </c>
      <c r="F770">
        <v>0</v>
      </c>
    </row>
    <row r="771" spans="4:6" customFormat="1" ht="13.95" customHeight="1">
      <c r="D771" t="s">
        <v>6539</v>
      </c>
      <c r="E771" t="s">
        <v>9534</v>
      </c>
      <c r="F771">
        <v>0.83499999999999996</v>
      </c>
    </row>
    <row r="772" spans="4:6" customFormat="1" ht="13.95" customHeight="1">
      <c r="D772" t="s">
        <v>6539</v>
      </c>
      <c r="E772" t="s">
        <v>9535</v>
      </c>
      <c r="F772">
        <v>3.11</v>
      </c>
    </row>
    <row r="773" spans="4:6" customFormat="1" ht="13.95" customHeight="1">
      <c r="D773" t="s">
        <v>6539</v>
      </c>
      <c r="E773" t="s">
        <v>9536</v>
      </c>
      <c r="F773">
        <v>0</v>
      </c>
    </row>
    <row r="774" spans="4:6" customFormat="1"/>
    <row r="775" spans="4:6" customFormat="1"/>
    <row r="776" spans="4:6" customFormat="1"/>
    <row r="777" spans="4:6" customFormat="1"/>
    <row r="778" spans="4:6" customFormat="1"/>
    <row r="779" spans="4:6" customFormat="1"/>
    <row r="780" spans="4:6" customFormat="1"/>
    <row r="781" spans="4:6" customFormat="1"/>
    <row r="782" spans="4:6" customFormat="1"/>
    <row r="783" spans="4:6" customFormat="1"/>
    <row r="784" spans="4:6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85" zoomScaleNormal="85" workbookViewId="0">
      <selection activeCell="C33" sqref="C33"/>
    </sheetView>
  </sheetViews>
  <sheetFormatPr defaultRowHeight="14.4"/>
  <cols>
    <col min="1" max="1" width="20.3984375" bestFit="1" customWidth="1"/>
    <col min="2" max="3" width="29.69921875" style="2583" customWidth="1"/>
    <col min="4" max="4" width="20.3984375" bestFit="1" customWidth="1"/>
    <col min="5" max="6" width="31.8984375" style="2583" customWidth="1"/>
    <col min="7" max="7" width="20.3984375" bestFit="1" customWidth="1"/>
    <col min="8" max="9" width="28.09765625" style="2583" customWidth="1"/>
    <col min="10" max="10" width="20.3984375" bestFit="1" customWidth="1"/>
    <col min="11" max="11" width="27.8984375" style="2583" customWidth="1"/>
    <col min="12" max="12" width="28.09765625" style="2583" customWidth="1"/>
  </cols>
  <sheetData>
    <row r="1" spans="1:12">
      <c r="A1" s="2584" t="s">
        <v>9312</v>
      </c>
      <c r="B1" s="2582"/>
      <c r="C1" s="2582"/>
    </row>
    <row r="2" spans="1:12">
      <c r="A2" s="3815" t="s">
        <v>6634</v>
      </c>
      <c r="B2" s="3814" t="s">
        <v>8716</v>
      </c>
      <c r="C2" s="3814" t="s">
        <v>6633</v>
      </c>
      <c r="D2" s="3815" t="s">
        <v>6635</v>
      </c>
      <c r="E2" s="3814" t="s">
        <v>8716</v>
      </c>
      <c r="F2" s="3814" t="s">
        <v>6633</v>
      </c>
      <c r="G2" s="3815" t="s">
        <v>7539</v>
      </c>
      <c r="H2" s="3814" t="s">
        <v>8716</v>
      </c>
      <c r="I2" s="3814" t="s">
        <v>6633</v>
      </c>
      <c r="J2" s="3815" t="s">
        <v>7540</v>
      </c>
      <c r="K2" s="3814" t="s">
        <v>8716</v>
      </c>
      <c r="L2" s="3814" t="s">
        <v>6633</v>
      </c>
    </row>
    <row r="3" spans="1:12">
      <c r="A3" s="3815"/>
      <c r="B3" s="3814"/>
      <c r="C3" s="3814"/>
      <c r="D3" s="3815"/>
      <c r="E3" s="3814"/>
      <c r="F3" s="3814"/>
      <c r="G3" s="3815"/>
      <c r="H3" s="3814"/>
      <c r="I3" s="3814"/>
      <c r="J3" s="3815"/>
      <c r="K3" s="3814"/>
      <c r="L3" s="3814"/>
    </row>
    <row r="4" spans="1:12">
      <c r="A4" t="s">
        <v>9313</v>
      </c>
      <c r="B4" t="s">
        <v>9314</v>
      </c>
      <c r="C4">
        <v>0</v>
      </c>
      <c r="D4" t="s">
        <v>9341</v>
      </c>
      <c r="E4" t="s">
        <v>9314</v>
      </c>
      <c r="F4">
        <v>19.899999999999999</v>
      </c>
      <c r="G4" t="s">
        <v>6551</v>
      </c>
      <c r="H4" t="s">
        <v>9328</v>
      </c>
      <c r="I4">
        <v>210.7</v>
      </c>
      <c r="J4" t="s">
        <v>6593</v>
      </c>
      <c r="K4" t="s">
        <v>9328</v>
      </c>
      <c r="L4">
        <v>0</v>
      </c>
    </row>
    <row r="5" spans="1:12" ht="13.95" customHeight="1">
      <c r="A5" t="s">
        <v>9313</v>
      </c>
      <c r="B5" t="s">
        <v>9315</v>
      </c>
      <c r="C5">
        <v>13496</v>
      </c>
      <c r="D5" t="s">
        <v>9341</v>
      </c>
      <c r="E5" t="s">
        <v>9315</v>
      </c>
      <c r="F5">
        <v>13392.7</v>
      </c>
      <c r="G5" t="s">
        <v>6551</v>
      </c>
      <c r="H5" t="s">
        <v>9329</v>
      </c>
      <c r="I5">
        <v>1.2</v>
      </c>
      <c r="J5" t="s">
        <v>6593</v>
      </c>
      <c r="K5" t="s">
        <v>9329</v>
      </c>
      <c r="L5">
        <v>0</v>
      </c>
    </row>
    <row r="6" spans="1:12" ht="13.95" customHeight="1">
      <c r="A6" t="s">
        <v>9313</v>
      </c>
      <c r="B6" t="s">
        <v>9316</v>
      </c>
      <c r="C6">
        <v>11.9</v>
      </c>
      <c r="D6" t="s">
        <v>9341</v>
      </c>
      <c r="E6" t="s">
        <v>9316</v>
      </c>
      <c r="F6">
        <v>18.5</v>
      </c>
      <c r="G6" t="s">
        <v>6551</v>
      </c>
      <c r="H6" t="s">
        <v>9330</v>
      </c>
      <c r="I6">
        <v>0</v>
      </c>
      <c r="J6" t="s">
        <v>6593</v>
      </c>
      <c r="K6" t="s">
        <v>9330</v>
      </c>
      <c r="L6">
        <v>347.6</v>
      </c>
    </row>
    <row r="7" spans="1:12" ht="13.95" customHeight="1">
      <c r="A7" t="s">
        <v>9313</v>
      </c>
      <c r="B7" t="s">
        <v>9317</v>
      </c>
      <c r="C7">
        <v>5413.5</v>
      </c>
      <c r="D7" t="s">
        <v>9341</v>
      </c>
      <c r="E7" t="s">
        <v>9317</v>
      </c>
      <c r="F7">
        <v>13658.2</v>
      </c>
      <c r="G7" t="s">
        <v>6551</v>
      </c>
      <c r="H7" t="s">
        <v>9331</v>
      </c>
      <c r="I7">
        <v>0</v>
      </c>
      <c r="J7" t="s">
        <v>6593</v>
      </c>
      <c r="K7" t="s">
        <v>9331</v>
      </c>
      <c r="L7">
        <v>0</v>
      </c>
    </row>
    <row r="8" spans="1:12" ht="13.95" customHeight="1">
      <c r="A8" t="s">
        <v>9318</v>
      </c>
      <c r="B8" t="s">
        <v>9314</v>
      </c>
      <c r="C8">
        <v>14574.8</v>
      </c>
      <c r="D8" t="s">
        <v>9342</v>
      </c>
      <c r="E8" t="s">
        <v>9314</v>
      </c>
      <c r="F8">
        <v>3357.2</v>
      </c>
      <c r="G8" t="s">
        <v>6551</v>
      </c>
      <c r="H8" t="s">
        <v>9332</v>
      </c>
      <c r="I8">
        <v>0</v>
      </c>
      <c r="J8" t="s">
        <v>6593</v>
      </c>
      <c r="K8" t="s">
        <v>9332</v>
      </c>
      <c r="L8">
        <v>780.1</v>
      </c>
    </row>
    <row r="9" spans="1:12" ht="13.95" customHeight="1">
      <c r="A9" t="s">
        <v>9318</v>
      </c>
      <c r="B9" t="s">
        <v>9315</v>
      </c>
      <c r="C9">
        <v>19.600000000000001</v>
      </c>
      <c r="D9" t="s">
        <v>9342</v>
      </c>
      <c r="E9" t="s">
        <v>9315</v>
      </c>
      <c r="F9">
        <v>19.3</v>
      </c>
      <c r="G9" t="s">
        <v>6551</v>
      </c>
      <c r="H9" t="s">
        <v>9333</v>
      </c>
      <c r="I9">
        <v>0</v>
      </c>
      <c r="J9" t="s">
        <v>6593</v>
      </c>
      <c r="K9" t="s">
        <v>9333</v>
      </c>
      <c r="L9">
        <v>0</v>
      </c>
    </row>
    <row r="10" spans="1:12" ht="13.95" customHeight="1">
      <c r="A10" t="s">
        <v>9318</v>
      </c>
      <c r="B10" t="s">
        <v>9316</v>
      </c>
      <c r="C10">
        <v>13991.5</v>
      </c>
      <c r="D10" t="s">
        <v>9342</v>
      </c>
      <c r="E10" t="s">
        <v>9316</v>
      </c>
      <c r="F10">
        <v>24942.1</v>
      </c>
      <c r="G10" t="s">
        <v>6551</v>
      </c>
      <c r="H10" t="s">
        <v>9334</v>
      </c>
      <c r="I10">
        <v>0</v>
      </c>
      <c r="J10" t="s">
        <v>6593</v>
      </c>
      <c r="K10" t="s">
        <v>9334</v>
      </c>
      <c r="L10">
        <v>951.5</v>
      </c>
    </row>
    <row r="11" spans="1:12" ht="13.95" customHeight="1">
      <c r="A11" t="s">
        <v>9318</v>
      </c>
      <c r="B11" t="s">
        <v>9317</v>
      </c>
      <c r="C11">
        <v>16.899999999999999</v>
      </c>
      <c r="D11" t="s">
        <v>9342</v>
      </c>
      <c r="E11" t="s">
        <v>9317</v>
      </c>
      <c r="F11">
        <v>15.2</v>
      </c>
      <c r="G11" t="s">
        <v>6551</v>
      </c>
      <c r="H11" t="s">
        <v>9335</v>
      </c>
      <c r="I11">
        <v>0</v>
      </c>
      <c r="J11" t="s">
        <v>6593</v>
      </c>
      <c r="K11" t="s">
        <v>9335</v>
      </c>
      <c r="L11">
        <v>267.3</v>
      </c>
    </row>
    <row r="12" spans="1:12" ht="13.95" customHeight="1">
      <c r="A12" t="s">
        <v>9319</v>
      </c>
      <c r="B12" t="s">
        <v>9314</v>
      </c>
      <c r="C12">
        <v>0</v>
      </c>
      <c r="D12" t="s">
        <v>6516</v>
      </c>
      <c r="E12" t="s">
        <v>9328</v>
      </c>
      <c r="F12">
        <v>26</v>
      </c>
      <c r="G12" t="s">
        <v>6551</v>
      </c>
      <c r="H12" t="s">
        <v>9336</v>
      </c>
      <c r="I12">
        <v>0</v>
      </c>
      <c r="J12" t="s">
        <v>6593</v>
      </c>
      <c r="K12" t="s">
        <v>9336</v>
      </c>
      <c r="L12">
        <v>948.4</v>
      </c>
    </row>
    <row r="13" spans="1:12" ht="13.95" customHeight="1">
      <c r="A13" t="s">
        <v>9319</v>
      </c>
      <c r="B13" t="s">
        <v>9315</v>
      </c>
      <c r="C13">
        <v>0</v>
      </c>
      <c r="D13" t="s">
        <v>6516</v>
      </c>
      <c r="E13" t="s">
        <v>9329</v>
      </c>
      <c r="F13">
        <v>53.2</v>
      </c>
      <c r="G13" t="s">
        <v>6551</v>
      </c>
      <c r="H13" t="s">
        <v>9337</v>
      </c>
      <c r="I13">
        <v>0</v>
      </c>
      <c r="J13" t="s">
        <v>6593</v>
      </c>
      <c r="K13" t="s">
        <v>9337</v>
      </c>
      <c r="L13">
        <v>372.9</v>
      </c>
    </row>
    <row r="14" spans="1:12" ht="13.95" customHeight="1">
      <c r="A14" t="s">
        <v>9319</v>
      </c>
      <c r="B14" t="s">
        <v>9316</v>
      </c>
      <c r="C14">
        <v>0</v>
      </c>
      <c r="D14" t="s">
        <v>6516</v>
      </c>
      <c r="E14" t="s">
        <v>9330</v>
      </c>
      <c r="F14">
        <v>71.2</v>
      </c>
      <c r="G14" t="s">
        <v>6551</v>
      </c>
      <c r="H14" t="s">
        <v>9338</v>
      </c>
      <c r="I14">
        <v>2701.1</v>
      </c>
      <c r="J14" t="s">
        <v>6593</v>
      </c>
      <c r="K14" t="s">
        <v>9338</v>
      </c>
      <c r="L14">
        <v>1003.9</v>
      </c>
    </row>
    <row r="15" spans="1:12" ht="13.95" customHeight="1">
      <c r="A15" t="s">
        <v>9319</v>
      </c>
      <c r="B15" t="s">
        <v>9317</v>
      </c>
      <c r="C15">
        <v>0</v>
      </c>
      <c r="D15" t="s">
        <v>6516</v>
      </c>
      <c r="E15" t="s">
        <v>9331</v>
      </c>
      <c r="F15">
        <v>8330.6</v>
      </c>
      <c r="G15" t="s">
        <v>6551</v>
      </c>
      <c r="H15" t="s">
        <v>9339</v>
      </c>
      <c r="I15">
        <v>0</v>
      </c>
      <c r="J15" t="s">
        <v>6593</v>
      </c>
      <c r="K15" t="s">
        <v>9339</v>
      </c>
      <c r="L15">
        <v>0</v>
      </c>
    </row>
    <row r="16" spans="1:12" ht="13.95" customHeight="1">
      <c r="A16" t="s">
        <v>9319</v>
      </c>
      <c r="B16" t="s">
        <v>9320</v>
      </c>
      <c r="C16">
        <v>0</v>
      </c>
      <c r="D16" t="s">
        <v>6516</v>
      </c>
      <c r="E16" t="s">
        <v>9332</v>
      </c>
      <c r="F16">
        <v>71.599999999999994</v>
      </c>
      <c r="G16" t="s">
        <v>6551</v>
      </c>
      <c r="H16" t="s">
        <v>9343</v>
      </c>
      <c r="I16">
        <v>0</v>
      </c>
      <c r="J16" t="s">
        <v>6593</v>
      </c>
      <c r="K16" t="s">
        <v>9343</v>
      </c>
      <c r="L16">
        <v>1042.3</v>
      </c>
    </row>
    <row r="17" spans="1:12" ht="13.95" customHeight="1">
      <c r="A17" t="s">
        <v>9319</v>
      </c>
      <c r="B17" t="s">
        <v>9321</v>
      </c>
      <c r="C17">
        <v>0</v>
      </c>
      <c r="D17" t="s">
        <v>6516</v>
      </c>
      <c r="E17" t="s">
        <v>9333</v>
      </c>
      <c r="F17">
        <v>8695.2999999999993</v>
      </c>
      <c r="G17" t="s">
        <v>6551</v>
      </c>
      <c r="H17" t="s">
        <v>9344</v>
      </c>
      <c r="I17">
        <v>0</v>
      </c>
      <c r="J17" t="s">
        <v>6593</v>
      </c>
      <c r="K17" t="s">
        <v>9344</v>
      </c>
      <c r="L17">
        <v>667</v>
      </c>
    </row>
    <row r="18" spans="1:12" ht="13.95" customHeight="1">
      <c r="A18" t="s">
        <v>9319</v>
      </c>
      <c r="B18" t="s">
        <v>9322</v>
      </c>
      <c r="C18">
        <v>0</v>
      </c>
      <c r="D18" t="s">
        <v>6516</v>
      </c>
      <c r="E18" t="s">
        <v>9334</v>
      </c>
      <c r="F18">
        <v>7592.5</v>
      </c>
      <c r="G18" t="s">
        <v>6551</v>
      </c>
      <c r="H18" t="s">
        <v>9345</v>
      </c>
      <c r="I18">
        <v>1397.7</v>
      </c>
      <c r="J18" t="s">
        <v>6593</v>
      </c>
      <c r="K18" t="s">
        <v>9345</v>
      </c>
      <c r="L18">
        <v>71.099999999999994</v>
      </c>
    </row>
    <row r="19" spans="1:12" ht="13.95" customHeight="1">
      <c r="A19" t="s">
        <v>9319</v>
      </c>
      <c r="B19" t="s">
        <v>9323</v>
      </c>
      <c r="C19">
        <v>0</v>
      </c>
      <c r="D19" t="s">
        <v>6516</v>
      </c>
      <c r="E19" t="s">
        <v>9335</v>
      </c>
      <c r="F19">
        <v>4771.8</v>
      </c>
      <c r="G19" t="s">
        <v>6551</v>
      </c>
      <c r="H19" t="s">
        <v>9346</v>
      </c>
      <c r="I19">
        <v>0</v>
      </c>
      <c r="J19" t="s">
        <v>6593</v>
      </c>
      <c r="K19" t="s">
        <v>9346</v>
      </c>
      <c r="L19">
        <v>335.7</v>
      </c>
    </row>
    <row r="20" spans="1:12" ht="13.95" customHeight="1">
      <c r="A20" t="s">
        <v>9319</v>
      </c>
      <c r="B20" t="s">
        <v>9324</v>
      </c>
      <c r="C20">
        <v>0</v>
      </c>
      <c r="D20" t="s">
        <v>6516</v>
      </c>
      <c r="E20" t="s">
        <v>9336</v>
      </c>
      <c r="F20">
        <v>71.3</v>
      </c>
      <c r="G20" t="s">
        <v>6551</v>
      </c>
      <c r="H20" t="s">
        <v>9347</v>
      </c>
      <c r="I20">
        <v>1147.9000000000001</v>
      </c>
      <c r="J20" t="s">
        <v>6593</v>
      </c>
      <c r="K20" t="s">
        <v>9347</v>
      </c>
      <c r="L20">
        <v>443.6</v>
      </c>
    </row>
    <row r="21" spans="1:12" ht="13.95" customHeight="1">
      <c r="A21" t="s">
        <v>9319</v>
      </c>
      <c r="B21" t="s">
        <v>9325</v>
      </c>
      <c r="C21">
        <v>0</v>
      </c>
      <c r="D21" t="s">
        <v>6516</v>
      </c>
      <c r="E21" t="s">
        <v>9337</v>
      </c>
      <c r="F21">
        <v>71.2</v>
      </c>
      <c r="G21" t="s">
        <v>6576</v>
      </c>
      <c r="H21" t="s">
        <v>9328</v>
      </c>
      <c r="I21">
        <v>0</v>
      </c>
      <c r="J21" t="s">
        <v>6593</v>
      </c>
      <c r="K21" t="s">
        <v>9348</v>
      </c>
      <c r="L21">
        <v>274.10000000000002</v>
      </c>
    </row>
    <row r="22" spans="1:12" ht="13.95" customHeight="1">
      <c r="A22" t="s">
        <v>9319</v>
      </c>
      <c r="B22" t="s">
        <v>9326</v>
      </c>
      <c r="C22">
        <v>0</v>
      </c>
      <c r="D22" t="s">
        <v>6516</v>
      </c>
      <c r="E22" t="s">
        <v>9338</v>
      </c>
      <c r="F22">
        <v>70.900000000000006</v>
      </c>
      <c r="G22" t="s">
        <v>6576</v>
      </c>
      <c r="H22" t="s">
        <v>9329</v>
      </c>
      <c r="I22">
        <v>245.8</v>
      </c>
      <c r="J22" t="s">
        <v>6593</v>
      </c>
      <c r="K22" t="s">
        <v>9367</v>
      </c>
      <c r="L22">
        <v>601.6</v>
      </c>
    </row>
    <row r="23" spans="1:12" ht="13.95" customHeight="1">
      <c r="A23" t="s">
        <v>9319</v>
      </c>
      <c r="B23" t="s">
        <v>9327</v>
      </c>
      <c r="C23">
        <v>0</v>
      </c>
      <c r="D23" t="s">
        <v>6516</v>
      </c>
      <c r="E23" t="s">
        <v>9339</v>
      </c>
      <c r="F23">
        <v>32.299999999999997</v>
      </c>
      <c r="G23" t="s">
        <v>6576</v>
      </c>
      <c r="H23" t="s">
        <v>9330</v>
      </c>
      <c r="I23">
        <v>0</v>
      </c>
      <c r="J23" t="s">
        <v>6593</v>
      </c>
      <c r="K23" t="s">
        <v>9369</v>
      </c>
      <c r="L23">
        <v>291.2</v>
      </c>
    </row>
    <row r="24" spans="1:12" ht="13.95" customHeight="1">
      <c r="A24" t="s">
        <v>6511</v>
      </c>
      <c r="B24" t="s">
        <v>9328</v>
      </c>
      <c r="C24">
        <v>432.7</v>
      </c>
      <c r="D24" t="s">
        <v>6516</v>
      </c>
      <c r="E24" t="s">
        <v>9343</v>
      </c>
      <c r="F24">
        <v>0</v>
      </c>
      <c r="G24" t="s">
        <v>6576</v>
      </c>
      <c r="H24" t="s">
        <v>9331</v>
      </c>
      <c r="I24">
        <v>470.9</v>
      </c>
      <c r="J24" t="s">
        <v>6593</v>
      </c>
      <c r="K24" t="s">
        <v>9372</v>
      </c>
      <c r="L24">
        <v>606</v>
      </c>
    </row>
    <row r="25" spans="1:12" ht="13.95" customHeight="1">
      <c r="A25" t="s">
        <v>6511</v>
      </c>
      <c r="B25" t="s">
        <v>9329</v>
      </c>
      <c r="C25">
        <v>5922.7</v>
      </c>
      <c r="D25" t="s">
        <v>6516</v>
      </c>
      <c r="E25" t="s">
        <v>9344</v>
      </c>
      <c r="F25">
        <v>0</v>
      </c>
      <c r="G25" t="s">
        <v>6576</v>
      </c>
      <c r="H25" t="s">
        <v>9332</v>
      </c>
      <c r="I25">
        <v>0</v>
      </c>
      <c r="J25" t="s">
        <v>6593</v>
      </c>
      <c r="K25" t="s">
        <v>9374</v>
      </c>
      <c r="L25">
        <v>269.2</v>
      </c>
    </row>
    <row r="26" spans="1:12" ht="13.95" customHeight="1">
      <c r="A26" t="s">
        <v>6511</v>
      </c>
      <c r="B26" t="s">
        <v>9330</v>
      </c>
      <c r="C26">
        <v>5397.3</v>
      </c>
      <c r="D26" t="s">
        <v>6516</v>
      </c>
      <c r="E26" t="s">
        <v>9345</v>
      </c>
      <c r="F26">
        <v>0</v>
      </c>
      <c r="G26" t="s">
        <v>6576</v>
      </c>
      <c r="H26" t="s">
        <v>9333</v>
      </c>
      <c r="I26">
        <v>415.9</v>
      </c>
      <c r="J26" t="s">
        <v>6593</v>
      </c>
      <c r="K26" t="s">
        <v>9376</v>
      </c>
      <c r="L26">
        <v>274.2</v>
      </c>
    </row>
    <row r="27" spans="1:12" ht="13.95" customHeight="1">
      <c r="A27" t="s">
        <v>6511</v>
      </c>
      <c r="B27" t="s">
        <v>9331</v>
      </c>
      <c r="C27">
        <v>5768.5</v>
      </c>
      <c r="D27" t="s">
        <v>6516</v>
      </c>
      <c r="E27" t="s">
        <v>9346</v>
      </c>
      <c r="F27">
        <v>1941.3</v>
      </c>
      <c r="G27" t="s">
        <v>6576</v>
      </c>
      <c r="H27" t="s">
        <v>9334</v>
      </c>
      <c r="I27">
        <v>0</v>
      </c>
      <c r="J27" t="s">
        <v>6593</v>
      </c>
      <c r="K27" t="s">
        <v>9378</v>
      </c>
      <c r="L27">
        <v>421.7</v>
      </c>
    </row>
    <row r="28" spans="1:12" ht="13.95" customHeight="1">
      <c r="A28" t="s">
        <v>6511</v>
      </c>
      <c r="B28" t="s">
        <v>9332</v>
      </c>
      <c r="C28">
        <v>6665.1</v>
      </c>
      <c r="D28" t="s">
        <v>6516</v>
      </c>
      <c r="E28" t="s">
        <v>9347</v>
      </c>
      <c r="F28">
        <v>0</v>
      </c>
      <c r="G28" t="s">
        <v>6576</v>
      </c>
      <c r="H28" t="s">
        <v>9335</v>
      </c>
      <c r="I28">
        <v>739.9</v>
      </c>
      <c r="J28" t="s">
        <v>6593</v>
      </c>
      <c r="K28" t="s">
        <v>9380</v>
      </c>
      <c r="L28">
        <v>289.3</v>
      </c>
    </row>
    <row r="29" spans="1:12" ht="13.95" customHeight="1">
      <c r="A29" t="s">
        <v>6511</v>
      </c>
      <c r="B29" t="s">
        <v>9333</v>
      </c>
      <c r="C29">
        <v>3615.3</v>
      </c>
      <c r="D29" t="s">
        <v>6516</v>
      </c>
      <c r="E29" t="s">
        <v>9348</v>
      </c>
      <c r="F29">
        <v>1485.9</v>
      </c>
      <c r="G29" t="s">
        <v>6576</v>
      </c>
      <c r="H29" t="s">
        <v>9336</v>
      </c>
      <c r="I29">
        <v>0</v>
      </c>
      <c r="J29" t="s">
        <v>6593</v>
      </c>
      <c r="K29" t="s">
        <v>9382</v>
      </c>
      <c r="L29">
        <v>521.70000000000005</v>
      </c>
    </row>
    <row r="30" spans="1:12" ht="13.95" customHeight="1">
      <c r="A30" t="s">
        <v>6511</v>
      </c>
      <c r="B30" t="s">
        <v>9334</v>
      </c>
      <c r="C30">
        <v>1834.4</v>
      </c>
      <c r="D30" t="s">
        <v>6517</v>
      </c>
      <c r="E30" t="s">
        <v>9314</v>
      </c>
      <c r="F30">
        <v>71.5</v>
      </c>
      <c r="G30" t="s">
        <v>6576</v>
      </c>
      <c r="H30" t="s">
        <v>9337</v>
      </c>
      <c r="I30">
        <v>1272.0999999999999</v>
      </c>
      <c r="J30" t="s">
        <v>6593</v>
      </c>
      <c r="K30" t="s">
        <v>9383</v>
      </c>
      <c r="L30">
        <v>535.20000000000005</v>
      </c>
    </row>
    <row r="31" spans="1:12" ht="13.95" customHeight="1">
      <c r="A31" t="s">
        <v>6511</v>
      </c>
      <c r="B31" t="s">
        <v>9335</v>
      </c>
      <c r="C31">
        <v>0</v>
      </c>
      <c r="D31" t="s">
        <v>6517</v>
      </c>
      <c r="E31" t="s">
        <v>9315</v>
      </c>
      <c r="F31">
        <v>71.7</v>
      </c>
      <c r="G31" t="s">
        <v>6576</v>
      </c>
      <c r="H31" t="s">
        <v>9338</v>
      </c>
      <c r="I31">
        <v>0</v>
      </c>
      <c r="J31" t="s">
        <v>6593</v>
      </c>
      <c r="K31" t="s">
        <v>9384</v>
      </c>
      <c r="L31">
        <v>847.7</v>
      </c>
    </row>
    <row r="32" spans="1:12" ht="13.95" customHeight="1">
      <c r="A32" t="s">
        <v>6511</v>
      </c>
      <c r="B32" t="s">
        <v>9336</v>
      </c>
      <c r="C32">
        <v>0</v>
      </c>
      <c r="D32" t="s">
        <v>6517</v>
      </c>
      <c r="E32" t="s">
        <v>9316</v>
      </c>
      <c r="F32">
        <v>68.400000000000006</v>
      </c>
      <c r="G32" t="s">
        <v>6576</v>
      </c>
      <c r="H32" t="s">
        <v>9339</v>
      </c>
      <c r="I32">
        <v>1204.5</v>
      </c>
      <c r="J32" t="s">
        <v>6593</v>
      </c>
      <c r="K32" t="s">
        <v>9385</v>
      </c>
      <c r="L32">
        <v>0</v>
      </c>
    </row>
    <row r="33" spans="1:12" ht="13.95" customHeight="1">
      <c r="A33" t="s">
        <v>9547</v>
      </c>
      <c r="B33" t="s">
        <v>9548</v>
      </c>
      <c r="C33">
        <v>244.4</v>
      </c>
      <c r="D33" t="s">
        <v>6517</v>
      </c>
      <c r="E33" t="s">
        <v>9317</v>
      </c>
      <c r="F33">
        <v>0</v>
      </c>
      <c r="G33" t="s">
        <v>6576</v>
      </c>
      <c r="H33" t="s">
        <v>9343</v>
      </c>
      <c r="I33">
        <v>0</v>
      </c>
      <c r="J33" t="s">
        <v>6593</v>
      </c>
      <c r="K33" t="s">
        <v>9386</v>
      </c>
      <c r="L33">
        <v>41.8</v>
      </c>
    </row>
    <row r="34" spans="1:12" ht="13.95" customHeight="1">
      <c r="A34" t="s">
        <v>6506</v>
      </c>
      <c r="B34" t="s">
        <v>9329</v>
      </c>
      <c r="C34">
        <v>5521.9</v>
      </c>
      <c r="D34" t="s">
        <v>6518</v>
      </c>
      <c r="E34" t="s">
        <v>9328</v>
      </c>
      <c r="F34">
        <v>0</v>
      </c>
      <c r="G34" t="s">
        <v>6576</v>
      </c>
      <c r="H34" t="s">
        <v>9344</v>
      </c>
      <c r="I34">
        <v>857.9</v>
      </c>
      <c r="J34" t="s">
        <v>6593</v>
      </c>
      <c r="K34" t="s">
        <v>9387</v>
      </c>
      <c r="L34">
        <v>685.7</v>
      </c>
    </row>
    <row r="35" spans="1:12" ht="13.95" customHeight="1">
      <c r="A35" t="s">
        <v>6506</v>
      </c>
      <c r="B35" t="s">
        <v>9330</v>
      </c>
      <c r="C35">
        <v>5103</v>
      </c>
      <c r="D35" t="s">
        <v>6518</v>
      </c>
      <c r="E35" t="s">
        <v>9349</v>
      </c>
      <c r="F35">
        <v>33.9</v>
      </c>
      <c r="G35" t="s">
        <v>6576</v>
      </c>
      <c r="H35" t="s">
        <v>9345</v>
      </c>
      <c r="I35">
        <v>0</v>
      </c>
      <c r="J35" t="s">
        <v>6593</v>
      </c>
      <c r="K35" t="s">
        <v>9388</v>
      </c>
      <c r="L35">
        <v>292.8</v>
      </c>
    </row>
    <row r="36" spans="1:12" ht="13.95" customHeight="1">
      <c r="A36" t="s">
        <v>6506</v>
      </c>
      <c r="B36" t="s">
        <v>9331</v>
      </c>
      <c r="C36">
        <v>5540</v>
      </c>
      <c r="D36" t="s">
        <v>6518</v>
      </c>
      <c r="E36" t="s">
        <v>9329</v>
      </c>
      <c r="F36">
        <v>0</v>
      </c>
      <c r="G36" t="s">
        <v>6576</v>
      </c>
      <c r="H36" t="s">
        <v>9346</v>
      </c>
      <c r="I36">
        <v>761.8</v>
      </c>
      <c r="J36" t="s">
        <v>6593</v>
      </c>
      <c r="K36" t="s">
        <v>9389</v>
      </c>
      <c r="L36">
        <v>1390.8</v>
      </c>
    </row>
    <row r="37" spans="1:12" ht="13.95" customHeight="1">
      <c r="A37" t="s">
        <v>6506</v>
      </c>
      <c r="B37" t="s">
        <v>9332</v>
      </c>
      <c r="C37">
        <v>6614.9</v>
      </c>
      <c r="D37" t="s">
        <v>6518</v>
      </c>
      <c r="E37" t="s">
        <v>9350</v>
      </c>
      <c r="F37">
        <v>0</v>
      </c>
      <c r="G37" t="s">
        <v>6576</v>
      </c>
      <c r="H37" t="s">
        <v>9347</v>
      </c>
      <c r="I37">
        <v>0</v>
      </c>
      <c r="J37" t="s">
        <v>6593</v>
      </c>
      <c r="K37" t="s">
        <v>9390</v>
      </c>
      <c r="L37">
        <v>0</v>
      </c>
    </row>
    <row r="38" spans="1:12" ht="13.95" customHeight="1">
      <c r="A38" t="s">
        <v>6506</v>
      </c>
      <c r="B38" t="s">
        <v>9333</v>
      </c>
      <c r="C38">
        <v>1846.1</v>
      </c>
      <c r="D38" t="s">
        <v>6518</v>
      </c>
      <c r="E38" t="s">
        <v>9330</v>
      </c>
      <c r="F38">
        <v>0</v>
      </c>
      <c r="G38" t="s">
        <v>6576</v>
      </c>
      <c r="H38" t="s">
        <v>9348</v>
      </c>
      <c r="I38">
        <v>0</v>
      </c>
      <c r="J38" t="s">
        <v>6593</v>
      </c>
      <c r="K38" t="s">
        <v>9391</v>
      </c>
      <c r="L38">
        <v>1086.2</v>
      </c>
    </row>
    <row r="39" spans="1:12" ht="13.95" customHeight="1">
      <c r="A39" t="s">
        <v>6506</v>
      </c>
      <c r="B39" t="s">
        <v>9334</v>
      </c>
      <c r="C39">
        <v>4479.1000000000004</v>
      </c>
      <c r="D39" t="s">
        <v>6518</v>
      </c>
      <c r="E39" t="s">
        <v>9351</v>
      </c>
      <c r="F39">
        <v>0</v>
      </c>
      <c r="G39" t="s">
        <v>6576</v>
      </c>
      <c r="H39" t="s">
        <v>9367</v>
      </c>
      <c r="I39">
        <v>0</v>
      </c>
      <c r="J39" t="s">
        <v>6593</v>
      </c>
      <c r="K39" t="s">
        <v>9392</v>
      </c>
      <c r="L39">
        <v>0</v>
      </c>
    </row>
    <row r="40" spans="1:12" ht="13.95" customHeight="1">
      <c r="A40" t="s">
        <v>6506</v>
      </c>
      <c r="B40" t="s">
        <v>9335</v>
      </c>
      <c r="C40">
        <v>0</v>
      </c>
      <c r="D40" t="s">
        <v>6518</v>
      </c>
      <c r="E40" t="s">
        <v>9331</v>
      </c>
      <c r="F40">
        <v>0</v>
      </c>
      <c r="G40" t="s">
        <v>6576</v>
      </c>
      <c r="H40" t="s">
        <v>9369</v>
      </c>
      <c r="I40">
        <v>0</v>
      </c>
      <c r="J40" t="s">
        <v>6593</v>
      </c>
      <c r="K40" t="s">
        <v>9393</v>
      </c>
      <c r="L40">
        <v>0</v>
      </c>
    </row>
    <row r="41" spans="1:12" ht="13.95" customHeight="1">
      <c r="A41" t="s">
        <v>6506</v>
      </c>
      <c r="B41" t="s">
        <v>9336</v>
      </c>
      <c r="C41">
        <v>0</v>
      </c>
      <c r="D41" t="s">
        <v>6518</v>
      </c>
      <c r="E41" t="s">
        <v>9352</v>
      </c>
      <c r="F41">
        <v>223.6</v>
      </c>
      <c r="G41" t="s">
        <v>6576</v>
      </c>
      <c r="H41" t="s">
        <v>9372</v>
      </c>
      <c r="I41">
        <v>0</v>
      </c>
      <c r="J41" t="s">
        <v>6593</v>
      </c>
      <c r="K41" t="s">
        <v>9394</v>
      </c>
      <c r="L41">
        <v>395.2</v>
      </c>
    </row>
    <row r="42" spans="1:12" ht="13.95" customHeight="1">
      <c r="A42" t="s">
        <v>6512</v>
      </c>
      <c r="B42" t="s">
        <v>9328</v>
      </c>
      <c r="C42">
        <v>0</v>
      </c>
      <c r="D42" t="s">
        <v>6518</v>
      </c>
      <c r="E42" t="s">
        <v>9332</v>
      </c>
      <c r="F42">
        <v>0</v>
      </c>
      <c r="G42" t="s">
        <v>6576</v>
      </c>
      <c r="H42" t="s">
        <v>9374</v>
      </c>
      <c r="I42">
        <v>0</v>
      </c>
      <c r="J42" t="s">
        <v>6593</v>
      </c>
      <c r="K42" t="s">
        <v>9395</v>
      </c>
      <c r="L42">
        <v>140.80000000000001</v>
      </c>
    </row>
    <row r="43" spans="1:12" ht="13.95" customHeight="1">
      <c r="A43" t="s">
        <v>6512</v>
      </c>
      <c r="B43" t="s">
        <v>9329</v>
      </c>
      <c r="C43">
        <v>5187.8999999999996</v>
      </c>
      <c r="D43" t="s">
        <v>6518</v>
      </c>
      <c r="E43" t="s">
        <v>9353</v>
      </c>
      <c r="F43">
        <v>0</v>
      </c>
      <c r="G43" t="s">
        <v>6576</v>
      </c>
      <c r="H43" t="s">
        <v>9376</v>
      </c>
      <c r="I43">
        <v>0</v>
      </c>
      <c r="J43" t="s">
        <v>6593</v>
      </c>
      <c r="K43" t="s">
        <v>9396</v>
      </c>
      <c r="L43">
        <v>479</v>
      </c>
    </row>
    <row r="44" spans="1:12" ht="13.95" customHeight="1">
      <c r="A44" t="s">
        <v>6512</v>
      </c>
      <c r="B44" t="s">
        <v>9330</v>
      </c>
      <c r="C44">
        <v>4489.5</v>
      </c>
      <c r="D44" t="s">
        <v>6518</v>
      </c>
      <c r="E44" t="s">
        <v>9333</v>
      </c>
      <c r="F44">
        <v>2016.1</v>
      </c>
      <c r="G44" t="s">
        <v>6576</v>
      </c>
      <c r="H44" t="s">
        <v>9378</v>
      </c>
      <c r="I44">
        <v>0</v>
      </c>
      <c r="J44" t="s">
        <v>6593</v>
      </c>
      <c r="K44" t="s">
        <v>9397</v>
      </c>
      <c r="L44">
        <v>128.30000000000001</v>
      </c>
    </row>
    <row r="45" spans="1:12" ht="13.95" customHeight="1">
      <c r="A45" t="s">
        <v>6512</v>
      </c>
      <c r="B45" t="s">
        <v>9331</v>
      </c>
      <c r="C45">
        <v>0</v>
      </c>
      <c r="D45" t="s">
        <v>6518</v>
      </c>
      <c r="E45" t="s">
        <v>9354</v>
      </c>
      <c r="F45">
        <v>0</v>
      </c>
      <c r="G45" t="s">
        <v>6576</v>
      </c>
      <c r="H45" t="s">
        <v>9380</v>
      </c>
      <c r="I45">
        <v>73.400000000000006</v>
      </c>
      <c r="J45" t="s">
        <v>6593</v>
      </c>
      <c r="K45" t="s">
        <v>9398</v>
      </c>
      <c r="L45">
        <v>503</v>
      </c>
    </row>
    <row r="46" spans="1:12" ht="13.95" customHeight="1">
      <c r="A46" t="s">
        <v>6512</v>
      </c>
      <c r="B46" t="s">
        <v>9332</v>
      </c>
      <c r="C46">
        <v>1023.4</v>
      </c>
      <c r="D46" t="s">
        <v>6518</v>
      </c>
      <c r="E46" t="s">
        <v>9334</v>
      </c>
      <c r="F46">
        <v>1778.6</v>
      </c>
      <c r="G46" t="s">
        <v>6576</v>
      </c>
      <c r="H46" t="s">
        <v>9382</v>
      </c>
      <c r="I46">
        <v>0</v>
      </c>
      <c r="J46" t="s">
        <v>6593</v>
      </c>
      <c r="K46" t="s">
        <v>9399</v>
      </c>
      <c r="L46">
        <v>0</v>
      </c>
    </row>
    <row r="47" spans="1:12" ht="13.95" customHeight="1">
      <c r="A47" t="s">
        <v>6512</v>
      </c>
      <c r="B47" t="s">
        <v>9333</v>
      </c>
      <c r="C47">
        <v>1539.5</v>
      </c>
      <c r="D47" t="s">
        <v>6518</v>
      </c>
      <c r="E47" t="s">
        <v>9355</v>
      </c>
      <c r="F47">
        <v>0</v>
      </c>
      <c r="G47" t="s">
        <v>6576</v>
      </c>
      <c r="H47" t="s">
        <v>9383</v>
      </c>
      <c r="I47">
        <v>305.2</v>
      </c>
      <c r="J47" t="s">
        <v>6593</v>
      </c>
      <c r="K47" t="s">
        <v>9400</v>
      </c>
      <c r="L47">
        <v>1040.7</v>
      </c>
    </row>
    <row r="48" spans="1:12" ht="13.95" customHeight="1">
      <c r="A48" t="s">
        <v>6512</v>
      </c>
      <c r="B48" t="s">
        <v>9334</v>
      </c>
      <c r="C48">
        <v>4407.2</v>
      </c>
      <c r="D48" t="s">
        <v>6518</v>
      </c>
      <c r="E48" t="s">
        <v>9335</v>
      </c>
      <c r="F48">
        <v>2145.4</v>
      </c>
      <c r="G48" t="s">
        <v>6576</v>
      </c>
      <c r="H48" t="s">
        <v>9384</v>
      </c>
      <c r="I48">
        <v>0</v>
      </c>
      <c r="J48" t="s">
        <v>6593</v>
      </c>
      <c r="K48" t="s">
        <v>9401</v>
      </c>
      <c r="L48">
        <v>0</v>
      </c>
    </row>
    <row r="49" spans="1:12" ht="13.95" customHeight="1">
      <c r="A49" t="s">
        <v>6512</v>
      </c>
      <c r="B49" t="s">
        <v>9335</v>
      </c>
      <c r="C49">
        <v>2694.9</v>
      </c>
      <c r="D49" t="s">
        <v>6518</v>
      </c>
      <c r="E49" t="s">
        <v>9356</v>
      </c>
      <c r="F49">
        <v>0</v>
      </c>
      <c r="G49" t="s">
        <v>6576</v>
      </c>
      <c r="H49" t="s">
        <v>9385</v>
      </c>
      <c r="I49">
        <v>0</v>
      </c>
      <c r="J49" t="s">
        <v>6593</v>
      </c>
      <c r="K49" t="s">
        <v>9402</v>
      </c>
      <c r="L49">
        <v>0</v>
      </c>
    </row>
    <row r="50" spans="1:12" ht="13.95" customHeight="1">
      <c r="A50" t="s">
        <v>6512</v>
      </c>
      <c r="B50" t="s">
        <v>9336</v>
      </c>
      <c r="C50">
        <v>0</v>
      </c>
      <c r="D50" t="s">
        <v>6518</v>
      </c>
      <c r="E50" t="s">
        <v>9336</v>
      </c>
      <c r="F50">
        <v>0</v>
      </c>
      <c r="G50" t="s">
        <v>6576</v>
      </c>
      <c r="H50" t="s">
        <v>9386</v>
      </c>
      <c r="I50">
        <v>0</v>
      </c>
      <c r="J50" t="s">
        <v>6593</v>
      </c>
      <c r="K50" t="s">
        <v>9403</v>
      </c>
      <c r="L50">
        <v>0</v>
      </c>
    </row>
    <row r="51" spans="1:12" ht="13.95" customHeight="1">
      <c r="A51" t="s">
        <v>6507</v>
      </c>
      <c r="B51" t="s">
        <v>9328</v>
      </c>
      <c r="C51">
        <v>0</v>
      </c>
      <c r="D51" t="s">
        <v>6518</v>
      </c>
      <c r="E51" t="s">
        <v>9357</v>
      </c>
      <c r="F51">
        <v>0</v>
      </c>
      <c r="G51" t="s">
        <v>6576</v>
      </c>
      <c r="H51" t="s">
        <v>9387</v>
      </c>
      <c r="I51">
        <v>3</v>
      </c>
      <c r="J51" t="s">
        <v>6593</v>
      </c>
      <c r="K51" t="s">
        <v>9404</v>
      </c>
      <c r="L51">
        <v>283.7</v>
      </c>
    </row>
    <row r="52" spans="1:12" ht="13.95" customHeight="1">
      <c r="A52" t="s">
        <v>6507</v>
      </c>
      <c r="B52" t="s">
        <v>9329</v>
      </c>
      <c r="C52">
        <v>6292.2</v>
      </c>
      <c r="D52" t="s">
        <v>6518</v>
      </c>
      <c r="E52" t="s">
        <v>9337</v>
      </c>
      <c r="F52">
        <v>0</v>
      </c>
      <c r="G52" t="s">
        <v>6576</v>
      </c>
      <c r="H52" t="s">
        <v>9388</v>
      </c>
      <c r="I52">
        <v>0</v>
      </c>
      <c r="J52" t="s">
        <v>6593</v>
      </c>
      <c r="K52" t="s">
        <v>9405</v>
      </c>
      <c r="L52">
        <v>0</v>
      </c>
    </row>
    <row r="53" spans="1:12" ht="13.95" customHeight="1">
      <c r="A53" t="s">
        <v>6507</v>
      </c>
      <c r="B53" t="s">
        <v>9330</v>
      </c>
      <c r="C53">
        <v>4557.3999999999996</v>
      </c>
      <c r="D53" t="s">
        <v>6518</v>
      </c>
      <c r="E53" t="s">
        <v>9358</v>
      </c>
      <c r="F53">
        <v>0</v>
      </c>
      <c r="G53" t="s">
        <v>6576</v>
      </c>
      <c r="H53" t="s">
        <v>9389</v>
      </c>
      <c r="I53">
        <v>1.8</v>
      </c>
      <c r="J53" t="s">
        <v>6593</v>
      </c>
      <c r="K53" t="s">
        <v>9406</v>
      </c>
      <c r="L53">
        <v>0</v>
      </c>
    </row>
    <row r="54" spans="1:12" ht="13.95" customHeight="1">
      <c r="A54" t="s">
        <v>6507</v>
      </c>
      <c r="B54" t="s">
        <v>9331</v>
      </c>
      <c r="C54">
        <v>0</v>
      </c>
      <c r="D54" t="s">
        <v>6518</v>
      </c>
      <c r="E54" t="s">
        <v>9338</v>
      </c>
      <c r="F54">
        <v>127.6</v>
      </c>
      <c r="G54" t="s">
        <v>6576</v>
      </c>
      <c r="H54" t="s">
        <v>9390</v>
      </c>
      <c r="I54">
        <v>0</v>
      </c>
      <c r="J54" t="s">
        <v>6593</v>
      </c>
      <c r="K54" t="s">
        <v>9407</v>
      </c>
      <c r="L54">
        <v>0</v>
      </c>
    </row>
    <row r="55" spans="1:12" ht="13.95" customHeight="1">
      <c r="A55" t="s">
        <v>6507</v>
      </c>
      <c r="B55" t="s">
        <v>9332</v>
      </c>
      <c r="C55">
        <v>1526.8</v>
      </c>
      <c r="D55" t="s">
        <v>6518</v>
      </c>
      <c r="E55" t="s">
        <v>9359</v>
      </c>
      <c r="F55">
        <v>0</v>
      </c>
      <c r="G55" t="s">
        <v>6576</v>
      </c>
      <c r="H55" t="s">
        <v>9391</v>
      </c>
      <c r="I55">
        <v>11</v>
      </c>
      <c r="J55" t="s">
        <v>6593</v>
      </c>
      <c r="K55" t="s">
        <v>9408</v>
      </c>
      <c r="L55">
        <v>0</v>
      </c>
    </row>
    <row r="56" spans="1:12" ht="13.95" customHeight="1">
      <c r="A56" t="s">
        <v>6507</v>
      </c>
      <c r="B56" t="s">
        <v>9333</v>
      </c>
      <c r="C56">
        <v>2287.6</v>
      </c>
      <c r="D56" t="s">
        <v>6518</v>
      </c>
      <c r="E56" t="s">
        <v>9339</v>
      </c>
      <c r="F56">
        <v>191.5</v>
      </c>
      <c r="G56" t="s">
        <v>6576</v>
      </c>
      <c r="H56" t="s">
        <v>9392</v>
      </c>
      <c r="I56">
        <v>151.1</v>
      </c>
      <c r="J56" t="s">
        <v>6593</v>
      </c>
      <c r="K56" t="s">
        <v>9409</v>
      </c>
      <c r="L56">
        <v>0</v>
      </c>
    </row>
    <row r="57" spans="1:12" ht="13.95" customHeight="1">
      <c r="A57" t="s">
        <v>6507</v>
      </c>
      <c r="B57" t="s">
        <v>9334</v>
      </c>
      <c r="C57">
        <v>3181.8</v>
      </c>
      <c r="D57" t="s">
        <v>6518</v>
      </c>
      <c r="E57" t="s">
        <v>9360</v>
      </c>
      <c r="F57">
        <v>0</v>
      </c>
      <c r="G57" t="s">
        <v>6576</v>
      </c>
      <c r="H57" t="s">
        <v>9393</v>
      </c>
      <c r="I57">
        <v>0</v>
      </c>
      <c r="J57" t="s">
        <v>6593</v>
      </c>
      <c r="K57" t="s">
        <v>9410</v>
      </c>
      <c r="L57">
        <v>43.2</v>
      </c>
    </row>
    <row r="58" spans="1:12" ht="13.95" customHeight="1">
      <c r="A58" t="s">
        <v>6507</v>
      </c>
      <c r="B58" t="s">
        <v>9335</v>
      </c>
      <c r="C58">
        <v>3332.2</v>
      </c>
      <c r="D58" t="s">
        <v>6518</v>
      </c>
      <c r="E58" t="s">
        <v>9343</v>
      </c>
      <c r="F58">
        <v>233.9</v>
      </c>
      <c r="G58" t="s">
        <v>6576</v>
      </c>
      <c r="H58" t="s">
        <v>9394</v>
      </c>
      <c r="I58">
        <v>0</v>
      </c>
      <c r="J58" t="s">
        <v>6592</v>
      </c>
      <c r="K58" t="s">
        <v>9328</v>
      </c>
      <c r="L58">
        <v>0</v>
      </c>
    </row>
    <row r="59" spans="1:12" ht="13.95" customHeight="1">
      <c r="A59" t="s">
        <v>6507</v>
      </c>
      <c r="B59" t="s">
        <v>9336</v>
      </c>
      <c r="C59">
        <v>0</v>
      </c>
      <c r="D59" t="s">
        <v>6518</v>
      </c>
      <c r="E59" t="s">
        <v>9361</v>
      </c>
      <c r="F59">
        <v>0</v>
      </c>
      <c r="G59" t="s">
        <v>6576</v>
      </c>
      <c r="H59" t="s">
        <v>9395</v>
      </c>
      <c r="I59">
        <v>0</v>
      </c>
      <c r="J59" t="s">
        <v>6592</v>
      </c>
      <c r="K59" t="s">
        <v>9329</v>
      </c>
      <c r="L59">
        <v>0</v>
      </c>
    </row>
    <row r="60" spans="1:12" ht="13.95" customHeight="1">
      <c r="A60" t="s">
        <v>6513</v>
      </c>
      <c r="B60" t="s">
        <v>9328</v>
      </c>
      <c r="C60">
        <v>1416.6</v>
      </c>
      <c r="D60" t="s">
        <v>6518</v>
      </c>
      <c r="E60" t="s">
        <v>9344</v>
      </c>
      <c r="F60">
        <v>0</v>
      </c>
      <c r="G60" t="s">
        <v>6576</v>
      </c>
      <c r="H60" t="s">
        <v>9396</v>
      </c>
      <c r="I60">
        <v>0</v>
      </c>
      <c r="J60" t="s">
        <v>6592</v>
      </c>
      <c r="K60" t="s">
        <v>9330</v>
      </c>
      <c r="L60">
        <v>726.1</v>
      </c>
    </row>
    <row r="61" spans="1:12" ht="13.95" customHeight="1">
      <c r="A61" t="s">
        <v>6513</v>
      </c>
      <c r="B61" t="s">
        <v>9329</v>
      </c>
      <c r="C61">
        <v>0</v>
      </c>
      <c r="D61" t="s">
        <v>6518</v>
      </c>
      <c r="E61" t="s">
        <v>9362</v>
      </c>
      <c r="F61">
        <v>0</v>
      </c>
      <c r="G61" t="s">
        <v>6576</v>
      </c>
      <c r="H61" t="s">
        <v>9397</v>
      </c>
      <c r="I61">
        <v>119.1</v>
      </c>
      <c r="J61" t="s">
        <v>6592</v>
      </c>
      <c r="K61" t="s">
        <v>9331</v>
      </c>
      <c r="L61">
        <v>0</v>
      </c>
    </row>
    <row r="62" spans="1:12" ht="13.95" customHeight="1">
      <c r="A62" t="s">
        <v>6513</v>
      </c>
      <c r="B62" t="s">
        <v>9330</v>
      </c>
      <c r="C62">
        <v>1150.5999999999999</v>
      </c>
      <c r="D62" t="s">
        <v>6518</v>
      </c>
      <c r="E62" t="s">
        <v>9345</v>
      </c>
      <c r="F62">
        <v>0</v>
      </c>
      <c r="G62" t="s">
        <v>6576</v>
      </c>
      <c r="H62" t="s">
        <v>9398</v>
      </c>
      <c r="I62">
        <v>624.5</v>
      </c>
      <c r="J62" t="s">
        <v>6592</v>
      </c>
      <c r="K62" t="s">
        <v>9332</v>
      </c>
      <c r="L62">
        <v>0</v>
      </c>
    </row>
    <row r="63" spans="1:12" ht="13.95" customHeight="1">
      <c r="A63" t="s">
        <v>6513</v>
      </c>
      <c r="B63" t="s">
        <v>9331</v>
      </c>
      <c r="C63">
        <v>1071.0999999999999</v>
      </c>
      <c r="D63" t="s">
        <v>6518</v>
      </c>
      <c r="E63" t="s">
        <v>9363</v>
      </c>
      <c r="F63">
        <v>0</v>
      </c>
      <c r="G63" t="s">
        <v>6576</v>
      </c>
      <c r="H63" t="s">
        <v>9399</v>
      </c>
      <c r="I63">
        <v>732.7</v>
      </c>
      <c r="J63" t="s">
        <v>6592</v>
      </c>
      <c r="K63" t="s">
        <v>9333</v>
      </c>
      <c r="L63">
        <v>0</v>
      </c>
    </row>
    <row r="64" spans="1:12" ht="13.95" customHeight="1">
      <c r="A64" t="s">
        <v>6513</v>
      </c>
      <c r="B64" t="s">
        <v>9332</v>
      </c>
      <c r="C64">
        <v>0</v>
      </c>
      <c r="D64" t="s">
        <v>6518</v>
      </c>
      <c r="E64" t="s">
        <v>9346</v>
      </c>
      <c r="F64">
        <v>0</v>
      </c>
      <c r="G64" t="s">
        <v>6576</v>
      </c>
      <c r="H64" t="s">
        <v>9400</v>
      </c>
      <c r="I64">
        <v>0</v>
      </c>
      <c r="J64" t="s">
        <v>6592</v>
      </c>
      <c r="K64" t="s">
        <v>9334</v>
      </c>
      <c r="L64">
        <v>909.2</v>
      </c>
    </row>
    <row r="65" spans="1:12" ht="13.95" customHeight="1">
      <c r="A65" t="s">
        <v>6513</v>
      </c>
      <c r="B65" t="s">
        <v>9333</v>
      </c>
      <c r="C65">
        <v>1773.7</v>
      </c>
      <c r="D65" t="s">
        <v>6518</v>
      </c>
      <c r="E65" t="s">
        <v>9364</v>
      </c>
      <c r="F65">
        <v>0</v>
      </c>
      <c r="G65" t="s">
        <v>6576</v>
      </c>
      <c r="H65" t="s">
        <v>9401</v>
      </c>
      <c r="I65">
        <v>0</v>
      </c>
      <c r="J65" t="s">
        <v>6592</v>
      </c>
      <c r="K65" t="s">
        <v>9335</v>
      </c>
      <c r="L65">
        <v>0</v>
      </c>
    </row>
    <row r="66" spans="1:12" ht="13.95" customHeight="1">
      <c r="A66" t="s">
        <v>6513</v>
      </c>
      <c r="B66" t="s">
        <v>9334</v>
      </c>
      <c r="C66">
        <v>957.2</v>
      </c>
      <c r="D66" t="s">
        <v>6518</v>
      </c>
      <c r="E66" t="s">
        <v>9347</v>
      </c>
      <c r="F66">
        <v>1814.7</v>
      </c>
      <c r="G66" t="s">
        <v>6576</v>
      </c>
      <c r="H66" t="s">
        <v>9402</v>
      </c>
      <c r="I66">
        <v>77.599999999999994</v>
      </c>
      <c r="J66" t="s">
        <v>6592</v>
      </c>
      <c r="K66" t="s">
        <v>9336</v>
      </c>
      <c r="L66">
        <v>947.3</v>
      </c>
    </row>
    <row r="67" spans="1:12" ht="13.95" customHeight="1">
      <c r="A67" t="s">
        <v>6513</v>
      </c>
      <c r="B67" t="s">
        <v>9335</v>
      </c>
      <c r="C67">
        <v>1988.5</v>
      </c>
      <c r="D67" t="s">
        <v>6518</v>
      </c>
      <c r="E67" t="s">
        <v>9365</v>
      </c>
      <c r="F67">
        <v>0</v>
      </c>
      <c r="G67" t="s">
        <v>6576</v>
      </c>
      <c r="H67" t="s">
        <v>9403</v>
      </c>
      <c r="I67">
        <v>0</v>
      </c>
      <c r="J67" t="s">
        <v>6592</v>
      </c>
      <c r="K67" t="s">
        <v>9337</v>
      </c>
      <c r="L67">
        <v>495.3</v>
      </c>
    </row>
    <row r="68" spans="1:12" ht="13.95" customHeight="1">
      <c r="A68" t="s">
        <v>6513</v>
      </c>
      <c r="B68" t="s">
        <v>9336</v>
      </c>
      <c r="C68">
        <v>0</v>
      </c>
      <c r="D68" t="s">
        <v>6518</v>
      </c>
      <c r="E68" t="s">
        <v>9348</v>
      </c>
      <c r="F68">
        <v>1628.8</v>
      </c>
      <c r="G68" t="s">
        <v>6576</v>
      </c>
      <c r="H68" t="s">
        <v>9404</v>
      </c>
      <c r="I68">
        <v>0</v>
      </c>
      <c r="J68" t="s">
        <v>6592</v>
      </c>
      <c r="K68" t="s">
        <v>9338</v>
      </c>
      <c r="L68">
        <v>807.7</v>
      </c>
    </row>
    <row r="69" spans="1:12" ht="13.95" customHeight="1">
      <c r="A69" t="s">
        <v>6513</v>
      </c>
      <c r="B69" t="s">
        <v>9337</v>
      </c>
      <c r="C69">
        <v>4921.3999999999996</v>
      </c>
      <c r="D69" t="s">
        <v>6518</v>
      </c>
      <c r="E69" t="s">
        <v>9366</v>
      </c>
      <c r="F69">
        <v>0</v>
      </c>
      <c r="G69" t="s">
        <v>6576</v>
      </c>
      <c r="H69" t="s">
        <v>9405</v>
      </c>
      <c r="I69">
        <v>1179</v>
      </c>
      <c r="J69" t="s">
        <v>6592</v>
      </c>
      <c r="K69" t="s">
        <v>9339</v>
      </c>
      <c r="L69">
        <v>0</v>
      </c>
    </row>
    <row r="70" spans="1:12" ht="13.95" customHeight="1">
      <c r="A70" t="s">
        <v>6513</v>
      </c>
      <c r="B70" t="s">
        <v>9338</v>
      </c>
      <c r="C70">
        <v>0</v>
      </c>
      <c r="D70" t="s">
        <v>6518</v>
      </c>
      <c r="E70" t="s">
        <v>9367</v>
      </c>
      <c r="F70">
        <v>1929.5</v>
      </c>
      <c r="G70" t="s">
        <v>6576</v>
      </c>
      <c r="H70" t="s">
        <v>9406</v>
      </c>
      <c r="I70">
        <v>0</v>
      </c>
      <c r="J70" t="s">
        <v>6592</v>
      </c>
      <c r="K70" t="s">
        <v>9343</v>
      </c>
      <c r="L70">
        <v>813</v>
      </c>
    </row>
    <row r="71" spans="1:12" ht="13.95" customHeight="1">
      <c r="A71" t="s">
        <v>6513</v>
      </c>
      <c r="B71" t="s">
        <v>9339</v>
      </c>
      <c r="C71">
        <v>0</v>
      </c>
      <c r="D71" t="s">
        <v>6518</v>
      </c>
      <c r="E71" t="s">
        <v>9368</v>
      </c>
      <c r="F71">
        <v>0</v>
      </c>
      <c r="G71" t="s">
        <v>6577</v>
      </c>
      <c r="H71" t="s">
        <v>9328</v>
      </c>
      <c r="I71">
        <v>0</v>
      </c>
      <c r="J71" t="s">
        <v>6592</v>
      </c>
      <c r="K71" t="s">
        <v>9344</v>
      </c>
      <c r="L71">
        <v>364.9</v>
      </c>
    </row>
    <row r="72" spans="1:12" ht="13.95" customHeight="1">
      <c r="A72" t="s">
        <v>6508</v>
      </c>
      <c r="B72" t="s">
        <v>9328</v>
      </c>
      <c r="C72">
        <v>1654.7</v>
      </c>
      <c r="D72" t="s">
        <v>6518</v>
      </c>
      <c r="E72" t="s">
        <v>9369</v>
      </c>
      <c r="F72">
        <v>1572.1</v>
      </c>
      <c r="G72" t="s">
        <v>6577</v>
      </c>
      <c r="H72" t="s">
        <v>9329</v>
      </c>
      <c r="I72">
        <v>174.4</v>
      </c>
      <c r="J72" t="s">
        <v>6592</v>
      </c>
      <c r="K72" t="s">
        <v>9345</v>
      </c>
      <c r="L72">
        <v>96.5</v>
      </c>
    </row>
    <row r="73" spans="1:12" ht="13.95" customHeight="1">
      <c r="A73" t="s">
        <v>6508</v>
      </c>
      <c r="B73" t="s">
        <v>9329</v>
      </c>
      <c r="C73">
        <v>0</v>
      </c>
      <c r="D73" t="s">
        <v>6518</v>
      </c>
      <c r="E73" t="s">
        <v>9370</v>
      </c>
      <c r="F73">
        <v>0</v>
      </c>
      <c r="G73" t="s">
        <v>6577</v>
      </c>
      <c r="H73" t="s">
        <v>9330</v>
      </c>
      <c r="I73">
        <v>0</v>
      </c>
      <c r="J73" t="s">
        <v>6592</v>
      </c>
      <c r="K73" t="s">
        <v>9346</v>
      </c>
      <c r="L73">
        <v>410.4</v>
      </c>
    </row>
    <row r="74" spans="1:12" ht="13.95" customHeight="1">
      <c r="A74" t="s">
        <v>6508</v>
      </c>
      <c r="B74" t="s">
        <v>9330</v>
      </c>
      <c r="C74">
        <v>1397</v>
      </c>
      <c r="D74" t="s">
        <v>6518</v>
      </c>
      <c r="E74" t="s">
        <v>9371</v>
      </c>
      <c r="F74">
        <v>0</v>
      </c>
      <c r="G74" t="s">
        <v>6577</v>
      </c>
      <c r="H74" t="s">
        <v>9331</v>
      </c>
      <c r="I74">
        <v>347.2</v>
      </c>
      <c r="J74" t="s">
        <v>6592</v>
      </c>
      <c r="K74" t="s">
        <v>9347</v>
      </c>
      <c r="L74">
        <v>551.6</v>
      </c>
    </row>
    <row r="75" spans="1:12" ht="13.95" customHeight="1">
      <c r="A75" t="s">
        <v>6508</v>
      </c>
      <c r="B75" t="s">
        <v>9331</v>
      </c>
      <c r="C75">
        <v>1030</v>
      </c>
      <c r="D75" t="s">
        <v>6518</v>
      </c>
      <c r="E75" t="s">
        <v>9372</v>
      </c>
      <c r="F75">
        <v>1829.6</v>
      </c>
      <c r="G75" t="s">
        <v>6577</v>
      </c>
      <c r="H75" t="s">
        <v>9332</v>
      </c>
      <c r="I75">
        <v>0</v>
      </c>
      <c r="J75" t="s">
        <v>6592</v>
      </c>
      <c r="K75" t="s">
        <v>9348</v>
      </c>
      <c r="L75">
        <v>272</v>
      </c>
    </row>
    <row r="76" spans="1:12" ht="13.95" customHeight="1">
      <c r="A76" t="s">
        <v>6508</v>
      </c>
      <c r="B76" t="s">
        <v>9332</v>
      </c>
      <c r="C76">
        <v>0</v>
      </c>
      <c r="D76" t="s">
        <v>6518</v>
      </c>
      <c r="E76" t="s">
        <v>9373</v>
      </c>
      <c r="F76">
        <v>0</v>
      </c>
      <c r="G76" t="s">
        <v>6577</v>
      </c>
      <c r="H76" t="s">
        <v>9333</v>
      </c>
      <c r="I76">
        <v>753.4</v>
      </c>
      <c r="J76" t="s">
        <v>6592</v>
      </c>
      <c r="K76" t="s">
        <v>9367</v>
      </c>
      <c r="L76">
        <v>1369.7</v>
      </c>
    </row>
    <row r="77" spans="1:12" ht="13.95" customHeight="1">
      <c r="A77" t="s">
        <v>6508</v>
      </c>
      <c r="B77" t="s">
        <v>9333</v>
      </c>
      <c r="C77">
        <v>0</v>
      </c>
      <c r="D77" t="s">
        <v>6518</v>
      </c>
      <c r="E77" t="s">
        <v>9374</v>
      </c>
      <c r="F77">
        <v>0</v>
      </c>
      <c r="G77" t="s">
        <v>6577</v>
      </c>
      <c r="H77" t="s">
        <v>9334</v>
      </c>
      <c r="I77">
        <v>0</v>
      </c>
      <c r="J77" t="s">
        <v>6592</v>
      </c>
      <c r="K77" t="s">
        <v>9369</v>
      </c>
      <c r="L77">
        <v>313.7</v>
      </c>
    </row>
    <row r="78" spans="1:12" ht="13.95" customHeight="1">
      <c r="A78" t="s">
        <v>6508</v>
      </c>
      <c r="B78" t="s">
        <v>9334</v>
      </c>
      <c r="C78">
        <v>1202.5999999999999</v>
      </c>
      <c r="D78" t="s">
        <v>6518</v>
      </c>
      <c r="E78" t="s">
        <v>9375</v>
      </c>
      <c r="F78">
        <v>0</v>
      </c>
      <c r="G78" t="s">
        <v>6577</v>
      </c>
      <c r="H78" t="s">
        <v>9335</v>
      </c>
      <c r="I78">
        <v>455</v>
      </c>
      <c r="J78" t="s">
        <v>6592</v>
      </c>
      <c r="K78" t="s">
        <v>9372</v>
      </c>
      <c r="L78">
        <v>630.70000000000005</v>
      </c>
    </row>
    <row r="79" spans="1:12" ht="13.95" customHeight="1">
      <c r="A79" t="s">
        <v>6508</v>
      </c>
      <c r="B79" t="s">
        <v>9335</v>
      </c>
      <c r="C79">
        <v>2095.9</v>
      </c>
      <c r="D79" t="s">
        <v>6518</v>
      </c>
      <c r="E79" t="s">
        <v>9376</v>
      </c>
      <c r="F79">
        <v>0</v>
      </c>
      <c r="G79" t="s">
        <v>6577</v>
      </c>
      <c r="H79" t="s">
        <v>9336</v>
      </c>
      <c r="I79">
        <v>0</v>
      </c>
      <c r="J79" t="s">
        <v>6592</v>
      </c>
      <c r="K79" t="s">
        <v>9374</v>
      </c>
      <c r="L79">
        <v>308</v>
      </c>
    </row>
    <row r="80" spans="1:12" ht="13.95" customHeight="1">
      <c r="A80" t="s">
        <v>6508</v>
      </c>
      <c r="B80" t="s">
        <v>9336</v>
      </c>
      <c r="C80">
        <v>0</v>
      </c>
      <c r="D80" t="s">
        <v>6518</v>
      </c>
      <c r="E80" t="s">
        <v>9377</v>
      </c>
      <c r="F80">
        <v>81</v>
      </c>
      <c r="G80" t="s">
        <v>6577</v>
      </c>
      <c r="H80" t="s">
        <v>9337</v>
      </c>
      <c r="I80">
        <v>1228.7</v>
      </c>
      <c r="J80" t="s">
        <v>6592</v>
      </c>
      <c r="K80" t="s">
        <v>9376</v>
      </c>
      <c r="L80">
        <v>397.5</v>
      </c>
    </row>
    <row r="81" spans="1:12" ht="13.95" customHeight="1">
      <c r="A81" t="s">
        <v>6508</v>
      </c>
      <c r="B81" t="s">
        <v>9337</v>
      </c>
      <c r="C81">
        <v>5978.6</v>
      </c>
      <c r="D81" t="s">
        <v>6518</v>
      </c>
      <c r="E81" t="s">
        <v>9378</v>
      </c>
      <c r="F81">
        <v>0</v>
      </c>
      <c r="G81" t="s">
        <v>6577</v>
      </c>
      <c r="H81" t="s">
        <v>9338</v>
      </c>
      <c r="I81">
        <v>0</v>
      </c>
      <c r="J81" t="s">
        <v>6592</v>
      </c>
      <c r="K81" t="s">
        <v>9378</v>
      </c>
      <c r="L81">
        <v>340.6</v>
      </c>
    </row>
    <row r="82" spans="1:12" ht="13.95" customHeight="1">
      <c r="A82" t="s">
        <v>6508</v>
      </c>
      <c r="B82" t="s">
        <v>9338</v>
      </c>
      <c r="C82">
        <v>0</v>
      </c>
      <c r="D82" t="s">
        <v>6518</v>
      </c>
      <c r="E82" t="s">
        <v>9379</v>
      </c>
      <c r="F82">
        <v>278.60000000000002</v>
      </c>
      <c r="G82" t="s">
        <v>6577</v>
      </c>
      <c r="H82" t="s">
        <v>9339</v>
      </c>
      <c r="I82">
        <v>1555.9</v>
      </c>
      <c r="J82" t="s">
        <v>6592</v>
      </c>
      <c r="K82" t="s">
        <v>9380</v>
      </c>
      <c r="L82">
        <v>317</v>
      </c>
    </row>
    <row r="83" spans="1:12" ht="13.95" customHeight="1">
      <c r="A83" t="s">
        <v>6508</v>
      </c>
      <c r="B83" t="s">
        <v>9339</v>
      </c>
      <c r="C83">
        <v>0</v>
      </c>
      <c r="D83" t="s">
        <v>6518</v>
      </c>
      <c r="E83" t="s">
        <v>9380</v>
      </c>
      <c r="F83">
        <v>0</v>
      </c>
      <c r="G83" t="s">
        <v>6577</v>
      </c>
      <c r="H83" t="s">
        <v>9343</v>
      </c>
      <c r="I83">
        <v>0</v>
      </c>
      <c r="J83" t="s">
        <v>6592</v>
      </c>
      <c r="K83" t="s">
        <v>9382</v>
      </c>
      <c r="L83">
        <v>558.20000000000005</v>
      </c>
    </row>
    <row r="84" spans="1:12" ht="13.95" customHeight="1">
      <c r="A84" t="s">
        <v>6514</v>
      </c>
      <c r="B84" t="s">
        <v>9328</v>
      </c>
      <c r="C84">
        <v>3189</v>
      </c>
      <c r="D84" t="s">
        <v>6518</v>
      </c>
      <c r="E84" t="s">
        <v>9381</v>
      </c>
      <c r="F84">
        <v>0</v>
      </c>
      <c r="G84" t="s">
        <v>6577</v>
      </c>
      <c r="H84" t="s">
        <v>9344</v>
      </c>
      <c r="I84">
        <v>1158.5</v>
      </c>
      <c r="J84" t="s">
        <v>6592</v>
      </c>
      <c r="K84" t="s">
        <v>9383</v>
      </c>
      <c r="L84">
        <v>602.6</v>
      </c>
    </row>
    <row r="85" spans="1:12" ht="13.95" customHeight="1">
      <c r="A85" t="s">
        <v>6514</v>
      </c>
      <c r="B85" t="s">
        <v>9329</v>
      </c>
      <c r="C85">
        <v>5321.1</v>
      </c>
      <c r="D85" t="s">
        <v>6518</v>
      </c>
      <c r="E85" t="s">
        <v>9382</v>
      </c>
      <c r="F85">
        <v>0</v>
      </c>
      <c r="G85" t="s">
        <v>6577</v>
      </c>
      <c r="H85" t="s">
        <v>9345</v>
      </c>
      <c r="I85">
        <v>0</v>
      </c>
      <c r="J85" t="s">
        <v>6592</v>
      </c>
      <c r="K85" t="s">
        <v>9384</v>
      </c>
      <c r="L85">
        <v>883.3</v>
      </c>
    </row>
    <row r="86" spans="1:12" ht="13.95" customHeight="1">
      <c r="A86" t="s">
        <v>6514</v>
      </c>
      <c r="B86" t="s">
        <v>9330</v>
      </c>
      <c r="C86">
        <v>801.5</v>
      </c>
      <c r="D86" t="s">
        <v>6519</v>
      </c>
      <c r="E86" t="s">
        <v>9328</v>
      </c>
      <c r="F86">
        <v>0</v>
      </c>
      <c r="G86" t="s">
        <v>6577</v>
      </c>
      <c r="H86" t="s">
        <v>9346</v>
      </c>
      <c r="I86">
        <v>779.7</v>
      </c>
      <c r="J86" t="s">
        <v>6592</v>
      </c>
      <c r="K86" t="s">
        <v>9385</v>
      </c>
      <c r="L86">
        <v>276.89999999999998</v>
      </c>
    </row>
    <row r="87" spans="1:12" ht="13.95" customHeight="1">
      <c r="A87" t="s">
        <v>6514</v>
      </c>
      <c r="B87" t="s">
        <v>9331</v>
      </c>
      <c r="C87">
        <v>1562.8</v>
      </c>
      <c r="D87" t="s">
        <v>6519</v>
      </c>
      <c r="E87" t="s">
        <v>9349</v>
      </c>
      <c r="F87">
        <v>33.799999999999997</v>
      </c>
      <c r="G87" t="s">
        <v>6577</v>
      </c>
      <c r="H87" t="s">
        <v>9347</v>
      </c>
      <c r="I87">
        <v>0</v>
      </c>
      <c r="J87" t="s">
        <v>6592</v>
      </c>
      <c r="K87" t="s">
        <v>9386</v>
      </c>
      <c r="L87">
        <v>56.7</v>
      </c>
    </row>
    <row r="88" spans="1:12" ht="13.95" customHeight="1">
      <c r="A88" t="s">
        <v>6514</v>
      </c>
      <c r="B88" t="s">
        <v>9332</v>
      </c>
      <c r="C88">
        <v>890.9</v>
      </c>
      <c r="D88" t="s">
        <v>6519</v>
      </c>
      <c r="E88" t="s">
        <v>9329</v>
      </c>
      <c r="F88">
        <v>0</v>
      </c>
      <c r="G88" t="s">
        <v>6577</v>
      </c>
      <c r="H88" t="s">
        <v>9348</v>
      </c>
      <c r="I88">
        <v>0</v>
      </c>
      <c r="J88" t="s">
        <v>6592</v>
      </c>
      <c r="K88" t="s">
        <v>9387</v>
      </c>
      <c r="L88">
        <v>524.9</v>
      </c>
    </row>
    <row r="89" spans="1:12" ht="13.95" customHeight="1">
      <c r="A89" t="s">
        <v>6514</v>
      </c>
      <c r="B89" t="s">
        <v>9333</v>
      </c>
      <c r="C89">
        <v>2292.5</v>
      </c>
      <c r="D89" t="s">
        <v>6519</v>
      </c>
      <c r="E89" t="s">
        <v>9350</v>
      </c>
      <c r="F89">
        <v>0</v>
      </c>
      <c r="G89" t="s">
        <v>6577</v>
      </c>
      <c r="H89" t="s">
        <v>9367</v>
      </c>
      <c r="I89">
        <v>0</v>
      </c>
      <c r="J89" t="s">
        <v>6592</v>
      </c>
      <c r="K89" t="s">
        <v>9388</v>
      </c>
      <c r="L89">
        <v>246.4</v>
      </c>
    </row>
    <row r="90" spans="1:12" ht="13.95" customHeight="1">
      <c r="A90" t="s">
        <v>6514</v>
      </c>
      <c r="B90" t="s">
        <v>9334</v>
      </c>
      <c r="C90">
        <v>1918.1</v>
      </c>
      <c r="D90" t="s">
        <v>6519</v>
      </c>
      <c r="E90" t="s">
        <v>9330</v>
      </c>
      <c r="F90">
        <v>0</v>
      </c>
      <c r="G90" t="s">
        <v>6577</v>
      </c>
      <c r="H90" t="s">
        <v>9369</v>
      </c>
      <c r="I90">
        <v>0</v>
      </c>
      <c r="J90" t="s">
        <v>6592</v>
      </c>
      <c r="K90" t="s">
        <v>9389</v>
      </c>
      <c r="L90">
        <v>1351.9</v>
      </c>
    </row>
    <row r="91" spans="1:12" ht="13.95" customHeight="1">
      <c r="A91" t="s">
        <v>6514</v>
      </c>
      <c r="B91" t="s">
        <v>9335</v>
      </c>
      <c r="C91">
        <v>5245.7</v>
      </c>
      <c r="D91" t="s">
        <v>6519</v>
      </c>
      <c r="E91" t="s">
        <v>9351</v>
      </c>
      <c r="F91">
        <v>0</v>
      </c>
      <c r="G91" t="s">
        <v>6577</v>
      </c>
      <c r="H91" t="s">
        <v>9372</v>
      </c>
      <c r="I91">
        <v>0</v>
      </c>
      <c r="J91" t="s">
        <v>6592</v>
      </c>
      <c r="K91" t="s">
        <v>9390</v>
      </c>
      <c r="L91">
        <v>0</v>
      </c>
    </row>
    <row r="92" spans="1:12" ht="13.95" customHeight="1">
      <c r="A92" t="s">
        <v>6514</v>
      </c>
      <c r="B92" t="s">
        <v>9336</v>
      </c>
      <c r="C92">
        <v>0</v>
      </c>
      <c r="D92" t="s">
        <v>6519</v>
      </c>
      <c r="E92" t="s">
        <v>9331</v>
      </c>
      <c r="F92">
        <v>0</v>
      </c>
      <c r="G92" t="s">
        <v>6577</v>
      </c>
      <c r="H92" t="s">
        <v>9374</v>
      </c>
      <c r="I92">
        <v>0</v>
      </c>
      <c r="J92" t="s">
        <v>6592</v>
      </c>
      <c r="K92" t="s">
        <v>9391</v>
      </c>
      <c r="L92">
        <v>1049.4000000000001</v>
      </c>
    </row>
    <row r="93" spans="1:12" ht="13.95" customHeight="1">
      <c r="A93" t="s">
        <v>6514</v>
      </c>
      <c r="B93" t="s">
        <v>9337</v>
      </c>
      <c r="C93">
        <v>0</v>
      </c>
      <c r="D93" t="s">
        <v>6519</v>
      </c>
      <c r="E93" t="s">
        <v>9352</v>
      </c>
      <c r="F93">
        <v>185.9</v>
      </c>
      <c r="G93" t="s">
        <v>6577</v>
      </c>
      <c r="H93" t="s">
        <v>9376</v>
      </c>
      <c r="I93">
        <v>0</v>
      </c>
      <c r="J93" t="s">
        <v>6592</v>
      </c>
      <c r="K93" t="s">
        <v>9392</v>
      </c>
      <c r="L93">
        <v>0</v>
      </c>
    </row>
    <row r="94" spans="1:12" ht="13.95" customHeight="1">
      <c r="A94" t="s">
        <v>6514</v>
      </c>
      <c r="B94" t="s">
        <v>9338</v>
      </c>
      <c r="C94">
        <v>0</v>
      </c>
      <c r="D94" t="s">
        <v>6519</v>
      </c>
      <c r="E94" t="s">
        <v>9332</v>
      </c>
      <c r="F94">
        <v>0</v>
      </c>
      <c r="G94" t="s">
        <v>6577</v>
      </c>
      <c r="H94" t="s">
        <v>9378</v>
      </c>
      <c r="I94">
        <v>0</v>
      </c>
      <c r="J94" t="s">
        <v>6592</v>
      </c>
      <c r="K94" t="s">
        <v>9393</v>
      </c>
      <c r="L94">
        <v>0</v>
      </c>
    </row>
    <row r="95" spans="1:12" ht="13.95" customHeight="1">
      <c r="A95" t="s">
        <v>6514</v>
      </c>
      <c r="B95" t="s">
        <v>9339</v>
      </c>
      <c r="C95">
        <v>0</v>
      </c>
      <c r="D95" t="s">
        <v>6519</v>
      </c>
      <c r="E95" t="s">
        <v>9353</v>
      </c>
      <c r="F95">
        <v>0</v>
      </c>
      <c r="G95" t="s">
        <v>6577</v>
      </c>
      <c r="H95" t="s">
        <v>9380</v>
      </c>
      <c r="I95">
        <v>86.2</v>
      </c>
      <c r="J95" t="s">
        <v>6592</v>
      </c>
      <c r="K95" t="s">
        <v>9394</v>
      </c>
      <c r="L95">
        <v>550.9</v>
      </c>
    </row>
    <row r="96" spans="1:12" ht="13.95" customHeight="1">
      <c r="A96" t="s">
        <v>6509</v>
      </c>
      <c r="B96" t="s">
        <v>9328</v>
      </c>
      <c r="C96">
        <v>3577.9</v>
      </c>
      <c r="D96" t="s">
        <v>6519</v>
      </c>
      <c r="E96" t="s">
        <v>9333</v>
      </c>
      <c r="F96">
        <v>1691.1</v>
      </c>
      <c r="G96" t="s">
        <v>6577</v>
      </c>
      <c r="H96" t="s">
        <v>9382</v>
      </c>
      <c r="I96">
        <v>0</v>
      </c>
      <c r="J96" t="s">
        <v>6592</v>
      </c>
      <c r="K96" t="s">
        <v>9395</v>
      </c>
      <c r="L96">
        <v>262.60000000000002</v>
      </c>
    </row>
    <row r="97" spans="1:12" ht="13.95" customHeight="1">
      <c r="A97" t="s">
        <v>6509</v>
      </c>
      <c r="B97" t="s">
        <v>9329</v>
      </c>
      <c r="C97">
        <v>5248.5</v>
      </c>
      <c r="D97" t="s">
        <v>6519</v>
      </c>
      <c r="E97" t="s">
        <v>9354</v>
      </c>
      <c r="F97">
        <v>0</v>
      </c>
      <c r="G97" t="s">
        <v>6577</v>
      </c>
      <c r="H97" t="s">
        <v>9383</v>
      </c>
      <c r="I97">
        <v>181.2</v>
      </c>
      <c r="J97" t="s">
        <v>6592</v>
      </c>
      <c r="K97" t="s">
        <v>9396</v>
      </c>
      <c r="L97">
        <v>444</v>
      </c>
    </row>
    <row r="98" spans="1:12" ht="13.95" customHeight="1">
      <c r="A98" t="s">
        <v>6509</v>
      </c>
      <c r="B98" t="s">
        <v>9330</v>
      </c>
      <c r="C98">
        <v>825.6</v>
      </c>
      <c r="D98" t="s">
        <v>6519</v>
      </c>
      <c r="E98" t="s">
        <v>9334</v>
      </c>
      <c r="F98">
        <v>2037.5</v>
      </c>
      <c r="G98" t="s">
        <v>6577</v>
      </c>
      <c r="H98" t="s">
        <v>9384</v>
      </c>
      <c r="I98">
        <v>0</v>
      </c>
      <c r="J98" t="s">
        <v>6592</v>
      </c>
      <c r="K98" t="s">
        <v>9397</v>
      </c>
      <c r="L98">
        <v>0</v>
      </c>
    </row>
    <row r="99" spans="1:12" ht="13.95" customHeight="1">
      <c r="A99" t="s">
        <v>6509</v>
      </c>
      <c r="B99" t="s">
        <v>9331</v>
      </c>
      <c r="C99">
        <v>1483.3</v>
      </c>
      <c r="D99" t="s">
        <v>6519</v>
      </c>
      <c r="E99" t="s">
        <v>9355</v>
      </c>
      <c r="F99">
        <v>0</v>
      </c>
      <c r="G99" t="s">
        <v>6577</v>
      </c>
      <c r="H99" t="s">
        <v>9385</v>
      </c>
      <c r="I99">
        <v>0</v>
      </c>
      <c r="J99" t="s">
        <v>6592</v>
      </c>
      <c r="K99" t="s">
        <v>9398</v>
      </c>
      <c r="L99">
        <v>676.5</v>
      </c>
    </row>
    <row r="100" spans="1:12" ht="13.95" customHeight="1">
      <c r="A100" t="s">
        <v>6509</v>
      </c>
      <c r="B100" t="s">
        <v>9332</v>
      </c>
      <c r="C100">
        <v>1131.9000000000001</v>
      </c>
      <c r="D100" t="s">
        <v>6519</v>
      </c>
      <c r="E100" t="s">
        <v>9335</v>
      </c>
      <c r="F100">
        <v>1769.7</v>
      </c>
      <c r="G100" t="s">
        <v>6577</v>
      </c>
      <c r="H100" t="s">
        <v>9386</v>
      </c>
      <c r="I100">
        <v>1169.0999999999999</v>
      </c>
      <c r="J100" t="s">
        <v>6592</v>
      </c>
      <c r="K100" t="s">
        <v>9399</v>
      </c>
      <c r="L100">
        <v>0</v>
      </c>
    </row>
    <row r="101" spans="1:12" ht="13.95" customHeight="1">
      <c r="A101" t="s">
        <v>6509</v>
      </c>
      <c r="B101" t="s">
        <v>9333</v>
      </c>
      <c r="C101">
        <v>1690</v>
      </c>
      <c r="D101" t="s">
        <v>6519</v>
      </c>
      <c r="E101" t="s">
        <v>9356</v>
      </c>
      <c r="F101">
        <v>0</v>
      </c>
      <c r="G101" t="s">
        <v>6577</v>
      </c>
      <c r="H101" t="s">
        <v>9387</v>
      </c>
      <c r="I101">
        <v>3.1</v>
      </c>
      <c r="J101" t="s">
        <v>6592</v>
      </c>
      <c r="K101" t="s">
        <v>9400</v>
      </c>
      <c r="L101">
        <v>281.10000000000002</v>
      </c>
    </row>
    <row r="102" spans="1:12" ht="13.95" customHeight="1">
      <c r="A102" t="s">
        <v>6509</v>
      </c>
      <c r="B102" t="s">
        <v>9334</v>
      </c>
      <c r="C102">
        <v>1806.6</v>
      </c>
      <c r="D102" t="s">
        <v>6519</v>
      </c>
      <c r="E102" t="s">
        <v>9336</v>
      </c>
      <c r="F102">
        <v>0</v>
      </c>
      <c r="G102" t="s">
        <v>6577</v>
      </c>
      <c r="H102" t="s">
        <v>9388</v>
      </c>
      <c r="I102">
        <v>0</v>
      </c>
      <c r="J102" t="s">
        <v>6592</v>
      </c>
      <c r="K102" t="s">
        <v>9401</v>
      </c>
      <c r="L102">
        <v>0</v>
      </c>
    </row>
    <row r="103" spans="1:12" ht="13.95" customHeight="1">
      <c r="A103" t="s">
        <v>6509</v>
      </c>
      <c r="B103" t="s">
        <v>9335</v>
      </c>
      <c r="C103">
        <v>4095.9</v>
      </c>
      <c r="D103" t="s">
        <v>6519</v>
      </c>
      <c r="E103" t="s">
        <v>9357</v>
      </c>
      <c r="F103">
        <v>0</v>
      </c>
      <c r="G103" t="s">
        <v>6577</v>
      </c>
      <c r="H103" t="s">
        <v>9389</v>
      </c>
      <c r="I103">
        <v>2.2999999999999998</v>
      </c>
      <c r="J103" t="s">
        <v>6592</v>
      </c>
      <c r="K103" t="s">
        <v>9402</v>
      </c>
      <c r="L103">
        <v>0</v>
      </c>
    </row>
    <row r="104" spans="1:12" ht="13.95" customHeight="1">
      <c r="A104" t="s">
        <v>6509</v>
      </c>
      <c r="B104" t="s">
        <v>9336</v>
      </c>
      <c r="C104">
        <v>0</v>
      </c>
      <c r="D104" t="s">
        <v>6519</v>
      </c>
      <c r="E104" t="s">
        <v>9337</v>
      </c>
      <c r="F104">
        <v>0</v>
      </c>
      <c r="G104" t="s">
        <v>6577</v>
      </c>
      <c r="H104" t="s">
        <v>9390</v>
      </c>
      <c r="I104">
        <v>0</v>
      </c>
      <c r="J104" t="s">
        <v>6592</v>
      </c>
      <c r="K104" t="s">
        <v>9403</v>
      </c>
      <c r="L104">
        <v>0</v>
      </c>
    </row>
    <row r="105" spans="1:12" ht="13.95" customHeight="1">
      <c r="A105" t="s">
        <v>6509</v>
      </c>
      <c r="B105" t="s">
        <v>9337</v>
      </c>
      <c r="C105">
        <v>0</v>
      </c>
      <c r="D105" t="s">
        <v>6519</v>
      </c>
      <c r="E105" t="s">
        <v>9358</v>
      </c>
      <c r="F105">
        <v>0</v>
      </c>
      <c r="G105" t="s">
        <v>6577</v>
      </c>
      <c r="H105" t="s">
        <v>9391</v>
      </c>
      <c r="I105">
        <v>10.3</v>
      </c>
      <c r="J105" t="s">
        <v>6592</v>
      </c>
      <c r="K105" t="s">
        <v>9404</v>
      </c>
      <c r="L105">
        <v>311.2</v>
      </c>
    </row>
    <row r="106" spans="1:12" ht="13.95" customHeight="1">
      <c r="A106" t="s">
        <v>6509</v>
      </c>
      <c r="B106" t="s">
        <v>9338</v>
      </c>
      <c r="C106">
        <v>0</v>
      </c>
      <c r="D106" t="s">
        <v>6519</v>
      </c>
      <c r="E106" t="s">
        <v>9338</v>
      </c>
      <c r="F106">
        <v>0</v>
      </c>
      <c r="G106" t="s">
        <v>6577</v>
      </c>
      <c r="H106" t="s">
        <v>9392</v>
      </c>
      <c r="I106">
        <v>172.9</v>
      </c>
      <c r="J106" t="s">
        <v>6592</v>
      </c>
      <c r="K106" t="s">
        <v>9405</v>
      </c>
      <c r="L106">
        <v>102.8</v>
      </c>
    </row>
    <row r="107" spans="1:12" ht="13.95" customHeight="1">
      <c r="A107" t="s">
        <v>6509</v>
      </c>
      <c r="B107" t="s">
        <v>9339</v>
      </c>
      <c r="C107">
        <v>0</v>
      </c>
      <c r="D107" t="s">
        <v>6519</v>
      </c>
      <c r="E107" t="s">
        <v>9359</v>
      </c>
      <c r="F107">
        <v>0</v>
      </c>
      <c r="G107" t="s">
        <v>6577</v>
      </c>
      <c r="H107" t="s">
        <v>9393</v>
      </c>
      <c r="I107">
        <v>0</v>
      </c>
      <c r="J107" t="s">
        <v>6592</v>
      </c>
      <c r="K107" t="s">
        <v>9406</v>
      </c>
      <c r="L107">
        <v>339.7</v>
      </c>
    </row>
    <row r="108" spans="1:12" ht="13.95" customHeight="1">
      <c r="A108" t="s">
        <v>6515</v>
      </c>
      <c r="B108" t="s">
        <v>9328</v>
      </c>
      <c r="C108">
        <v>0</v>
      </c>
      <c r="D108" t="s">
        <v>6519</v>
      </c>
      <c r="E108" t="s">
        <v>9339</v>
      </c>
      <c r="F108">
        <v>227.6</v>
      </c>
      <c r="G108" t="s">
        <v>6577</v>
      </c>
      <c r="H108" t="s">
        <v>9394</v>
      </c>
      <c r="I108">
        <v>0</v>
      </c>
      <c r="J108" t="s">
        <v>6592</v>
      </c>
      <c r="K108" t="s">
        <v>9407</v>
      </c>
      <c r="L108">
        <v>74.099999999999994</v>
      </c>
    </row>
    <row r="109" spans="1:12" ht="13.95" customHeight="1">
      <c r="A109" t="s">
        <v>6515</v>
      </c>
      <c r="B109" t="s">
        <v>9329</v>
      </c>
      <c r="C109">
        <v>0</v>
      </c>
      <c r="D109" t="s">
        <v>6519</v>
      </c>
      <c r="E109" t="s">
        <v>9360</v>
      </c>
      <c r="F109">
        <v>0</v>
      </c>
      <c r="G109" t="s">
        <v>6577</v>
      </c>
      <c r="H109" t="s">
        <v>9395</v>
      </c>
      <c r="I109">
        <v>0</v>
      </c>
      <c r="J109" t="s">
        <v>6592</v>
      </c>
      <c r="K109" t="s">
        <v>9408</v>
      </c>
      <c r="L109">
        <v>0</v>
      </c>
    </row>
    <row r="110" spans="1:12" ht="13.95" customHeight="1">
      <c r="A110" t="s">
        <v>6515</v>
      </c>
      <c r="B110" t="s">
        <v>9330</v>
      </c>
      <c r="C110">
        <v>0</v>
      </c>
      <c r="D110" t="s">
        <v>6519</v>
      </c>
      <c r="E110" t="s">
        <v>9343</v>
      </c>
      <c r="F110">
        <v>199.1</v>
      </c>
      <c r="G110" t="s">
        <v>6577</v>
      </c>
      <c r="H110" t="s">
        <v>9396</v>
      </c>
      <c r="I110">
        <v>0</v>
      </c>
      <c r="J110" t="s">
        <v>6592</v>
      </c>
      <c r="K110" t="s">
        <v>9409</v>
      </c>
      <c r="L110">
        <v>27.6</v>
      </c>
    </row>
    <row r="111" spans="1:12" ht="13.95" customHeight="1">
      <c r="A111" t="s">
        <v>6510</v>
      </c>
      <c r="B111" t="s">
        <v>9328</v>
      </c>
      <c r="C111">
        <v>0</v>
      </c>
      <c r="D111" t="s">
        <v>6519</v>
      </c>
      <c r="E111" t="s">
        <v>9361</v>
      </c>
      <c r="F111">
        <v>0</v>
      </c>
      <c r="G111" t="s">
        <v>6577</v>
      </c>
      <c r="H111" t="s">
        <v>9397</v>
      </c>
      <c r="I111">
        <v>86.8</v>
      </c>
      <c r="J111" t="s">
        <v>6592</v>
      </c>
      <c r="K111" t="s">
        <v>9410</v>
      </c>
      <c r="L111">
        <v>0</v>
      </c>
    </row>
    <row r="112" spans="1:12" ht="13.95" customHeight="1">
      <c r="A112" t="s">
        <v>6510</v>
      </c>
      <c r="B112" t="s">
        <v>9329</v>
      </c>
      <c r="C112">
        <v>13073.7</v>
      </c>
      <c r="D112" t="s">
        <v>6519</v>
      </c>
      <c r="E112" t="s">
        <v>9344</v>
      </c>
      <c r="F112">
        <v>0</v>
      </c>
      <c r="G112" t="s">
        <v>6577</v>
      </c>
      <c r="H112" t="s">
        <v>9398</v>
      </c>
      <c r="I112">
        <v>638.79999999999995</v>
      </c>
      <c r="J112" t="s">
        <v>6589</v>
      </c>
      <c r="K112" t="s">
        <v>9328</v>
      </c>
      <c r="L112">
        <v>8316.4</v>
      </c>
    </row>
    <row r="113" spans="1:12" ht="13.95" customHeight="1">
      <c r="A113" t="s">
        <v>6510</v>
      </c>
      <c r="B113" t="s">
        <v>9330</v>
      </c>
      <c r="C113">
        <v>6819.2</v>
      </c>
      <c r="D113" t="s">
        <v>6519</v>
      </c>
      <c r="E113" t="s">
        <v>9362</v>
      </c>
      <c r="F113">
        <v>0</v>
      </c>
      <c r="G113" t="s">
        <v>6577</v>
      </c>
      <c r="H113" t="s">
        <v>9399</v>
      </c>
      <c r="I113">
        <v>695.9</v>
      </c>
      <c r="J113" t="s">
        <v>6589</v>
      </c>
      <c r="K113" t="s">
        <v>9329</v>
      </c>
      <c r="L113">
        <v>1918.8</v>
      </c>
    </row>
    <row r="114" spans="1:12" ht="13.95" customHeight="1">
      <c r="A114" t="s">
        <v>9340</v>
      </c>
      <c r="B114" t="s">
        <v>9328</v>
      </c>
      <c r="C114">
        <v>494.2</v>
      </c>
      <c r="D114" t="s">
        <v>6519</v>
      </c>
      <c r="E114" t="s">
        <v>9345</v>
      </c>
      <c r="F114">
        <v>0</v>
      </c>
      <c r="G114" t="s">
        <v>6577</v>
      </c>
      <c r="H114" t="s">
        <v>9400</v>
      </c>
      <c r="I114">
        <v>0</v>
      </c>
      <c r="J114" t="s">
        <v>6589</v>
      </c>
      <c r="K114" t="s">
        <v>9330</v>
      </c>
      <c r="L114">
        <v>2941.8</v>
      </c>
    </row>
    <row r="115" spans="1:12" ht="13.95" customHeight="1">
      <c r="A115" t="s">
        <v>9340</v>
      </c>
      <c r="B115" t="s">
        <v>9329</v>
      </c>
      <c r="C115">
        <v>5479.4</v>
      </c>
      <c r="D115" t="s">
        <v>6519</v>
      </c>
      <c r="E115" t="s">
        <v>9363</v>
      </c>
      <c r="F115">
        <v>0</v>
      </c>
      <c r="G115" t="s">
        <v>6577</v>
      </c>
      <c r="H115" t="s">
        <v>9401</v>
      </c>
      <c r="I115">
        <v>0</v>
      </c>
      <c r="J115" t="s">
        <v>6589</v>
      </c>
      <c r="K115" t="s">
        <v>9331</v>
      </c>
      <c r="L115">
        <v>0</v>
      </c>
    </row>
    <row r="116" spans="1:12" ht="13.95" customHeight="1">
      <c r="A116" t="s">
        <v>9340</v>
      </c>
      <c r="B116" t="s">
        <v>9330</v>
      </c>
      <c r="C116">
        <v>412.8</v>
      </c>
      <c r="D116" t="s">
        <v>6519</v>
      </c>
      <c r="E116" t="s">
        <v>9346</v>
      </c>
      <c r="F116">
        <v>0</v>
      </c>
      <c r="G116" t="s">
        <v>6577</v>
      </c>
      <c r="H116" t="s">
        <v>9402</v>
      </c>
      <c r="I116">
        <v>0</v>
      </c>
      <c r="J116" t="s">
        <v>6589</v>
      </c>
      <c r="K116" t="s">
        <v>9332</v>
      </c>
      <c r="L116">
        <v>0</v>
      </c>
    </row>
    <row r="117" spans="1:12" ht="13.95" customHeight="1">
      <c r="A117" t="s">
        <v>9340</v>
      </c>
      <c r="B117" t="s">
        <v>9331</v>
      </c>
      <c r="C117">
        <v>0</v>
      </c>
      <c r="D117" t="s">
        <v>6519</v>
      </c>
      <c r="E117" t="s">
        <v>9364</v>
      </c>
      <c r="F117">
        <v>0</v>
      </c>
      <c r="G117" t="s">
        <v>6577</v>
      </c>
      <c r="H117" t="s">
        <v>9403</v>
      </c>
      <c r="I117">
        <v>0</v>
      </c>
      <c r="J117" t="s">
        <v>6589</v>
      </c>
      <c r="K117" t="s">
        <v>9333</v>
      </c>
      <c r="L117">
        <v>23774.799999999999</v>
      </c>
    </row>
    <row r="118" spans="1:12" ht="13.95" customHeight="1">
      <c r="A118" t="s">
        <v>9340</v>
      </c>
      <c r="B118" t="s">
        <v>9332</v>
      </c>
      <c r="C118">
        <v>259.7</v>
      </c>
      <c r="D118" t="s">
        <v>6519</v>
      </c>
      <c r="E118" t="s">
        <v>9347</v>
      </c>
      <c r="F118">
        <v>1875.7</v>
      </c>
      <c r="G118" t="s">
        <v>6577</v>
      </c>
      <c r="H118" t="s">
        <v>9404</v>
      </c>
      <c r="I118">
        <v>0</v>
      </c>
      <c r="J118" t="s">
        <v>6589</v>
      </c>
      <c r="K118" t="s">
        <v>9334</v>
      </c>
      <c r="L118">
        <v>0</v>
      </c>
    </row>
    <row r="119" spans="1:12" ht="13.95" customHeight="1">
      <c r="A119" t="s">
        <v>9340</v>
      </c>
      <c r="B119" t="s">
        <v>9333</v>
      </c>
      <c r="C119">
        <v>0</v>
      </c>
      <c r="D119" t="s">
        <v>6519</v>
      </c>
      <c r="E119" t="s">
        <v>9365</v>
      </c>
      <c r="F119">
        <v>0</v>
      </c>
      <c r="G119" t="s">
        <v>6577</v>
      </c>
      <c r="H119" t="s">
        <v>9405</v>
      </c>
      <c r="I119">
        <v>0</v>
      </c>
      <c r="J119" t="s">
        <v>6589</v>
      </c>
      <c r="K119" t="s">
        <v>9335</v>
      </c>
      <c r="L119">
        <v>0</v>
      </c>
    </row>
    <row r="120" spans="1:12" ht="13.95" customHeight="1">
      <c r="B120"/>
      <c r="C120"/>
      <c r="D120" t="s">
        <v>6519</v>
      </c>
      <c r="E120" t="s">
        <v>9348</v>
      </c>
      <c r="F120">
        <v>1911.4</v>
      </c>
      <c r="G120" t="s">
        <v>6577</v>
      </c>
      <c r="H120" t="s">
        <v>9406</v>
      </c>
      <c r="I120">
        <v>0</v>
      </c>
      <c r="J120" t="s">
        <v>6589</v>
      </c>
      <c r="K120" t="s">
        <v>9336</v>
      </c>
      <c r="L120">
        <v>0</v>
      </c>
    </row>
    <row r="121" spans="1:12" ht="13.95" customHeight="1">
      <c r="B121"/>
      <c r="C121"/>
      <c r="D121" t="s">
        <v>6519</v>
      </c>
      <c r="E121" t="s">
        <v>9366</v>
      </c>
      <c r="F121">
        <v>0</v>
      </c>
      <c r="G121" t="s">
        <v>6578</v>
      </c>
      <c r="H121" t="s">
        <v>9328</v>
      </c>
      <c r="I121">
        <v>671.7</v>
      </c>
      <c r="J121" t="s">
        <v>6589</v>
      </c>
      <c r="K121" t="s">
        <v>9337</v>
      </c>
      <c r="L121">
        <v>0</v>
      </c>
    </row>
    <row r="122" spans="1:12" ht="13.95" customHeight="1">
      <c r="B122"/>
      <c r="C122"/>
      <c r="D122" t="s">
        <v>6519</v>
      </c>
      <c r="E122" t="s">
        <v>9367</v>
      </c>
      <c r="F122">
        <v>1604.1</v>
      </c>
      <c r="G122" t="s">
        <v>6578</v>
      </c>
      <c r="H122" t="s">
        <v>9329</v>
      </c>
      <c r="I122">
        <v>0</v>
      </c>
      <c r="J122" t="s">
        <v>6586</v>
      </c>
      <c r="K122" t="s">
        <v>9328</v>
      </c>
      <c r="L122">
        <v>20908.599999999999</v>
      </c>
    </row>
    <row r="123" spans="1:12" ht="13.95" customHeight="1">
      <c r="B123"/>
      <c r="C123"/>
      <c r="D123" t="s">
        <v>6519</v>
      </c>
      <c r="E123" t="s">
        <v>9368</v>
      </c>
      <c r="F123">
        <v>0</v>
      </c>
      <c r="G123" t="s">
        <v>6578</v>
      </c>
      <c r="H123" t="s">
        <v>9330</v>
      </c>
      <c r="I123">
        <v>591.4</v>
      </c>
      <c r="J123" t="s">
        <v>6586</v>
      </c>
      <c r="K123" t="s">
        <v>9329</v>
      </c>
      <c r="L123">
        <v>10972.4</v>
      </c>
    </row>
    <row r="124" spans="1:12" ht="13.95" customHeight="1">
      <c r="B124"/>
      <c r="C124"/>
      <c r="D124" t="s">
        <v>6519</v>
      </c>
      <c r="E124" t="s">
        <v>9369</v>
      </c>
      <c r="F124">
        <v>1883.9</v>
      </c>
      <c r="G124" t="s">
        <v>6578</v>
      </c>
      <c r="H124" t="s">
        <v>9331</v>
      </c>
      <c r="I124">
        <v>0</v>
      </c>
      <c r="J124" t="s">
        <v>6586</v>
      </c>
      <c r="K124" t="s">
        <v>9330</v>
      </c>
      <c r="L124">
        <v>0</v>
      </c>
    </row>
    <row r="125" spans="1:12" ht="13.95" customHeight="1">
      <c r="B125"/>
      <c r="C125"/>
      <c r="D125" t="s">
        <v>6519</v>
      </c>
      <c r="E125" t="s">
        <v>9370</v>
      </c>
      <c r="F125">
        <v>0</v>
      </c>
      <c r="G125" t="s">
        <v>6578</v>
      </c>
      <c r="H125" t="s">
        <v>9332</v>
      </c>
      <c r="I125">
        <v>123.3</v>
      </c>
      <c r="J125" t="s">
        <v>6586</v>
      </c>
      <c r="K125" t="s">
        <v>9331</v>
      </c>
      <c r="L125">
        <v>3342.8</v>
      </c>
    </row>
    <row r="126" spans="1:12" ht="13.95" customHeight="1">
      <c r="B126"/>
      <c r="C126"/>
      <c r="D126" t="s">
        <v>6519</v>
      </c>
      <c r="E126" t="s">
        <v>9372</v>
      </c>
      <c r="F126">
        <v>1463.7</v>
      </c>
      <c r="G126" t="s">
        <v>6578</v>
      </c>
      <c r="H126" t="s">
        <v>9333</v>
      </c>
      <c r="I126">
        <v>0</v>
      </c>
      <c r="J126" t="s">
        <v>6586</v>
      </c>
      <c r="K126" t="s">
        <v>9332</v>
      </c>
      <c r="L126">
        <v>0</v>
      </c>
    </row>
    <row r="127" spans="1:12" ht="13.95" customHeight="1">
      <c r="B127"/>
      <c r="C127"/>
      <c r="D127" t="s">
        <v>6519</v>
      </c>
      <c r="E127" t="s">
        <v>9371</v>
      </c>
      <c r="F127">
        <v>0</v>
      </c>
      <c r="G127" t="s">
        <v>6578</v>
      </c>
      <c r="H127" t="s">
        <v>9334</v>
      </c>
      <c r="I127">
        <v>600.5</v>
      </c>
      <c r="J127" t="s">
        <v>6586</v>
      </c>
      <c r="K127" t="s">
        <v>9333</v>
      </c>
      <c r="L127">
        <v>0</v>
      </c>
    </row>
    <row r="128" spans="1:12" ht="13.95" customHeight="1">
      <c r="B128"/>
      <c r="C128"/>
      <c r="D128" t="s">
        <v>6519</v>
      </c>
      <c r="E128" t="s">
        <v>9374</v>
      </c>
      <c r="F128">
        <v>0</v>
      </c>
      <c r="G128" t="s">
        <v>6578</v>
      </c>
      <c r="H128" t="s">
        <v>9335</v>
      </c>
      <c r="I128">
        <v>0</v>
      </c>
      <c r="J128" t="s">
        <v>6586</v>
      </c>
      <c r="K128" t="s">
        <v>9334</v>
      </c>
      <c r="L128">
        <v>0</v>
      </c>
    </row>
    <row r="129" spans="4:12" customFormat="1" ht="13.95" customHeight="1">
      <c r="D129" t="s">
        <v>6519</v>
      </c>
      <c r="E129" t="s">
        <v>9373</v>
      </c>
      <c r="F129">
        <v>0</v>
      </c>
      <c r="G129" t="s">
        <v>6578</v>
      </c>
      <c r="H129" t="s">
        <v>9336</v>
      </c>
      <c r="I129">
        <v>587.20000000000005</v>
      </c>
      <c r="J129" t="s">
        <v>6586</v>
      </c>
      <c r="K129" t="s">
        <v>9335</v>
      </c>
      <c r="L129">
        <v>0</v>
      </c>
    </row>
    <row r="130" spans="4:12" customFormat="1" ht="13.95" customHeight="1">
      <c r="D130" t="s">
        <v>6519</v>
      </c>
      <c r="E130" t="s">
        <v>9376</v>
      </c>
      <c r="F130">
        <v>0</v>
      </c>
      <c r="G130" t="s">
        <v>6578</v>
      </c>
      <c r="H130" t="s">
        <v>9337</v>
      </c>
      <c r="I130">
        <v>0</v>
      </c>
      <c r="J130" t="s">
        <v>6586</v>
      </c>
      <c r="K130" t="s">
        <v>9336</v>
      </c>
      <c r="L130">
        <v>0</v>
      </c>
    </row>
    <row r="131" spans="4:12" customFormat="1" ht="13.95" customHeight="1">
      <c r="D131" t="s">
        <v>6519</v>
      </c>
      <c r="E131" t="s">
        <v>9375</v>
      </c>
      <c r="F131">
        <v>0</v>
      </c>
      <c r="G131" t="s">
        <v>6578</v>
      </c>
      <c r="H131" t="s">
        <v>9338</v>
      </c>
      <c r="I131">
        <v>436</v>
      </c>
      <c r="J131" t="s">
        <v>6586</v>
      </c>
      <c r="K131" t="s">
        <v>9337</v>
      </c>
      <c r="L131">
        <v>0</v>
      </c>
    </row>
    <row r="132" spans="4:12" customFormat="1" ht="13.95" customHeight="1">
      <c r="D132" t="s">
        <v>6519</v>
      </c>
      <c r="E132" t="s">
        <v>9378</v>
      </c>
      <c r="F132">
        <v>0</v>
      </c>
      <c r="G132" t="s">
        <v>6578</v>
      </c>
      <c r="H132" t="s">
        <v>9339</v>
      </c>
      <c r="I132">
        <v>0</v>
      </c>
      <c r="J132" t="s">
        <v>6591</v>
      </c>
      <c r="K132" t="s">
        <v>9328</v>
      </c>
      <c r="L132">
        <v>0</v>
      </c>
    </row>
    <row r="133" spans="4:12" customFormat="1" ht="13.95" customHeight="1">
      <c r="D133" t="s">
        <v>6519</v>
      </c>
      <c r="E133" t="s">
        <v>9377</v>
      </c>
      <c r="F133">
        <v>86.8</v>
      </c>
      <c r="G133" t="s">
        <v>6578</v>
      </c>
      <c r="H133" t="s">
        <v>9343</v>
      </c>
      <c r="I133">
        <v>813.1</v>
      </c>
      <c r="J133" t="s">
        <v>6591</v>
      </c>
      <c r="K133" t="s">
        <v>9329</v>
      </c>
      <c r="L133">
        <v>0</v>
      </c>
    </row>
    <row r="134" spans="4:12" customFormat="1" ht="13.95" customHeight="1">
      <c r="D134" t="s">
        <v>6519</v>
      </c>
      <c r="E134" t="s">
        <v>9380</v>
      </c>
      <c r="F134">
        <v>0</v>
      </c>
      <c r="G134" t="s">
        <v>6578</v>
      </c>
      <c r="H134" t="s">
        <v>9344</v>
      </c>
      <c r="I134">
        <v>0</v>
      </c>
      <c r="J134" t="s">
        <v>6591</v>
      </c>
      <c r="K134" t="s">
        <v>9330</v>
      </c>
      <c r="L134">
        <v>0</v>
      </c>
    </row>
    <row r="135" spans="4:12" customFormat="1" ht="13.95" customHeight="1">
      <c r="D135" t="s">
        <v>6519</v>
      </c>
      <c r="E135" t="s">
        <v>9379</v>
      </c>
      <c r="F135">
        <v>179.7</v>
      </c>
      <c r="G135" t="s">
        <v>6578</v>
      </c>
      <c r="H135" t="s">
        <v>9345</v>
      </c>
      <c r="I135">
        <v>606.29999999999995</v>
      </c>
      <c r="J135" t="s">
        <v>6591</v>
      </c>
      <c r="K135" t="s">
        <v>9331</v>
      </c>
      <c r="L135">
        <v>0</v>
      </c>
    </row>
    <row r="136" spans="4:12" customFormat="1" ht="13.95" customHeight="1">
      <c r="D136" t="s">
        <v>6519</v>
      </c>
      <c r="E136" t="s">
        <v>9382</v>
      </c>
      <c r="F136">
        <v>0</v>
      </c>
      <c r="G136" t="s">
        <v>6578</v>
      </c>
      <c r="H136" t="s">
        <v>9346</v>
      </c>
      <c r="I136">
        <v>0</v>
      </c>
      <c r="J136" t="s">
        <v>6591</v>
      </c>
      <c r="K136" t="s">
        <v>9332</v>
      </c>
      <c r="L136">
        <v>0</v>
      </c>
    </row>
    <row r="137" spans="4:12" customFormat="1" ht="13.95" customHeight="1">
      <c r="D137" t="s">
        <v>6519</v>
      </c>
      <c r="E137" t="s">
        <v>9381</v>
      </c>
      <c r="F137">
        <v>0</v>
      </c>
      <c r="G137" t="s">
        <v>6578</v>
      </c>
      <c r="H137" t="s">
        <v>9347</v>
      </c>
      <c r="I137">
        <v>298.39999999999998</v>
      </c>
      <c r="J137" t="s">
        <v>6591</v>
      </c>
      <c r="K137" t="s">
        <v>9333</v>
      </c>
      <c r="L137">
        <v>0</v>
      </c>
    </row>
    <row r="138" spans="4:12" customFormat="1" ht="13.95" customHeight="1">
      <c r="D138" t="s">
        <v>6520</v>
      </c>
      <c r="E138" t="s">
        <v>9328</v>
      </c>
      <c r="F138">
        <v>0</v>
      </c>
      <c r="G138" t="s">
        <v>6578</v>
      </c>
      <c r="H138" t="s">
        <v>9348</v>
      </c>
      <c r="I138">
        <v>0</v>
      </c>
      <c r="J138" t="s">
        <v>6591</v>
      </c>
      <c r="K138" t="s">
        <v>9334</v>
      </c>
      <c r="L138">
        <v>0</v>
      </c>
    </row>
    <row r="139" spans="4:12" customFormat="1" ht="13.95" customHeight="1">
      <c r="D139" t="s">
        <v>6520</v>
      </c>
      <c r="E139" t="s">
        <v>9349</v>
      </c>
      <c r="F139">
        <v>0</v>
      </c>
      <c r="G139" t="s">
        <v>6578</v>
      </c>
      <c r="H139" t="s">
        <v>9367</v>
      </c>
      <c r="I139">
        <v>0</v>
      </c>
      <c r="J139" t="s">
        <v>6591</v>
      </c>
      <c r="K139" t="s">
        <v>9335</v>
      </c>
      <c r="L139">
        <v>342.5</v>
      </c>
    </row>
    <row r="140" spans="4:12" customFormat="1" ht="13.95" customHeight="1">
      <c r="D140" t="s">
        <v>6520</v>
      </c>
      <c r="E140" t="s">
        <v>9329</v>
      </c>
      <c r="F140">
        <v>0</v>
      </c>
      <c r="G140" t="s">
        <v>6578</v>
      </c>
      <c r="H140" t="s">
        <v>9369</v>
      </c>
      <c r="I140">
        <v>0</v>
      </c>
      <c r="J140" t="s">
        <v>6591</v>
      </c>
      <c r="K140" t="s">
        <v>9336</v>
      </c>
      <c r="L140">
        <v>0</v>
      </c>
    </row>
    <row r="141" spans="4:12" customFormat="1" ht="13.95" customHeight="1">
      <c r="D141" t="s">
        <v>6520</v>
      </c>
      <c r="E141" t="s">
        <v>9350</v>
      </c>
      <c r="F141">
        <v>0</v>
      </c>
      <c r="G141" t="s">
        <v>6578</v>
      </c>
      <c r="H141" t="s">
        <v>9372</v>
      </c>
      <c r="I141">
        <v>0</v>
      </c>
      <c r="J141" t="s">
        <v>6591</v>
      </c>
      <c r="K141" t="s">
        <v>9337</v>
      </c>
      <c r="L141">
        <v>241.3</v>
      </c>
    </row>
    <row r="142" spans="4:12" customFormat="1" ht="13.95" customHeight="1">
      <c r="D142" t="s">
        <v>6520</v>
      </c>
      <c r="E142" t="s">
        <v>9330</v>
      </c>
      <c r="F142">
        <v>0</v>
      </c>
      <c r="G142" t="s">
        <v>6578</v>
      </c>
      <c r="H142" t="s">
        <v>9374</v>
      </c>
      <c r="I142">
        <v>0</v>
      </c>
      <c r="J142" t="s">
        <v>6591</v>
      </c>
      <c r="K142" t="s">
        <v>9338</v>
      </c>
      <c r="L142">
        <v>0</v>
      </c>
    </row>
    <row r="143" spans="4:12" customFormat="1" ht="13.95" customHeight="1">
      <c r="D143" t="s">
        <v>6520</v>
      </c>
      <c r="E143" t="s">
        <v>9351</v>
      </c>
      <c r="F143">
        <v>0</v>
      </c>
      <c r="G143" t="s">
        <v>6578</v>
      </c>
      <c r="H143" t="s">
        <v>9376</v>
      </c>
      <c r="I143">
        <v>0</v>
      </c>
      <c r="J143" t="s">
        <v>6591</v>
      </c>
      <c r="K143" t="s">
        <v>9339</v>
      </c>
      <c r="L143">
        <v>608.6</v>
      </c>
    </row>
    <row r="144" spans="4:12" customFormat="1" ht="13.95" customHeight="1">
      <c r="D144" t="s">
        <v>6520</v>
      </c>
      <c r="E144" t="s">
        <v>9331</v>
      </c>
      <c r="F144">
        <v>0</v>
      </c>
      <c r="G144" t="s">
        <v>6578</v>
      </c>
      <c r="H144" t="s">
        <v>9378</v>
      </c>
      <c r="I144">
        <v>0</v>
      </c>
      <c r="J144" t="s">
        <v>6591</v>
      </c>
      <c r="K144" t="s">
        <v>9343</v>
      </c>
      <c r="L144">
        <v>0</v>
      </c>
    </row>
    <row r="145" spans="4:12" customFormat="1" ht="13.95" customHeight="1">
      <c r="D145" t="s">
        <v>6520</v>
      </c>
      <c r="E145" t="s">
        <v>9352</v>
      </c>
      <c r="F145">
        <v>87.9</v>
      </c>
      <c r="G145" t="s">
        <v>6578</v>
      </c>
      <c r="H145" t="s">
        <v>9380</v>
      </c>
      <c r="I145">
        <v>0</v>
      </c>
      <c r="J145" t="s">
        <v>6591</v>
      </c>
      <c r="K145" t="s">
        <v>9344</v>
      </c>
      <c r="L145">
        <v>994.9</v>
      </c>
    </row>
    <row r="146" spans="4:12" customFormat="1" ht="13.95" customHeight="1">
      <c r="D146" t="s">
        <v>6520</v>
      </c>
      <c r="E146" t="s">
        <v>9332</v>
      </c>
      <c r="F146">
        <v>0</v>
      </c>
      <c r="G146" t="s">
        <v>6578</v>
      </c>
      <c r="H146" t="s">
        <v>9382</v>
      </c>
      <c r="I146">
        <v>0</v>
      </c>
      <c r="J146" t="s">
        <v>6591</v>
      </c>
      <c r="K146" t="s">
        <v>9345</v>
      </c>
      <c r="L146">
        <v>0</v>
      </c>
    </row>
    <row r="147" spans="4:12" customFormat="1" ht="13.95" customHeight="1">
      <c r="D147" t="s">
        <v>6520</v>
      </c>
      <c r="E147" t="s">
        <v>9353</v>
      </c>
      <c r="F147">
        <v>226.6</v>
      </c>
      <c r="G147" t="s">
        <v>6578</v>
      </c>
      <c r="H147" t="s">
        <v>9383</v>
      </c>
      <c r="I147">
        <v>0</v>
      </c>
      <c r="J147" t="s">
        <v>6591</v>
      </c>
      <c r="K147" t="s">
        <v>9346</v>
      </c>
      <c r="L147">
        <v>232</v>
      </c>
    </row>
    <row r="148" spans="4:12" customFormat="1" ht="13.95" customHeight="1">
      <c r="D148" t="s">
        <v>6520</v>
      </c>
      <c r="E148" t="s">
        <v>9333</v>
      </c>
      <c r="F148">
        <v>0</v>
      </c>
      <c r="G148" t="s">
        <v>6578</v>
      </c>
      <c r="H148" t="s">
        <v>9384</v>
      </c>
      <c r="I148">
        <v>0</v>
      </c>
      <c r="J148" t="s">
        <v>6591</v>
      </c>
      <c r="K148" t="s">
        <v>9347</v>
      </c>
      <c r="L148">
        <v>0</v>
      </c>
    </row>
    <row r="149" spans="4:12" customFormat="1" ht="13.95" customHeight="1">
      <c r="D149" t="s">
        <v>6520</v>
      </c>
      <c r="E149" t="s">
        <v>9354</v>
      </c>
      <c r="F149">
        <v>563.6</v>
      </c>
      <c r="G149" t="s">
        <v>6578</v>
      </c>
      <c r="H149" t="s">
        <v>9385</v>
      </c>
      <c r="I149">
        <v>0</v>
      </c>
      <c r="J149" t="s">
        <v>6591</v>
      </c>
      <c r="K149" t="s">
        <v>9348</v>
      </c>
      <c r="L149">
        <v>212</v>
      </c>
    </row>
    <row r="150" spans="4:12" customFormat="1" ht="13.95" customHeight="1">
      <c r="D150" t="s">
        <v>6520</v>
      </c>
      <c r="E150" t="s">
        <v>9334</v>
      </c>
      <c r="F150">
        <v>0</v>
      </c>
      <c r="G150" t="s">
        <v>6578</v>
      </c>
      <c r="H150" t="s">
        <v>9386</v>
      </c>
      <c r="I150">
        <v>0</v>
      </c>
      <c r="J150" t="s">
        <v>6591</v>
      </c>
      <c r="K150" t="s">
        <v>9367</v>
      </c>
      <c r="L150">
        <v>111.9</v>
      </c>
    </row>
    <row r="151" spans="4:12" customFormat="1" ht="13.95" customHeight="1">
      <c r="D151" t="s">
        <v>6520</v>
      </c>
      <c r="E151" t="s">
        <v>9355</v>
      </c>
      <c r="F151">
        <v>278</v>
      </c>
      <c r="G151" t="s">
        <v>6578</v>
      </c>
      <c r="H151" t="s">
        <v>9387</v>
      </c>
      <c r="I151">
        <v>0</v>
      </c>
      <c r="J151" t="s">
        <v>6591</v>
      </c>
      <c r="K151" t="s">
        <v>9369</v>
      </c>
      <c r="L151">
        <v>232.1</v>
      </c>
    </row>
    <row r="152" spans="4:12" customFormat="1" ht="13.95" customHeight="1">
      <c r="D152" t="s">
        <v>6520</v>
      </c>
      <c r="E152" t="s">
        <v>9335</v>
      </c>
      <c r="F152">
        <v>0</v>
      </c>
      <c r="G152" t="s">
        <v>6578</v>
      </c>
      <c r="H152" t="s">
        <v>9388</v>
      </c>
      <c r="I152">
        <v>0</v>
      </c>
      <c r="J152" t="s">
        <v>6591</v>
      </c>
      <c r="K152" t="s">
        <v>9372</v>
      </c>
      <c r="L152">
        <v>0</v>
      </c>
    </row>
    <row r="153" spans="4:12" customFormat="1" ht="13.95" customHeight="1">
      <c r="D153" t="s">
        <v>6520</v>
      </c>
      <c r="E153" t="s">
        <v>9356</v>
      </c>
      <c r="F153">
        <v>45.9</v>
      </c>
      <c r="G153" t="s">
        <v>6578</v>
      </c>
      <c r="H153" t="s">
        <v>9389</v>
      </c>
      <c r="I153">
        <v>0</v>
      </c>
      <c r="J153" t="s">
        <v>6591</v>
      </c>
      <c r="K153" t="s">
        <v>9374</v>
      </c>
      <c r="L153">
        <v>0</v>
      </c>
    </row>
    <row r="154" spans="4:12" customFormat="1" ht="13.95" customHeight="1">
      <c r="D154" t="s">
        <v>6520</v>
      </c>
      <c r="E154" t="s">
        <v>9336</v>
      </c>
      <c r="F154">
        <v>0</v>
      </c>
      <c r="G154" t="s">
        <v>6578</v>
      </c>
      <c r="H154" t="s">
        <v>9390</v>
      </c>
      <c r="I154">
        <v>0</v>
      </c>
      <c r="J154" t="s">
        <v>6591</v>
      </c>
      <c r="K154" t="s">
        <v>9376</v>
      </c>
      <c r="L154">
        <v>190.5</v>
      </c>
    </row>
    <row r="155" spans="4:12" customFormat="1" ht="13.95" customHeight="1">
      <c r="D155" t="s">
        <v>6520</v>
      </c>
      <c r="E155" t="s">
        <v>9357</v>
      </c>
      <c r="F155">
        <v>628.6</v>
      </c>
      <c r="G155" t="s">
        <v>6578</v>
      </c>
      <c r="H155" t="s">
        <v>9391</v>
      </c>
      <c r="I155">
        <v>0</v>
      </c>
      <c r="J155" t="s">
        <v>6591</v>
      </c>
      <c r="K155" t="s">
        <v>9378</v>
      </c>
      <c r="L155">
        <v>0</v>
      </c>
    </row>
    <row r="156" spans="4:12" customFormat="1" ht="13.95" customHeight="1">
      <c r="D156" t="s">
        <v>6520</v>
      </c>
      <c r="E156" t="s">
        <v>9337</v>
      </c>
      <c r="F156">
        <v>0</v>
      </c>
      <c r="G156" t="s">
        <v>6578</v>
      </c>
      <c r="H156" t="s">
        <v>9392</v>
      </c>
      <c r="I156">
        <v>0</v>
      </c>
      <c r="J156" t="s">
        <v>6591</v>
      </c>
      <c r="K156" t="s">
        <v>9380</v>
      </c>
      <c r="L156">
        <v>242.5</v>
      </c>
    </row>
    <row r="157" spans="4:12" customFormat="1" ht="13.95" customHeight="1">
      <c r="D157" t="s">
        <v>6520</v>
      </c>
      <c r="E157" t="s">
        <v>9358</v>
      </c>
      <c r="F157">
        <v>106.2</v>
      </c>
      <c r="G157" t="s">
        <v>6578</v>
      </c>
      <c r="H157" t="s">
        <v>9393</v>
      </c>
      <c r="I157">
        <v>0</v>
      </c>
      <c r="J157" t="s">
        <v>6591</v>
      </c>
      <c r="K157" t="s">
        <v>9382</v>
      </c>
      <c r="L157">
        <v>338.8</v>
      </c>
    </row>
    <row r="158" spans="4:12" customFormat="1" ht="13.95" customHeight="1">
      <c r="D158" t="s">
        <v>6520</v>
      </c>
      <c r="E158" t="s">
        <v>9338</v>
      </c>
      <c r="F158">
        <v>0</v>
      </c>
      <c r="G158" t="s">
        <v>6578</v>
      </c>
      <c r="H158" t="s">
        <v>9394</v>
      </c>
      <c r="I158">
        <v>0</v>
      </c>
      <c r="J158" t="s">
        <v>6591</v>
      </c>
      <c r="K158" t="s">
        <v>9383</v>
      </c>
      <c r="L158">
        <v>429.2</v>
      </c>
    </row>
    <row r="159" spans="4:12" customFormat="1" ht="13.95" customHeight="1">
      <c r="D159" t="s">
        <v>6520</v>
      </c>
      <c r="E159" t="s">
        <v>9359</v>
      </c>
      <c r="F159">
        <v>418.9</v>
      </c>
      <c r="G159" t="s">
        <v>6578</v>
      </c>
      <c r="H159" t="s">
        <v>9395</v>
      </c>
      <c r="I159">
        <v>0</v>
      </c>
      <c r="J159" t="s">
        <v>6591</v>
      </c>
      <c r="K159" t="s">
        <v>9384</v>
      </c>
      <c r="L159">
        <v>131.5</v>
      </c>
    </row>
    <row r="160" spans="4:12" customFormat="1" ht="13.95" customHeight="1">
      <c r="D160" t="s">
        <v>6520</v>
      </c>
      <c r="E160" t="s">
        <v>9339</v>
      </c>
      <c r="F160">
        <v>0</v>
      </c>
      <c r="G160" t="s">
        <v>6578</v>
      </c>
      <c r="H160" t="s">
        <v>9396</v>
      </c>
      <c r="I160">
        <v>0</v>
      </c>
      <c r="J160" t="s">
        <v>6591</v>
      </c>
      <c r="K160" t="s">
        <v>9385</v>
      </c>
      <c r="L160">
        <v>477.5</v>
      </c>
    </row>
    <row r="161" spans="4:12" customFormat="1" ht="13.95" customHeight="1">
      <c r="D161" t="s">
        <v>6520</v>
      </c>
      <c r="E161" t="s">
        <v>9360</v>
      </c>
      <c r="F161">
        <v>404.2</v>
      </c>
      <c r="G161" t="s">
        <v>6578</v>
      </c>
      <c r="H161" t="s">
        <v>9397</v>
      </c>
      <c r="I161">
        <v>0</v>
      </c>
      <c r="J161" t="s">
        <v>6591</v>
      </c>
      <c r="K161" t="s">
        <v>9386</v>
      </c>
      <c r="L161">
        <v>521.4</v>
      </c>
    </row>
    <row r="162" spans="4:12" customFormat="1" ht="13.95" customHeight="1">
      <c r="D162" t="s">
        <v>6520</v>
      </c>
      <c r="E162" t="s">
        <v>9343</v>
      </c>
      <c r="F162">
        <v>0</v>
      </c>
      <c r="G162" t="s">
        <v>6578</v>
      </c>
      <c r="H162" t="s">
        <v>9398</v>
      </c>
      <c r="I162">
        <v>0</v>
      </c>
      <c r="J162" t="s">
        <v>6591</v>
      </c>
      <c r="K162" t="s">
        <v>9387</v>
      </c>
      <c r="L162">
        <v>582.9</v>
      </c>
    </row>
    <row r="163" spans="4:12" customFormat="1" ht="13.95" customHeight="1">
      <c r="D163" t="s">
        <v>6520</v>
      </c>
      <c r="E163" t="s">
        <v>9361</v>
      </c>
      <c r="F163">
        <v>0</v>
      </c>
      <c r="G163" t="s">
        <v>6578</v>
      </c>
      <c r="H163" t="s">
        <v>9399</v>
      </c>
      <c r="I163">
        <v>0</v>
      </c>
      <c r="J163" t="s">
        <v>6591</v>
      </c>
      <c r="K163" t="s">
        <v>9388</v>
      </c>
      <c r="L163">
        <v>0</v>
      </c>
    </row>
    <row r="164" spans="4:12" customFormat="1" ht="13.95" customHeight="1">
      <c r="D164" t="s">
        <v>6520</v>
      </c>
      <c r="E164" t="s">
        <v>9344</v>
      </c>
      <c r="F164">
        <v>0</v>
      </c>
      <c r="G164" t="s">
        <v>6578</v>
      </c>
      <c r="H164" t="s">
        <v>9400</v>
      </c>
      <c r="I164">
        <v>0</v>
      </c>
      <c r="J164" t="s">
        <v>6591</v>
      </c>
      <c r="K164" t="s">
        <v>9389</v>
      </c>
      <c r="L164">
        <v>0</v>
      </c>
    </row>
    <row r="165" spans="4:12" customFormat="1" ht="13.95" customHeight="1">
      <c r="D165" t="s">
        <v>6520</v>
      </c>
      <c r="E165" t="s">
        <v>9362</v>
      </c>
      <c r="F165">
        <v>0</v>
      </c>
      <c r="G165" t="s">
        <v>6578</v>
      </c>
      <c r="H165" t="s">
        <v>9401</v>
      </c>
      <c r="I165">
        <v>0</v>
      </c>
      <c r="J165" t="s">
        <v>6591</v>
      </c>
      <c r="K165" t="s">
        <v>9390</v>
      </c>
      <c r="L165">
        <v>0</v>
      </c>
    </row>
    <row r="166" spans="4:12" customFormat="1" ht="13.95" customHeight="1">
      <c r="D166" t="s">
        <v>6520</v>
      </c>
      <c r="E166" t="s">
        <v>9345</v>
      </c>
      <c r="F166">
        <v>0</v>
      </c>
      <c r="G166" t="s">
        <v>6578</v>
      </c>
      <c r="H166" t="s">
        <v>9402</v>
      </c>
      <c r="I166">
        <v>0</v>
      </c>
      <c r="J166" t="s">
        <v>6591</v>
      </c>
      <c r="K166" t="s">
        <v>9391</v>
      </c>
      <c r="L166">
        <v>0</v>
      </c>
    </row>
    <row r="167" spans="4:12" customFormat="1" ht="13.95" customHeight="1">
      <c r="D167" t="s">
        <v>6520</v>
      </c>
      <c r="E167" t="s">
        <v>9363</v>
      </c>
      <c r="F167">
        <v>0</v>
      </c>
      <c r="G167" t="s">
        <v>6578</v>
      </c>
      <c r="H167" t="s">
        <v>9403</v>
      </c>
      <c r="I167">
        <v>0</v>
      </c>
      <c r="J167" t="s">
        <v>6591</v>
      </c>
      <c r="K167" t="s">
        <v>9392</v>
      </c>
      <c r="L167">
        <v>532.6</v>
      </c>
    </row>
    <row r="168" spans="4:12" customFormat="1" ht="13.95" customHeight="1">
      <c r="D168" t="s">
        <v>6520</v>
      </c>
      <c r="E168" t="s">
        <v>9346</v>
      </c>
      <c r="F168">
        <v>0</v>
      </c>
      <c r="G168" t="s">
        <v>6578</v>
      </c>
      <c r="H168" t="s">
        <v>9404</v>
      </c>
      <c r="I168">
        <v>0</v>
      </c>
      <c r="J168" t="s">
        <v>6591</v>
      </c>
      <c r="K168" t="s">
        <v>9393</v>
      </c>
      <c r="L168">
        <v>768.8</v>
      </c>
    </row>
    <row r="169" spans="4:12" customFormat="1" ht="13.95" customHeight="1">
      <c r="D169" t="s">
        <v>6520</v>
      </c>
      <c r="E169" t="s">
        <v>9364</v>
      </c>
      <c r="F169">
        <v>0</v>
      </c>
      <c r="G169" t="s">
        <v>6578</v>
      </c>
      <c r="H169" t="s">
        <v>9405</v>
      </c>
      <c r="I169">
        <v>0</v>
      </c>
      <c r="J169" t="s">
        <v>6591</v>
      </c>
      <c r="K169" t="s">
        <v>9394</v>
      </c>
      <c r="L169">
        <v>317.3</v>
      </c>
    </row>
    <row r="170" spans="4:12" customFormat="1" ht="13.95" customHeight="1">
      <c r="D170" t="s">
        <v>6520</v>
      </c>
      <c r="E170" t="s">
        <v>9347</v>
      </c>
      <c r="F170">
        <v>0</v>
      </c>
      <c r="G170" t="s">
        <v>6578</v>
      </c>
      <c r="H170" t="s">
        <v>9406</v>
      </c>
      <c r="I170">
        <v>0</v>
      </c>
      <c r="J170" t="s">
        <v>6591</v>
      </c>
      <c r="K170" t="s">
        <v>9395</v>
      </c>
      <c r="L170">
        <v>0</v>
      </c>
    </row>
    <row r="171" spans="4:12" customFormat="1" ht="13.95" customHeight="1">
      <c r="D171" t="s">
        <v>6520</v>
      </c>
      <c r="E171" t="s">
        <v>9365</v>
      </c>
      <c r="F171">
        <v>256.89999999999998</v>
      </c>
      <c r="G171" t="s">
        <v>6579</v>
      </c>
      <c r="H171" t="s">
        <v>9328</v>
      </c>
      <c r="I171">
        <v>446.6</v>
      </c>
      <c r="J171" t="s">
        <v>6591</v>
      </c>
      <c r="K171" t="s">
        <v>9396</v>
      </c>
      <c r="L171">
        <v>773.3</v>
      </c>
    </row>
    <row r="172" spans="4:12" customFormat="1" ht="13.95" customHeight="1">
      <c r="D172" t="s">
        <v>6520</v>
      </c>
      <c r="E172" t="s">
        <v>9348</v>
      </c>
      <c r="F172">
        <v>0</v>
      </c>
      <c r="G172" t="s">
        <v>6579</v>
      </c>
      <c r="H172" t="s">
        <v>9329</v>
      </c>
      <c r="I172">
        <v>0</v>
      </c>
      <c r="J172" t="s">
        <v>6587</v>
      </c>
      <c r="K172" t="s">
        <v>9328</v>
      </c>
      <c r="L172">
        <v>83.8</v>
      </c>
    </row>
    <row r="173" spans="4:12" customFormat="1" ht="13.95" customHeight="1">
      <c r="D173" t="s">
        <v>6520</v>
      </c>
      <c r="E173" t="s">
        <v>9366</v>
      </c>
      <c r="F173">
        <v>230.7</v>
      </c>
      <c r="G173" t="s">
        <v>6579</v>
      </c>
      <c r="H173" t="s">
        <v>9330</v>
      </c>
      <c r="I173">
        <v>656.9</v>
      </c>
      <c r="J173" t="s">
        <v>6587</v>
      </c>
      <c r="K173" t="s">
        <v>9329</v>
      </c>
      <c r="L173">
        <v>254.8</v>
      </c>
    </row>
    <row r="174" spans="4:12" customFormat="1" ht="13.95" customHeight="1">
      <c r="D174" t="s">
        <v>6520</v>
      </c>
      <c r="E174" t="s">
        <v>9367</v>
      </c>
      <c r="F174">
        <v>0</v>
      </c>
      <c r="G174" t="s">
        <v>6579</v>
      </c>
      <c r="H174" t="s">
        <v>9331</v>
      </c>
      <c r="I174">
        <v>0</v>
      </c>
      <c r="J174" t="s">
        <v>6587</v>
      </c>
      <c r="K174" t="s">
        <v>9330</v>
      </c>
      <c r="L174">
        <v>70.900000000000006</v>
      </c>
    </row>
    <row r="175" spans="4:12" customFormat="1" ht="13.95" customHeight="1">
      <c r="D175" t="s">
        <v>6520</v>
      </c>
      <c r="E175" t="s">
        <v>9368</v>
      </c>
      <c r="F175">
        <v>233.9</v>
      </c>
      <c r="G175" t="s">
        <v>6579</v>
      </c>
      <c r="H175" t="s">
        <v>9332</v>
      </c>
      <c r="I175">
        <v>145.4</v>
      </c>
      <c r="J175" t="s">
        <v>6587</v>
      </c>
      <c r="K175" t="s">
        <v>9331</v>
      </c>
      <c r="L175">
        <v>0</v>
      </c>
    </row>
    <row r="176" spans="4:12" customFormat="1" ht="13.95" customHeight="1">
      <c r="D176" t="s">
        <v>6520</v>
      </c>
      <c r="E176" t="s">
        <v>9370</v>
      </c>
      <c r="F176">
        <v>260</v>
      </c>
      <c r="G176" t="s">
        <v>6579</v>
      </c>
      <c r="H176" t="s">
        <v>9333</v>
      </c>
      <c r="I176">
        <v>0</v>
      </c>
      <c r="J176" t="s">
        <v>6587</v>
      </c>
      <c r="K176" t="s">
        <v>9332</v>
      </c>
      <c r="L176">
        <v>0</v>
      </c>
    </row>
    <row r="177" spans="4:12" customFormat="1" ht="13.95" customHeight="1">
      <c r="D177" t="s">
        <v>6520</v>
      </c>
      <c r="E177" t="s">
        <v>9369</v>
      </c>
      <c r="F177">
        <v>490.9</v>
      </c>
      <c r="G177" t="s">
        <v>6579</v>
      </c>
      <c r="H177" t="s">
        <v>9334</v>
      </c>
      <c r="I177">
        <v>645.1</v>
      </c>
      <c r="J177" t="s">
        <v>6587</v>
      </c>
      <c r="K177" t="s">
        <v>9333</v>
      </c>
      <c r="L177">
        <v>0</v>
      </c>
    </row>
    <row r="178" spans="4:12" customFormat="1" ht="13.95" customHeight="1">
      <c r="D178" t="s">
        <v>6520</v>
      </c>
      <c r="E178" t="s">
        <v>9371</v>
      </c>
      <c r="F178">
        <v>171</v>
      </c>
      <c r="G178" t="s">
        <v>6579</v>
      </c>
      <c r="H178" t="s">
        <v>9335</v>
      </c>
      <c r="I178">
        <v>0</v>
      </c>
      <c r="J178" t="s">
        <v>6587</v>
      </c>
      <c r="K178" t="s">
        <v>9334</v>
      </c>
      <c r="L178">
        <v>153.69999999999999</v>
      </c>
    </row>
    <row r="179" spans="4:12" customFormat="1" ht="13.95" customHeight="1">
      <c r="D179" t="s">
        <v>6520</v>
      </c>
      <c r="E179" t="s">
        <v>9372</v>
      </c>
      <c r="F179">
        <v>280.39999999999998</v>
      </c>
      <c r="G179" t="s">
        <v>6579</v>
      </c>
      <c r="H179" t="s">
        <v>9336</v>
      </c>
      <c r="I179">
        <v>662.2</v>
      </c>
      <c r="J179" t="s">
        <v>6587</v>
      </c>
      <c r="K179" t="s">
        <v>9335</v>
      </c>
      <c r="L179">
        <v>708.4</v>
      </c>
    </row>
    <row r="180" spans="4:12" customFormat="1" ht="13.95" customHeight="1">
      <c r="D180" t="s">
        <v>6520</v>
      </c>
      <c r="E180" t="s">
        <v>9373</v>
      </c>
      <c r="F180">
        <v>216</v>
      </c>
      <c r="G180" t="s">
        <v>6579</v>
      </c>
      <c r="H180" t="s">
        <v>9337</v>
      </c>
      <c r="I180">
        <v>0</v>
      </c>
      <c r="J180" t="s">
        <v>6587</v>
      </c>
      <c r="K180" t="s">
        <v>9336</v>
      </c>
      <c r="L180">
        <v>186.3</v>
      </c>
    </row>
    <row r="181" spans="4:12" customFormat="1" ht="13.95" customHeight="1">
      <c r="D181" t="s">
        <v>6520</v>
      </c>
      <c r="E181" t="s">
        <v>9374</v>
      </c>
      <c r="F181">
        <v>0</v>
      </c>
      <c r="G181" t="s">
        <v>6579</v>
      </c>
      <c r="H181" t="s">
        <v>9338</v>
      </c>
      <c r="I181">
        <v>596.29999999999995</v>
      </c>
      <c r="J181" t="s">
        <v>6587</v>
      </c>
      <c r="K181" t="s">
        <v>9337</v>
      </c>
      <c r="L181">
        <v>76.3</v>
      </c>
    </row>
    <row r="182" spans="4:12" customFormat="1" ht="13.95" customHeight="1">
      <c r="D182" t="s">
        <v>6520</v>
      </c>
      <c r="E182" t="s">
        <v>9375</v>
      </c>
      <c r="F182">
        <v>452.9</v>
      </c>
      <c r="G182" t="s">
        <v>6579</v>
      </c>
      <c r="H182" t="s">
        <v>9339</v>
      </c>
      <c r="I182">
        <v>0</v>
      </c>
      <c r="J182" t="s">
        <v>6587</v>
      </c>
      <c r="K182" t="s">
        <v>9338</v>
      </c>
      <c r="L182">
        <v>0</v>
      </c>
    </row>
    <row r="183" spans="4:12" customFormat="1" ht="13.95" customHeight="1">
      <c r="D183" t="s">
        <v>6520</v>
      </c>
      <c r="E183" t="s">
        <v>9376</v>
      </c>
      <c r="F183">
        <v>370.5</v>
      </c>
      <c r="G183" t="s">
        <v>6579</v>
      </c>
      <c r="H183" t="s">
        <v>9343</v>
      </c>
      <c r="I183">
        <v>528.79999999999995</v>
      </c>
      <c r="J183" t="s">
        <v>6587</v>
      </c>
      <c r="K183" t="s">
        <v>9339</v>
      </c>
      <c r="L183">
        <v>640.1</v>
      </c>
    </row>
    <row r="184" spans="4:12" customFormat="1" ht="13.95" customHeight="1">
      <c r="D184" t="s">
        <v>6520</v>
      </c>
      <c r="E184" t="s">
        <v>9377</v>
      </c>
      <c r="F184">
        <v>442.7</v>
      </c>
      <c r="G184" t="s">
        <v>6579</v>
      </c>
      <c r="H184" t="s">
        <v>9344</v>
      </c>
      <c r="I184">
        <v>0</v>
      </c>
      <c r="J184" t="s">
        <v>6587</v>
      </c>
      <c r="K184" t="s">
        <v>9343</v>
      </c>
      <c r="L184">
        <v>392.7</v>
      </c>
    </row>
    <row r="185" spans="4:12" customFormat="1" ht="13.95" customHeight="1">
      <c r="D185" t="s">
        <v>6520</v>
      </c>
      <c r="E185" t="s">
        <v>9378</v>
      </c>
      <c r="F185">
        <v>0</v>
      </c>
      <c r="G185" t="s">
        <v>6579</v>
      </c>
      <c r="H185" t="s">
        <v>9345</v>
      </c>
      <c r="I185">
        <v>555.6</v>
      </c>
      <c r="J185" t="s">
        <v>6587</v>
      </c>
      <c r="K185" t="s">
        <v>9344</v>
      </c>
      <c r="L185">
        <v>2271.5</v>
      </c>
    </row>
    <row r="186" spans="4:12" customFormat="1" ht="13.95" customHeight="1">
      <c r="D186" t="s">
        <v>6520</v>
      </c>
      <c r="E186" t="s">
        <v>9379</v>
      </c>
      <c r="F186">
        <v>582.79999999999995</v>
      </c>
      <c r="G186" t="s">
        <v>6579</v>
      </c>
      <c r="H186" t="s">
        <v>9346</v>
      </c>
      <c r="I186">
        <v>0</v>
      </c>
      <c r="J186" t="s">
        <v>6587</v>
      </c>
      <c r="K186" t="s">
        <v>9345</v>
      </c>
      <c r="L186">
        <v>272.10000000000002</v>
      </c>
    </row>
    <row r="187" spans="4:12" customFormat="1" ht="13.95" customHeight="1">
      <c r="D187" t="s">
        <v>6520</v>
      </c>
      <c r="E187" t="s">
        <v>9380</v>
      </c>
      <c r="F187">
        <v>617.29999999999995</v>
      </c>
      <c r="G187" t="s">
        <v>6579</v>
      </c>
      <c r="H187" t="s">
        <v>9347</v>
      </c>
      <c r="I187">
        <v>264.5</v>
      </c>
      <c r="J187" t="s">
        <v>6587</v>
      </c>
      <c r="K187" t="s">
        <v>9346</v>
      </c>
      <c r="L187">
        <v>0</v>
      </c>
    </row>
    <row r="188" spans="4:12" customFormat="1" ht="13.95" customHeight="1">
      <c r="D188" t="s">
        <v>6520</v>
      </c>
      <c r="E188" t="s">
        <v>9381</v>
      </c>
      <c r="F188">
        <v>642.4</v>
      </c>
      <c r="G188" t="s">
        <v>6579</v>
      </c>
      <c r="H188" t="s">
        <v>9348</v>
      </c>
      <c r="I188">
        <v>0</v>
      </c>
      <c r="J188" t="s">
        <v>6587</v>
      </c>
      <c r="K188" t="s">
        <v>9347</v>
      </c>
      <c r="L188">
        <v>436.9</v>
      </c>
    </row>
    <row r="189" spans="4:12" customFormat="1" ht="13.95" customHeight="1">
      <c r="D189" t="s">
        <v>6520</v>
      </c>
      <c r="E189" t="s">
        <v>9382</v>
      </c>
      <c r="F189">
        <v>904.4</v>
      </c>
      <c r="G189" t="s">
        <v>6579</v>
      </c>
      <c r="H189" t="s">
        <v>9367</v>
      </c>
      <c r="I189">
        <v>0</v>
      </c>
      <c r="J189" t="s">
        <v>6587</v>
      </c>
      <c r="K189" t="s">
        <v>9348</v>
      </c>
      <c r="L189">
        <v>0</v>
      </c>
    </row>
    <row r="190" spans="4:12" customFormat="1" ht="13.95" customHeight="1">
      <c r="D190" t="s">
        <v>6521</v>
      </c>
      <c r="E190" t="s">
        <v>9328</v>
      </c>
      <c r="F190">
        <v>0</v>
      </c>
      <c r="G190" t="s">
        <v>6579</v>
      </c>
      <c r="H190" t="s">
        <v>9369</v>
      </c>
      <c r="I190">
        <v>0</v>
      </c>
      <c r="J190" t="s">
        <v>6587</v>
      </c>
      <c r="K190" t="s">
        <v>9367</v>
      </c>
      <c r="L190">
        <v>0</v>
      </c>
    </row>
    <row r="191" spans="4:12" customFormat="1" ht="13.95" customHeight="1">
      <c r="D191" t="s">
        <v>6521</v>
      </c>
      <c r="E191" t="s">
        <v>9349</v>
      </c>
      <c r="F191">
        <v>0</v>
      </c>
      <c r="G191" t="s">
        <v>6579</v>
      </c>
      <c r="H191" t="s">
        <v>9372</v>
      </c>
      <c r="I191">
        <v>0</v>
      </c>
      <c r="J191" t="s">
        <v>6587</v>
      </c>
      <c r="K191" t="s">
        <v>9369</v>
      </c>
      <c r="L191">
        <v>280.60000000000002</v>
      </c>
    </row>
    <row r="192" spans="4:12" customFormat="1" ht="13.95" customHeight="1">
      <c r="D192" t="s">
        <v>6521</v>
      </c>
      <c r="E192" t="s">
        <v>9329</v>
      </c>
      <c r="F192">
        <v>0</v>
      </c>
      <c r="G192" t="s">
        <v>6579</v>
      </c>
      <c r="H192" t="s">
        <v>9374</v>
      </c>
      <c r="I192">
        <v>0</v>
      </c>
      <c r="J192" t="s">
        <v>6587</v>
      </c>
      <c r="K192" t="s">
        <v>9372</v>
      </c>
      <c r="L192">
        <v>0</v>
      </c>
    </row>
    <row r="193" spans="4:12" customFormat="1" ht="13.95" customHeight="1">
      <c r="D193" t="s">
        <v>6521</v>
      </c>
      <c r="E193" t="s">
        <v>9350</v>
      </c>
      <c r="F193">
        <v>0</v>
      </c>
      <c r="G193" t="s">
        <v>6579</v>
      </c>
      <c r="H193" t="s">
        <v>9376</v>
      </c>
      <c r="I193">
        <v>0</v>
      </c>
      <c r="J193" t="s">
        <v>6587</v>
      </c>
      <c r="K193" t="s">
        <v>9374</v>
      </c>
      <c r="L193">
        <v>0</v>
      </c>
    </row>
    <row r="194" spans="4:12" customFormat="1" ht="13.95" customHeight="1">
      <c r="D194" t="s">
        <v>6521</v>
      </c>
      <c r="E194" t="s">
        <v>9330</v>
      </c>
      <c r="F194">
        <v>0</v>
      </c>
      <c r="G194" t="s">
        <v>6579</v>
      </c>
      <c r="H194" t="s">
        <v>9378</v>
      </c>
      <c r="I194">
        <v>0</v>
      </c>
      <c r="J194" t="s">
        <v>6587</v>
      </c>
      <c r="K194" t="s">
        <v>9376</v>
      </c>
      <c r="L194">
        <v>0</v>
      </c>
    </row>
    <row r="195" spans="4:12" customFormat="1" ht="13.95" customHeight="1">
      <c r="D195" t="s">
        <v>6521</v>
      </c>
      <c r="E195" t="s">
        <v>9351</v>
      </c>
      <c r="F195">
        <v>0</v>
      </c>
      <c r="G195" t="s">
        <v>6579</v>
      </c>
      <c r="H195" t="s">
        <v>9380</v>
      </c>
      <c r="I195">
        <v>0</v>
      </c>
      <c r="J195" t="s">
        <v>6587</v>
      </c>
      <c r="K195" t="s">
        <v>9378</v>
      </c>
      <c r="L195">
        <v>220.8</v>
      </c>
    </row>
    <row r="196" spans="4:12" customFormat="1" ht="13.95" customHeight="1">
      <c r="D196" t="s">
        <v>6521</v>
      </c>
      <c r="E196" t="s">
        <v>9331</v>
      </c>
      <c r="F196">
        <v>0</v>
      </c>
      <c r="G196" t="s">
        <v>6579</v>
      </c>
      <c r="H196" t="s">
        <v>9382</v>
      </c>
      <c r="I196">
        <v>0</v>
      </c>
      <c r="J196" t="s">
        <v>6587</v>
      </c>
      <c r="K196" t="s">
        <v>9380</v>
      </c>
      <c r="L196">
        <v>0</v>
      </c>
    </row>
    <row r="197" spans="4:12" customFormat="1" ht="13.95" customHeight="1">
      <c r="D197" t="s">
        <v>6521</v>
      </c>
      <c r="E197" t="s">
        <v>9352</v>
      </c>
      <c r="F197">
        <v>89</v>
      </c>
      <c r="G197" t="s">
        <v>6579</v>
      </c>
      <c r="H197" t="s">
        <v>9383</v>
      </c>
      <c r="I197">
        <v>0</v>
      </c>
      <c r="J197" t="s">
        <v>6587</v>
      </c>
      <c r="K197" t="s">
        <v>9382</v>
      </c>
      <c r="L197">
        <v>26.4</v>
      </c>
    </row>
    <row r="198" spans="4:12" customFormat="1" ht="13.95" customHeight="1">
      <c r="D198" t="s">
        <v>6521</v>
      </c>
      <c r="E198" t="s">
        <v>9332</v>
      </c>
      <c r="F198">
        <v>0</v>
      </c>
      <c r="G198" t="s">
        <v>6579</v>
      </c>
      <c r="H198" t="s">
        <v>9384</v>
      </c>
      <c r="I198">
        <v>0</v>
      </c>
      <c r="J198" t="s">
        <v>6587</v>
      </c>
      <c r="K198" t="s">
        <v>9383</v>
      </c>
      <c r="L198">
        <v>896.9</v>
      </c>
    </row>
    <row r="199" spans="4:12" customFormat="1" ht="13.95" customHeight="1">
      <c r="D199" t="s">
        <v>6521</v>
      </c>
      <c r="E199" t="s">
        <v>9353</v>
      </c>
      <c r="F199">
        <v>274.8</v>
      </c>
      <c r="G199" t="s">
        <v>6579</v>
      </c>
      <c r="H199" t="s">
        <v>9385</v>
      </c>
      <c r="I199">
        <v>0</v>
      </c>
      <c r="J199" t="s">
        <v>6587</v>
      </c>
      <c r="K199" t="s">
        <v>9384</v>
      </c>
      <c r="L199">
        <v>0</v>
      </c>
    </row>
    <row r="200" spans="4:12" customFormat="1" ht="13.95" customHeight="1">
      <c r="D200" t="s">
        <v>6521</v>
      </c>
      <c r="E200" t="s">
        <v>9333</v>
      </c>
      <c r="F200">
        <v>0</v>
      </c>
      <c r="G200" t="s">
        <v>6579</v>
      </c>
      <c r="H200" t="s">
        <v>9386</v>
      </c>
      <c r="I200">
        <v>0</v>
      </c>
      <c r="J200" t="s">
        <v>6587</v>
      </c>
      <c r="K200" t="s">
        <v>9385</v>
      </c>
      <c r="L200">
        <v>0</v>
      </c>
    </row>
    <row r="201" spans="4:12" customFormat="1" ht="13.95" customHeight="1">
      <c r="D201" t="s">
        <v>6521</v>
      </c>
      <c r="E201" t="s">
        <v>9354</v>
      </c>
      <c r="F201">
        <v>559.70000000000005</v>
      </c>
      <c r="G201" t="s">
        <v>6579</v>
      </c>
      <c r="H201" t="s">
        <v>9387</v>
      </c>
      <c r="I201">
        <v>0</v>
      </c>
      <c r="J201" t="s">
        <v>6587</v>
      </c>
      <c r="K201" t="s">
        <v>9386</v>
      </c>
      <c r="L201">
        <v>294.3</v>
      </c>
    </row>
    <row r="202" spans="4:12" customFormat="1" ht="13.95" customHeight="1">
      <c r="D202" t="s">
        <v>6521</v>
      </c>
      <c r="E202" t="s">
        <v>9334</v>
      </c>
      <c r="F202">
        <v>0</v>
      </c>
      <c r="G202" t="s">
        <v>6579</v>
      </c>
      <c r="H202" t="s">
        <v>9388</v>
      </c>
      <c r="I202">
        <v>0</v>
      </c>
      <c r="J202" t="s">
        <v>6587</v>
      </c>
      <c r="K202" t="s">
        <v>9387</v>
      </c>
      <c r="L202">
        <v>0</v>
      </c>
    </row>
    <row r="203" spans="4:12" customFormat="1" ht="13.95" customHeight="1">
      <c r="D203" t="s">
        <v>6521</v>
      </c>
      <c r="E203" t="s">
        <v>9355</v>
      </c>
      <c r="F203">
        <v>283.10000000000002</v>
      </c>
      <c r="G203" t="s">
        <v>6579</v>
      </c>
      <c r="H203" t="s">
        <v>9389</v>
      </c>
      <c r="I203">
        <v>0</v>
      </c>
      <c r="J203" t="s">
        <v>6587</v>
      </c>
      <c r="K203" t="s">
        <v>9388</v>
      </c>
      <c r="L203">
        <v>543.29999999999995</v>
      </c>
    </row>
    <row r="204" spans="4:12" customFormat="1" ht="13.95" customHeight="1">
      <c r="D204" t="s">
        <v>6521</v>
      </c>
      <c r="E204" t="s">
        <v>9335</v>
      </c>
      <c r="F204">
        <v>0</v>
      </c>
      <c r="G204" t="s">
        <v>6579</v>
      </c>
      <c r="H204" t="s">
        <v>9390</v>
      </c>
      <c r="I204">
        <v>0</v>
      </c>
      <c r="J204" t="s">
        <v>6587</v>
      </c>
      <c r="K204" t="s">
        <v>9389</v>
      </c>
      <c r="L204">
        <v>0</v>
      </c>
    </row>
    <row r="205" spans="4:12" customFormat="1" ht="13.95" customHeight="1">
      <c r="D205" t="s">
        <v>6521</v>
      </c>
      <c r="E205" t="s">
        <v>9356</v>
      </c>
      <c r="F205">
        <v>149.4</v>
      </c>
      <c r="G205" t="s">
        <v>6579</v>
      </c>
      <c r="H205" t="s">
        <v>9391</v>
      </c>
      <c r="I205">
        <v>0</v>
      </c>
      <c r="J205" t="s">
        <v>6587</v>
      </c>
      <c r="K205" t="s">
        <v>9390</v>
      </c>
      <c r="L205">
        <v>0</v>
      </c>
    </row>
    <row r="206" spans="4:12" customFormat="1" ht="13.95" customHeight="1">
      <c r="D206" t="s">
        <v>6521</v>
      </c>
      <c r="E206" t="s">
        <v>9336</v>
      </c>
      <c r="F206">
        <v>0</v>
      </c>
      <c r="G206" t="s">
        <v>6579</v>
      </c>
      <c r="H206" t="s">
        <v>9392</v>
      </c>
      <c r="I206">
        <v>0</v>
      </c>
      <c r="J206" t="s">
        <v>6587</v>
      </c>
      <c r="K206" t="s">
        <v>9391</v>
      </c>
      <c r="L206">
        <v>301.2</v>
      </c>
    </row>
    <row r="207" spans="4:12" customFormat="1" ht="13.95" customHeight="1">
      <c r="D207" t="s">
        <v>6521</v>
      </c>
      <c r="E207" t="s">
        <v>9357</v>
      </c>
      <c r="F207">
        <v>627.6</v>
      </c>
      <c r="G207" t="s">
        <v>6579</v>
      </c>
      <c r="H207" t="s">
        <v>9393</v>
      </c>
      <c r="I207">
        <v>0</v>
      </c>
      <c r="J207" t="s">
        <v>6587</v>
      </c>
      <c r="K207" t="s">
        <v>9392</v>
      </c>
      <c r="L207">
        <v>1097.0999999999999</v>
      </c>
    </row>
    <row r="208" spans="4:12" customFormat="1" ht="13.95" customHeight="1">
      <c r="D208" t="s">
        <v>6521</v>
      </c>
      <c r="E208" t="s">
        <v>9337</v>
      </c>
      <c r="F208">
        <v>0</v>
      </c>
      <c r="G208" t="s">
        <v>6579</v>
      </c>
      <c r="H208" t="s">
        <v>9394</v>
      </c>
      <c r="I208">
        <v>0</v>
      </c>
      <c r="J208" t="s">
        <v>6587</v>
      </c>
      <c r="K208" t="s">
        <v>9393</v>
      </c>
      <c r="L208">
        <v>671.9</v>
      </c>
    </row>
    <row r="209" spans="4:12" customFormat="1" ht="13.95" customHeight="1">
      <c r="D209" t="s">
        <v>6521</v>
      </c>
      <c r="E209" t="s">
        <v>9358</v>
      </c>
      <c r="F209">
        <v>108</v>
      </c>
      <c r="G209" t="s">
        <v>6579</v>
      </c>
      <c r="H209" t="s">
        <v>9395</v>
      </c>
      <c r="I209">
        <v>0</v>
      </c>
      <c r="J209" t="s">
        <v>6587</v>
      </c>
      <c r="K209" t="s">
        <v>9394</v>
      </c>
      <c r="L209">
        <v>788.8</v>
      </c>
    </row>
    <row r="210" spans="4:12" customFormat="1" ht="13.95" customHeight="1">
      <c r="D210" t="s">
        <v>6521</v>
      </c>
      <c r="E210" t="s">
        <v>9338</v>
      </c>
      <c r="F210">
        <v>0</v>
      </c>
      <c r="G210" t="s">
        <v>6579</v>
      </c>
      <c r="H210" t="s">
        <v>9396</v>
      </c>
      <c r="I210">
        <v>0</v>
      </c>
      <c r="J210" t="s">
        <v>6587</v>
      </c>
      <c r="K210" t="s">
        <v>9395</v>
      </c>
      <c r="L210">
        <v>266.10000000000002</v>
      </c>
    </row>
    <row r="211" spans="4:12" customFormat="1" ht="13.95" customHeight="1">
      <c r="D211" t="s">
        <v>6521</v>
      </c>
      <c r="E211" t="s">
        <v>9359</v>
      </c>
      <c r="F211">
        <v>275.2</v>
      </c>
      <c r="G211" t="s">
        <v>6579</v>
      </c>
      <c r="H211" t="s">
        <v>9397</v>
      </c>
      <c r="I211">
        <v>0</v>
      </c>
      <c r="J211" t="s">
        <v>6587</v>
      </c>
      <c r="K211" t="s">
        <v>9396</v>
      </c>
      <c r="L211">
        <v>0</v>
      </c>
    </row>
    <row r="212" spans="4:12" customFormat="1" ht="13.95" customHeight="1">
      <c r="D212" t="s">
        <v>6521</v>
      </c>
      <c r="E212" t="s">
        <v>9339</v>
      </c>
      <c r="F212">
        <v>0</v>
      </c>
      <c r="G212" t="s">
        <v>6579</v>
      </c>
      <c r="H212" t="s">
        <v>9398</v>
      </c>
      <c r="I212">
        <v>0</v>
      </c>
      <c r="J212" t="s">
        <v>6590</v>
      </c>
      <c r="K212" t="s">
        <v>9328</v>
      </c>
      <c r="L212">
        <v>169</v>
      </c>
    </row>
    <row r="213" spans="4:12" customFormat="1" ht="13.95" customHeight="1">
      <c r="D213" t="s">
        <v>6521</v>
      </c>
      <c r="E213" t="s">
        <v>9360</v>
      </c>
      <c r="F213">
        <v>452.6</v>
      </c>
      <c r="G213" t="s">
        <v>6579</v>
      </c>
      <c r="H213" t="s">
        <v>9399</v>
      </c>
      <c r="I213">
        <v>0</v>
      </c>
      <c r="J213" t="s">
        <v>6590</v>
      </c>
      <c r="K213" t="s">
        <v>9329</v>
      </c>
      <c r="L213">
        <v>151.30000000000001</v>
      </c>
    </row>
    <row r="214" spans="4:12" customFormat="1" ht="13.95" customHeight="1">
      <c r="D214" t="s">
        <v>6521</v>
      </c>
      <c r="E214" t="s">
        <v>9343</v>
      </c>
      <c r="F214">
        <v>0</v>
      </c>
      <c r="G214" t="s">
        <v>6579</v>
      </c>
      <c r="H214" t="s">
        <v>9400</v>
      </c>
      <c r="I214">
        <v>0</v>
      </c>
      <c r="J214" t="s">
        <v>6590</v>
      </c>
      <c r="K214" t="s">
        <v>9330</v>
      </c>
      <c r="L214">
        <v>394.5</v>
      </c>
    </row>
    <row r="215" spans="4:12" customFormat="1" ht="13.95" customHeight="1">
      <c r="D215" t="s">
        <v>6521</v>
      </c>
      <c r="E215" t="s">
        <v>9361</v>
      </c>
      <c r="F215">
        <v>0</v>
      </c>
      <c r="G215" t="s">
        <v>6579</v>
      </c>
      <c r="H215" t="s">
        <v>9401</v>
      </c>
      <c r="I215">
        <v>0</v>
      </c>
      <c r="J215" t="s">
        <v>6590</v>
      </c>
      <c r="K215" t="s">
        <v>9331</v>
      </c>
      <c r="L215">
        <v>0</v>
      </c>
    </row>
    <row r="216" spans="4:12" customFormat="1" ht="13.95" customHeight="1">
      <c r="D216" t="s">
        <v>6521</v>
      </c>
      <c r="E216" t="s">
        <v>9344</v>
      </c>
      <c r="F216">
        <v>0</v>
      </c>
      <c r="G216" t="s">
        <v>6579</v>
      </c>
      <c r="H216" t="s">
        <v>9402</v>
      </c>
      <c r="I216">
        <v>0</v>
      </c>
      <c r="J216" t="s">
        <v>6590</v>
      </c>
      <c r="K216" t="s">
        <v>9332</v>
      </c>
      <c r="L216">
        <v>513.9</v>
      </c>
    </row>
    <row r="217" spans="4:12" customFormat="1" ht="13.95" customHeight="1">
      <c r="D217" t="s">
        <v>6521</v>
      </c>
      <c r="E217" t="s">
        <v>9362</v>
      </c>
      <c r="F217">
        <v>0</v>
      </c>
      <c r="G217" t="s">
        <v>6579</v>
      </c>
      <c r="H217" t="s">
        <v>9403</v>
      </c>
      <c r="I217">
        <v>0</v>
      </c>
      <c r="J217" t="s">
        <v>6590</v>
      </c>
      <c r="K217" t="s">
        <v>9333</v>
      </c>
      <c r="L217">
        <v>242.6</v>
      </c>
    </row>
    <row r="218" spans="4:12" customFormat="1" ht="13.95" customHeight="1">
      <c r="D218" t="s">
        <v>6521</v>
      </c>
      <c r="E218" t="s">
        <v>9345</v>
      </c>
      <c r="F218">
        <v>0</v>
      </c>
      <c r="G218" t="s">
        <v>6579</v>
      </c>
      <c r="H218" t="s">
        <v>9404</v>
      </c>
      <c r="I218">
        <v>0</v>
      </c>
      <c r="J218" t="s">
        <v>6590</v>
      </c>
      <c r="K218" t="s">
        <v>9334</v>
      </c>
      <c r="L218">
        <v>404.6</v>
      </c>
    </row>
    <row r="219" spans="4:12" customFormat="1" ht="13.95" customHeight="1">
      <c r="D219" t="s">
        <v>6521</v>
      </c>
      <c r="E219" t="s">
        <v>9363</v>
      </c>
      <c r="F219">
        <v>0</v>
      </c>
      <c r="G219" t="s">
        <v>6579</v>
      </c>
      <c r="H219" t="s">
        <v>9405</v>
      </c>
      <c r="I219">
        <v>0</v>
      </c>
      <c r="J219" t="s">
        <v>6590</v>
      </c>
      <c r="K219" t="s">
        <v>9335</v>
      </c>
      <c r="L219">
        <v>305.10000000000002</v>
      </c>
    </row>
    <row r="220" spans="4:12" customFormat="1" ht="13.95" customHeight="1">
      <c r="D220" t="s">
        <v>6521</v>
      </c>
      <c r="E220" t="s">
        <v>9346</v>
      </c>
      <c r="F220">
        <v>0</v>
      </c>
      <c r="G220" t="s">
        <v>6579</v>
      </c>
      <c r="H220" t="s">
        <v>9406</v>
      </c>
      <c r="I220">
        <v>0</v>
      </c>
      <c r="J220" t="s">
        <v>6590</v>
      </c>
      <c r="K220" t="s">
        <v>9336</v>
      </c>
      <c r="L220">
        <v>407.9</v>
      </c>
    </row>
    <row r="221" spans="4:12" customFormat="1" ht="13.95" customHeight="1">
      <c r="D221" t="s">
        <v>6521</v>
      </c>
      <c r="E221" t="s">
        <v>9364</v>
      </c>
      <c r="F221">
        <v>0</v>
      </c>
      <c r="G221" t="s">
        <v>6580</v>
      </c>
      <c r="H221" t="s">
        <v>9328</v>
      </c>
      <c r="I221">
        <v>0</v>
      </c>
      <c r="J221" t="s">
        <v>6590</v>
      </c>
      <c r="K221" t="s">
        <v>9337</v>
      </c>
      <c r="L221">
        <v>355.8</v>
      </c>
    </row>
    <row r="222" spans="4:12" customFormat="1" ht="13.95" customHeight="1">
      <c r="D222" t="s">
        <v>6521</v>
      </c>
      <c r="E222" t="s">
        <v>9347</v>
      </c>
      <c r="F222">
        <v>0</v>
      </c>
      <c r="G222" t="s">
        <v>6580</v>
      </c>
      <c r="H222" t="s">
        <v>9329</v>
      </c>
      <c r="I222">
        <v>1844.5</v>
      </c>
      <c r="J222" t="s">
        <v>6588</v>
      </c>
      <c r="K222" t="s">
        <v>9328</v>
      </c>
      <c r="L222">
        <v>158.1</v>
      </c>
    </row>
    <row r="223" spans="4:12" customFormat="1" ht="13.95" customHeight="1">
      <c r="D223" t="s">
        <v>6521</v>
      </c>
      <c r="E223" t="s">
        <v>9365</v>
      </c>
      <c r="F223">
        <v>22.9</v>
      </c>
      <c r="G223" t="s">
        <v>6580</v>
      </c>
      <c r="H223" t="s">
        <v>9330</v>
      </c>
      <c r="I223">
        <v>0</v>
      </c>
      <c r="J223" t="s">
        <v>6588</v>
      </c>
      <c r="K223" t="s">
        <v>9329</v>
      </c>
      <c r="L223">
        <v>243.5</v>
      </c>
    </row>
    <row r="224" spans="4:12" customFormat="1" ht="13.95" customHeight="1">
      <c r="D224" t="s">
        <v>6521</v>
      </c>
      <c r="E224" t="s">
        <v>9348</v>
      </c>
      <c r="F224">
        <v>0</v>
      </c>
      <c r="G224" t="s">
        <v>6580</v>
      </c>
      <c r="H224" t="s">
        <v>9331</v>
      </c>
      <c r="I224">
        <v>777.6</v>
      </c>
      <c r="J224" t="s">
        <v>6588</v>
      </c>
      <c r="K224" t="s">
        <v>9330</v>
      </c>
      <c r="L224">
        <v>506.4</v>
      </c>
    </row>
    <row r="225" spans="4:12" customFormat="1" ht="13.95" customHeight="1">
      <c r="D225" t="s">
        <v>6521</v>
      </c>
      <c r="E225" t="s">
        <v>9366</v>
      </c>
      <c r="F225">
        <v>16.100000000000001</v>
      </c>
      <c r="G225" t="s">
        <v>6580</v>
      </c>
      <c r="H225" t="s">
        <v>9332</v>
      </c>
      <c r="I225">
        <v>0</v>
      </c>
      <c r="J225" t="s">
        <v>6588</v>
      </c>
      <c r="K225" t="s">
        <v>9331</v>
      </c>
      <c r="L225">
        <v>0</v>
      </c>
    </row>
    <row r="226" spans="4:12" customFormat="1" ht="13.95" customHeight="1">
      <c r="D226" t="s">
        <v>6521</v>
      </c>
      <c r="E226" t="s">
        <v>9367</v>
      </c>
      <c r="F226">
        <v>0</v>
      </c>
      <c r="G226" t="s">
        <v>6580</v>
      </c>
      <c r="H226" t="s">
        <v>9333</v>
      </c>
      <c r="I226">
        <v>96.6</v>
      </c>
      <c r="J226" t="s">
        <v>6588</v>
      </c>
      <c r="K226" t="s">
        <v>9332</v>
      </c>
      <c r="L226">
        <v>697.1</v>
      </c>
    </row>
    <row r="227" spans="4:12" customFormat="1" ht="13.95" customHeight="1">
      <c r="D227" t="s">
        <v>6521</v>
      </c>
      <c r="E227" t="s">
        <v>9368</v>
      </c>
      <c r="F227">
        <v>254</v>
      </c>
      <c r="G227" t="s">
        <v>6580</v>
      </c>
      <c r="H227" t="s">
        <v>9334</v>
      </c>
      <c r="I227">
        <v>0</v>
      </c>
      <c r="J227" t="s">
        <v>6588</v>
      </c>
      <c r="K227" t="s">
        <v>9333</v>
      </c>
      <c r="L227">
        <v>180.5</v>
      </c>
    </row>
    <row r="228" spans="4:12" customFormat="1" ht="13.95" customHeight="1">
      <c r="D228" t="s">
        <v>6521</v>
      </c>
      <c r="E228" t="s">
        <v>9369</v>
      </c>
      <c r="F228">
        <v>594.4</v>
      </c>
      <c r="G228" t="s">
        <v>6580</v>
      </c>
      <c r="H228" t="s">
        <v>9335</v>
      </c>
      <c r="I228">
        <v>383.9</v>
      </c>
      <c r="J228" t="s">
        <v>6588</v>
      </c>
      <c r="K228" t="s">
        <v>9334</v>
      </c>
      <c r="L228">
        <v>630.70000000000005</v>
      </c>
    </row>
    <row r="229" spans="4:12" customFormat="1" ht="13.95" customHeight="1">
      <c r="D229" t="s">
        <v>6521</v>
      </c>
      <c r="E229" t="s">
        <v>9370</v>
      </c>
      <c r="F229">
        <v>260.5</v>
      </c>
      <c r="G229" t="s">
        <v>6580</v>
      </c>
      <c r="H229" t="s">
        <v>9336</v>
      </c>
      <c r="I229">
        <v>0</v>
      </c>
      <c r="J229" t="s">
        <v>6588</v>
      </c>
      <c r="K229" t="s">
        <v>9335</v>
      </c>
      <c r="L229">
        <v>296.3</v>
      </c>
    </row>
    <row r="230" spans="4:12" customFormat="1" ht="13.95" customHeight="1">
      <c r="D230" t="s">
        <v>6521</v>
      </c>
      <c r="E230" t="s">
        <v>9372</v>
      </c>
      <c r="F230">
        <v>168.7</v>
      </c>
      <c r="G230" t="s">
        <v>6580</v>
      </c>
      <c r="H230" t="s">
        <v>9337</v>
      </c>
      <c r="I230">
        <v>121.9</v>
      </c>
      <c r="J230" t="s">
        <v>6588</v>
      </c>
      <c r="K230" t="s">
        <v>9336</v>
      </c>
      <c r="L230">
        <v>244.9</v>
      </c>
    </row>
    <row r="231" spans="4:12" customFormat="1" ht="13.95" customHeight="1">
      <c r="D231" t="s">
        <v>6521</v>
      </c>
      <c r="E231" t="s">
        <v>9371</v>
      </c>
      <c r="F231">
        <v>186.9</v>
      </c>
      <c r="G231" t="s">
        <v>6580</v>
      </c>
      <c r="H231" t="s">
        <v>9338</v>
      </c>
      <c r="I231">
        <v>164</v>
      </c>
      <c r="J231" t="s">
        <v>6588</v>
      </c>
      <c r="K231" t="s">
        <v>9337</v>
      </c>
      <c r="L231">
        <v>382.9</v>
      </c>
    </row>
    <row r="232" spans="4:12" customFormat="1" ht="13.95" customHeight="1">
      <c r="D232" t="s">
        <v>6521</v>
      </c>
      <c r="E232" t="s">
        <v>9374</v>
      </c>
      <c r="F232">
        <v>0</v>
      </c>
      <c r="G232" t="s">
        <v>6580</v>
      </c>
      <c r="H232" t="s">
        <v>9339</v>
      </c>
      <c r="I232">
        <v>211.1</v>
      </c>
    </row>
    <row r="233" spans="4:12" customFormat="1" ht="13.95" customHeight="1">
      <c r="D233" t="s">
        <v>6521</v>
      </c>
      <c r="E233" t="s">
        <v>9373</v>
      </c>
      <c r="F233">
        <v>183</v>
      </c>
      <c r="G233" t="s">
        <v>6580</v>
      </c>
      <c r="H233" t="s">
        <v>9343</v>
      </c>
      <c r="I233">
        <v>213.7</v>
      </c>
    </row>
    <row r="234" spans="4:12" customFormat="1" ht="13.95" customHeight="1">
      <c r="D234" t="s">
        <v>6521</v>
      </c>
      <c r="E234" t="s">
        <v>9376</v>
      </c>
      <c r="F234">
        <v>385.9</v>
      </c>
      <c r="G234" t="s">
        <v>6580</v>
      </c>
      <c r="H234" t="s">
        <v>9344</v>
      </c>
      <c r="I234">
        <v>774.8</v>
      </c>
    </row>
    <row r="235" spans="4:12" customFormat="1" ht="13.95" customHeight="1">
      <c r="D235" t="s">
        <v>6521</v>
      </c>
      <c r="E235" t="s">
        <v>9375</v>
      </c>
      <c r="F235">
        <v>337.3</v>
      </c>
      <c r="G235" t="s">
        <v>6580</v>
      </c>
      <c r="H235" t="s">
        <v>9345</v>
      </c>
      <c r="I235">
        <v>500.6</v>
      </c>
    </row>
    <row r="236" spans="4:12" customFormat="1" ht="13.95" customHeight="1">
      <c r="D236" t="s">
        <v>6521</v>
      </c>
      <c r="E236" t="s">
        <v>9378</v>
      </c>
      <c r="F236">
        <v>0</v>
      </c>
      <c r="G236" t="s">
        <v>6580</v>
      </c>
      <c r="H236" t="s">
        <v>9346</v>
      </c>
      <c r="I236">
        <v>490.7</v>
      </c>
    </row>
    <row r="237" spans="4:12" customFormat="1" ht="13.95" customHeight="1">
      <c r="D237" t="s">
        <v>6521</v>
      </c>
      <c r="E237" t="s">
        <v>9377</v>
      </c>
      <c r="F237">
        <v>338.1</v>
      </c>
      <c r="G237" t="s">
        <v>6580</v>
      </c>
      <c r="H237" t="s">
        <v>9347</v>
      </c>
      <c r="I237">
        <v>127.3</v>
      </c>
    </row>
    <row r="238" spans="4:12" customFormat="1" ht="13.95" customHeight="1">
      <c r="D238" t="s">
        <v>6521</v>
      </c>
      <c r="E238" t="s">
        <v>9380</v>
      </c>
      <c r="F238">
        <v>657.3</v>
      </c>
      <c r="G238" t="s">
        <v>6580</v>
      </c>
      <c r="H238" t="s">
        <v>9348</v>
      </c>
      <c r="I238">
        <v>0</v>
      </c>
    </row>
    <row r="239" spans="4:12" customFormat="1" ht="13.95" customHeight="1">
      <c r="D239" t="s">
        <v>6521</v>
      </c>
      <c r="E239" t="s">
        <v>9379</v>
      </c>
      <c r="F239">
        <v>486.6</v>
      </c>
      <c r="G239" t="s">
        <v>6580</v>
      </c>
      <c r="H239" t="s">
        <v>9367</v>
      </c>
      <c r="I239">
        <v>0</v>
      </c>
    </row>
    <row r="240" spans="4:12" customFormat="1" ht="13.95" customHeight="1">
      <c r="D240" t="s">
        <v>6521</v>
      </c>
      <c r="E240" t="s">
        <v>9382</v>
      </c>
      <c r="F240">
        <v>854.6</v>
      </c>
      <c r="G240" t="s">
        <v>6580</v>
      </c>
      <c r="H240" t="s">
        <v>9369</v>
      </c>
      <c r="I240">
        <v>0</v>
      </c>
    </row>
    <row r="241" spans="4:9" customFormat="1" ht="13.95" customHeight="1">
      <c r="D241" t="s">
        <v>6521</v>
      </c>
      <c r="E241" t="s">
        <v>9381</v>
      </c>
      <c r="F241">
        <v>626.4</v>
      </c>
      <c r="G241" t="s">
        <v>6580</v>
      </c>
      <c r="H241" t="s">
        <v>9372</v>
      </c>
      <c r="I241">
        <v>0</v>
      </c>
    </row>
    <row r="242" spans="4:9" customFormat="1" ht="13.95" customHeight="1">
      <c r="D242" t="s">
        <v>6522</v>
      </c>
      <c r="E242" t="s">
        <v>9328</v>
      </c>
      <c r="F242">
        <v>0</v>
      </c>
      <c r="G242" t="s">
        <v>6580</v>
      </c>
      <c r="H242" t="s">
        <v>9374</v>
      </c>
      <c r="I242">
        <v>0</v>
      </c>
    </row>
    <row r="243" spans="4:9" customFormat="1" ht="13.95" customHeight="1">
      <c r="D243" t="s">
        <v>6522</v>
      </c>
      <c r="E243" t="s">
        <v>9329</v>
      </c>
      <c r="F243">
        <v>0</v>
      </c>
      <c r="G243" t="s">
        <v>6580</v>
      </c>
      <c r="H243" t="s">
        <v>9376</v>
      </c>
      <c r="I243">
        <v>0</v>
      </c>
    </row>
    <row r="244" spans="4:9" customFormat="1" ht="13.95" customHeight="1">
      <c r="D244" t="s">
        <v>6522</v>
      </c>
      <c r="E244" t="s">
        <v>9330</v>
      </c>
      <c r="F244">
        <v>0</v>
      </c>
      <c r="G244" t="s">
        <v>6580</v>
      </c>
      <c r="H244" t="s">
        <v>9378</v>
      </c>
      <c r="I244">
        <v>0</v>
      </c>
    </row>
    <row r="245" spans="4:9" customFormat="1" ht="13.95" customHeight="1">
      <c r="D245" t="s">
        <v>6522</v>
      </c>
      <c r="E245" t="s">
        <v>9331</v>
      </c>
      <c r="F245">
        <v>0</v>
      </c>
      <c r="G245" t="s">
        <v>6580</v>
      </c>
      <c r="H245" t="s">
        <v>9380</v>
      </c>
      <c r="I245">
        <v>593.1</v>
      </c>
    </row>
    <row r="246" spans="4:9" customFormat="1" ht="13.95" customHeight="1">
      <c r="D246" t="s">
        <v>6522</v>
      </c>
      <c r="E246" t="s">
        <v>9332</v>
      </c>
      <c r="F246">
        <v>0</v>
      </c>
      <c r="G246" t="s">
        <v>6580</v>
      </c>
      <c r="H246" t="s">
        <v>9382</v>
      </c>
      <c r="I246">
        <v>0</v>
      </c>
    </row>
    <row r="247" spans="4:9" customFormat="1" ht="13.95" customHeight="1">
      <c r="D247" t="s">
        <v>6522</v>
      </c>
      <c r="E247" t="s">
        <v>9333</v>
      </c>
      <c r="F247">
        <v>0</v>
      </c>
      <c r="G247" t="s">
        <v>6580</v>
      </c>
      <c r="H247" t="s">
        <v>9383</v>
      </c>
      <c r="I247">
        <v>553.70000000000005</v>
      </c>
    </row>
    <row r="248" spans="4:9" customFormat="1" ht="13.95" customHeight="1">
      <c r="D248" t="s">
        <v>6522</v>
      </c>
      <c r="E248" t="s">
        <v>9334</v>
      </c>
      <c r="F248">
        <v>0</v>
      </c>
      <c r="G248" t="s">
        <v>6580</v>
      </c>
      <c r="H248" t="s">
        <v>9384</v>
      </c>
      <c r="I248">
        <v>0</v>
      </c>
    </row>
    <row r="249" spans="4:9" customFormat="1" ht="13.95" customHeight="1">
      <c r="D249" t="s">
        <v>6522</v>
      </c>
      <c r="E249" t="s">
        <v>9335</v>
      </c>
      <c r="F249">
        <v>0</v>
      </c>
      <c r="G249" t="s">
        <v>6580</v>
      </c>
      <c r="H249" t="s">
        <v>9385</v>
      </c>
      <c r="I249">
        <v>0</v>
      </c>
    </row>
    <row r="250" spans="4:9" customFormat="1" ht="13.95" customHeight="1">
      <c r="D250" t="s">
        <v>6522</v>
      </c>
      <c r="E250" t="s">
        <v>9336</v>
      </c>
      <c r="F250">
        <v>0</v>
      </c>
      <c r="G250" t="s">
        <v>6580</v>
      </c>
      <c r="H250" t="s">
        <v>9386</v>
      </c>
      <c r="I250">
        <v>0</v>
      </c>
    </row>
    <row r="251" spans="4:9" customFormat="1" ht="13.95" customHeight="1">
      <c r="D251" t="s">
        <v>6522</v>
      </c>
      <c r="E251" t="s">
        <v>9337</v>
      </c>
      <c r="F251">
        <v>0</v>
      </c>
      <c r="G251" t="s">
        <v>6580</v>
      </c>
      <c r="H251" t="s">
        <v>9387</v>
      </c>
      <c r="I251">
        <v>250.5</v>
      </c>
    </row>
    <row r="252" spans="4:9" customFormat="1" ht="13.95" customHeight="1">
      <c r="D252" t="s">
        <v>6522</v>
      </c>
      <c r="E252" t="s">
        <v>9338</v>
      </c>
      <c r="F252">
        <v>0</v>
      </c>
      <c r="G252" t="s">
        <v>6580</v>
      </c>
      <c r="H252" t="s">
        <v>9388</v>
      </c>
      <c r="I252">
        <v>0</v>
      </c>
    </row>
    <row r="253" spans="4:9" customFormat="1" ht="13.95" customHeight="1">
      <c r="D253" t="s">
        <v>6522</v>
      </c>
      <c r="E253" t="s">
        <v>9339</v>
      </c>
      <c r="F253">
        <v>0</v>
      </c>
      <c r="G253" t="s">
        <v>6580</v>
      </c>
      <c r="H253" t="s">
        <v>9389</v>
      </c>
      <c r="I253">
        <v>146.6</v>
      </c>
    </row>
    <row r="254" spans="4:9" customFormat="1" ht="13.95" customHeight="1">
      <c r="D254" t="s">
        <v>6522</v>
      </c>
      <c r="E254" t="s">
        <v>9343</v>
      </c>
      <c r="F254">
        <v>0</v>
      </c>
      <c r="G254" t="s">
        <v>6580</v>
      </c>
      <c r="H254" t="s">
        <v>9390</v>
      </c>
      <c r="I254">
        <v>0</v>
      </c>
    </row>
    <row r="255" spans="4:9" customFormat="1" ht="13.95" customHeight="1">
      <c r="D255" t="s">
        <v>6522</v>
      </c>
      <c r="E255" t="s">
        <v>9344</v>
      </c>
      <c r="F255">
        <v>0</v>
      </c>
      <c r="G255" t="s">
        <v>6580</v>
      </c>
      <c r="H255" t="s">
        <v>9391</v>
      </c>
      <c r="I255">
        <v>88.2</v>
      </c>
    </row>
    <row r="256" spans="4:9" customFormat="1" ht="13.95" customHeight="1">
      <c r="D256" t="s">
        <v>6522</v>
      </c>
      <c r="E256" t="s">
        <v>9345</v>
      </c>
      <c r="F256">
        <v>0</v>
      </c>
      <c r="G256" t="s">
        <v>6580</v>
      </c>
      <c r="H256" t="s">
        <v>9392</v>
      </c>
      <c r="I256">
        <v>0</v>
      </c>
    </row>
    <row r="257" spans="4:9" customFormat="1" ht="13.95" customHeight="1">
      <c r="D257" t="s">
        <v>6522</v>
      </c>
      <c r="E257" t="s">
        <v>9346</v>
      </c>
      <c r="F257">
        <v>0</v>
      </c>
      <c r="G257" t="s">
        <v>6580</v>
      </c>
      <c r="H257" t="s">
        <v>9393</v>
      </c>
      <c r="I257">
        <v>775.8</v>
      </c>
    </row>
    <row r="258" spans="4:9" customFormat="1" ht="13.95" customHeight="1">
      <c r="D258" t="s">
        <v>6522</v>
      </c>
      <c r="E258" t="s">
        <v>9347</v>
      </c>
      <c r="F258">
        <v>0</v>
      </c>
      <c r="G258" t="s">
        <v>6580</v>
      </c>
      <c r="H258" t="s">
        <v>9394</v>
      </c>
      <c r="I258">
        <v>0</v>
      </c>
    </row>
    <row r="259" spans="4:9" customFormat="1" ht="13.95" customHeight="1">
      <c r="D259" t="s">
        <v>6522</v>
      </c>
      <c r="E259" t="s">
        <v>9348</v>
      </c>
      <c r="F259">
        <v>0</v>
      </c>
      <c r="G259" t="s">
        <v>6580</v>
      </c>
      <c r="H259" t="s">
        <v>9395</v>
      </c>
      <c r="I259">
        <v>330.1</v>
      </c>
    </row>
    <row r="260" spans="4:9" customFormat="1" ht="13.95" customHeight="1">
      <c r="D260" t="s">
        <v>6522</v>
      </c>
      <c r="E260" t="s">
        <v>9367</v>
      </c>
      <c r="F260">
        <v>0</v>
      </c>
      <c r="G260" t="s">
        <v>6580</v>
      </c>
      <c r="H260" t="s">
        <v>9396</v>
      </c>
      <c r="I260">
        <v>0</v>
      </c>
    </row>
    <row r="261" spans="4:9" customFormat="1" ht="13.95" customHeight="1">
      <c r="D261" t="s">
        <v>6522</v>
      </c>
      <c r="E261" t="s">
        <v>9369</v>
      </c>
      <c r="F261">
        <v>0</v>
      </c>
      <c r="G261" t="s">
        <v>6580</v>
      </c>
      <c r="H261" t="s">
        <v>9397</v>
      </c>
      <c r="I261">
        <v>269.8</v>
      </c>
    </row>
    <row r="262" spans="4:9" customFormat="1" ht="13.95" customHeight="1">
      <c r="D262" t="s">
        <v>6522</v>
      </c>
      <c r="E262" t="s">
        <v>9372</v>
      </c>
      <c r="F262">
        <v>0</v>
      </c>
      <c r="G262" t="s">
        <v>6580</v>
      </c>
      <c r="H262" t="s">
        <v>9398</v>
      </c>
      <c r="I262">
        <v>0</v>
      </c>
    </row>
    <row r="263" spans="4:9" customFormat="1" ht="13.95" customHeight="1">
      <c r="D263" t="s">
        <v>6522</v>
      </c>
      <c r="E263" t="s">
        <v>9374</v>
      </c>
      <c r="F263">
        <v>0</v>
      </c>
      <c r="G263" t="s">
        <v>6580</v>
      </c>
      <c r="H263" t="s">
        <v>9399</v>
      </c>
      <c r="I263">
        <v>867.7</v>
      </c>
    </row>
    <row r="264" spans="4:9" customFormat="1" ht="13.95" customHeight="1">
      <c r="D264" t="s">
        <v>6522</v>
      </c>
      <c r="E264" t="s">
        <v>9376</v>
      </c>
      <c r="F264">
        <v>0</v>
      </c>
      <c r="G264" t="s">
        <v>6580</v>
      </c>
      <c r="H264" t="s">
        <v>9400</v>
      </c>
      <c r="I264">
        <v>0</v>
      </c>
    </row>
    <row r="265" spans="4:9" customFormat="1" ht="13.95" customHeight="1">
      <c r="D265" t="s">
        <v>6522</v>
      </c>
      <c r="E265" t="s">
        <v>9378</v>
      </c>
      <c r="F265">
        <v>0</v>
      </c>
      <c r="G265" t="s">
        <v>6580</v>
      </c>
      <c r="H265" t="s">
        <v>9401</v>
      </c>
      <c r="I265">
        <v>708.7</v>
      </c>
    </row>
    <row r="266" spans="4:9" customFormat="1" ht="13.95" customHeight="1">
      <c r="D266" t="s">
        <v>6522</v>
      </c>
      <c r="E266" t="s">
        <v>9380</v>
      </c>
      <c r="F266">
        <v>0</v>
      </c>
      <c r="G266" t="s">
        <v>6580</v>
      </c>
      <c r="H266" t="s">
        <v>9402</v>
      </c>
      <c r="I266">
        <v>0</v>
      </c>
    </row>
    <row r="267" spans="4:9" customFormat="1" ht="13.95" customHeight="1">
      <c r="D267" t="s">
        <v>6522</v>
      </c>
      <c r="E267" t="s">
        <v>9382</v>
      </c>
      <c r="F267">
        <v>0</v>
      </c>
      <c r="G267" t="s">
        <v>6580</v>
      </c>
      <c r="H267" t="s">
        <v>9403</v>
      </c>
      <c r="I267">
        <v>648.70000000000005</v>
      </c>
    </row>
    <row r="268" spans="4:9" customFormat="1" ht="13.95" customHeight="1">
      <c r="D268" t="s">
        <v>6522</v>
      </c>
      <c r="E268" t="s">
        <v>9383</v>
      </c>
      <c r="F268">
        <v>0</v>
      </c>
      <c r="G268" t="s">
        <v>6580</v>
      </c>
      <c r="H268" t="s">
        <v>9404</v>
      </c>
      <c r="I268">
        <v>0</v>
      </c>
    </row>
    <row r="269" spans="4:9" customFormat="1" ht="13.95" customHeight="1">
      <c r="D269" t="s">
        <v>6522</v>
      </c>
      <c r="E269" t="s">
        <v>9384</v>
      </c>
      <c r="F269">
        <v>0</v>
      </c>
      <c r="G269" t="s">
        <v>6580</v>
      </c>
      <c r="H269" t="s">
        <v>9405</v>
      </c>
      <c r="I269">
        <v>1242.9000000000001</v>
      </c>
    </row>
    <row r="270" spans="4:9" customFormat="1" ht="13.95" customHeight="1">
      <c r="D270" t="s">
        <v>6522</v>
      </c>
      <c r="E270" t="s">
        <v>9385</v>
      </c>
      <c r="F270">
        <v>0</v>
      </c>
      <c r="G270" t="s">
        <v>6580</v>
      </c>
      <c r="H270" t="s">
        <v>9406</v>
      </c>
      <c r="I270">
        <v>0</v>
      </c>
    </row>
    <row r="271" spans="4:9" customFormat="1" ht="13.95" customHeight="1">
      <c r="D271" t="s">
        <v>6522</v>
      </c>
      <c r="E271" t="s">
        <v>9386</v>
      </c>
      <c r="F271">
        <v>0</v>
      </c>
      <c r="G271" t="s">
        <v>6580</v>
      </c>
      <c r="H271" t="s">
        <v>9407</v>
      </c>
      <c r="I271">
        <v>506.6</v>
      </c>
    </row>
    <row r="272" spans="4:9" customFormat="1" ht="13.95" customHeight="1">
      <c r="D272" t="s">
        <v>6522</v>
      </c>
      <c r="E272" t="s">
        <v>9387</v>
      </c>
      <c r="F272">
        <v>0</v>
      </c>
      <c r="G272" t="s">
        <v>6580</v>
      </c>
      <c r="H272" t="s">
        <v>9408</v>
      </c>
      <c r="I272">
        <v>0</v>
      </c>
    </row>
    <row r="273" spans="4:9" customFormat="1" ht="13.95" customHeight="1">
      <c r="D273" t="s">
        <v>6522</v>
      </c>
      <c r="E273" t="s">
        <v>9388</v>
      </c>
      <c r="F273">
        <v>0</v>
      </c>
      <c r="G273" t="s">
        <v>6580</v>
      </c>
      <c r="H273" t="s">
        <v>9409</v>
      </c>
      <c r="I273">
        <v>734.6</v>
      </c>
    </row>
    <row r="274" spans="4:9" customFormat="1" ht="13.95" customHeight="1">
      <c r="D274" t="s">
        <v>6522</v>
      </c>
      <c r="E274" t="s">
        <v>9389</v>
      </c>
      <c r="F274">
        <v>0</v>
      </c>
      <c r="G274" t="s">
        <v>6580</v>
      </c>
      <c r="H274" t="s">
        <v>9410</v>
      </c>
      <c r="I274">
        <v>613.5</v>
      </c>
    </row>
    <row r="275" spans="4:9" customFormat="1" ht="13.95" customHeight="1">
      <c r="D275" t="s">
        <v>6522</v>
      </c>
      <c r="E275" t="s">
        <v>9390</v>
      </c>
      <c r="F275">
        <v>0</v>
      </c>
      <c r="G275" t="s">
        <v>6581</v>
      </c>
      <c r="H275" t="s">
        <v>9328</v>
      </c>
      <c r="I275">
        <v>0</v>
      </c>
    </row>
    <row r="276" spans="4:9" customFormat="1" ht="13.95" customHeight="1">
      <c r="D276" t="s">
        <v>6522</v>
      </c>
      <c r="E276" t="s">
        <v>9391</v>
      </c>
      <c r="F276">
        <v>0</v>
      </c>
      <c r="G276" t="s">
        <v>6581</v>
      </c>
      <c r="H276" t="s">
        <v>9329</v>
      </c>
      <c r="I276">
        <v>1660.5</v>
      </c>
    </row>
    <row r="277" spans="4:9" customFormat="1" ht="13.95" customHeight="1">
      <c r="D277" t="s">
        <v>6522</v>
      </c>
      <c r="E277" t="s">
        <v>9392</v>
      </c>
      <c r="F277">
        <v>0</v>
      </c>
      <c r="G277" t="s">
        <v>6581</v>
      </c>
      <c r="H277" t="s">
        <v>9330</v>
      </c>
      <c r="I277">
        <v>0</v>
      </c>
    </row>
    <row r="278" spans="4:9" customFormat="1" ht="13.95" customHeight="1">
      <c r="D278" t="s">
        <v>6522</v>
      </c>
      <c r="E278" t="s">
        <v>9393</v>
      </c>
      <c r="F278">
        <v>0</v>
      </c>
      <c r="G278" t="s">
        <v>6581</v>
      </c>
      <c r="H278" t="s">
        <v>9331</v>
      </c>
      <c r="I278">
        <v>631.6</v>
      </c>
    </row>
    <row r="279" spans="4:9" customFormat="1" ht="13.95" customHeight="1">
      <c r="D279" t="s">
        <v>6522</v>
      </c>
      <c r="E279" t="s">
        <v>9394</v>
      </c>
      <c r="F279">
        <v>0</v>
      </c>
      <c r="G279" t="s">
        <v>6581</v>
      </c>
      <c r="H279" t="s">
        <v>9332</v>
      </c>
      <c r="I279">
        <v>0</v>
      </c>
    </row>
    <row r="280" spans="4:9" customFormat="1" ht="13.95" customHeight="1">
      <c r="D280" t="s">
        <v>6522</v>
      </c>
      <c r="E280" t="s">
        <v>9395</v>
      </c>
      <c r="F280">
        <v>0</v>
      </c>
      <c r="G280" t="s">
        <v>6581</v>
      </c>
      <c r="H280" t="s">
        <v>9333</v>
      </c>
      <c r="I280">
        <v>92.5</v>
      </c>
    </row>
    <row r="281" spans="4:9" customFormat="1" ht="13.95" customHeight="1">
      <c r="D281" t="s">
        <v>6522</v>
      </c>
      <c r="E281" t="s">
        <v>9396</v>
      </c>
      <c r="F281">
        <v>0</v>
      </c>
      <c r="G281" t="s">
        <v>6581</v>
      </c>
      <c r="H281" t="s">
        <v>9334</v>
      </c>
      <c r="I281">
        <v>0</v>
      </c>
    </row>
    <row r="282" spans="4:9" customFormat="1" ht="13.95" customHeight="1">
      <c r="D282" t="s">
        <v>6522</v>
      </c>
      <c r="E282" t="s">
        <v>9397</v>
      </c>
      <c r="F282">
        <v>0</v>
      </c>
      <c r="G282" t="s">
        <v>6581</v>
      </c>
      <c r="H282" t="s">
        <v>9335</v>
      </c>
      <c r="I282">
        <v>516.79999999999995</v>
      </c>
    </row>
    <row r="283" spans="4:9" customFormat="1" ht="13.95" customHeight="1">
      <c r="D283" t="s">
        <v>6522</v>
      </c>
      <c r="E283" t="s">
        <v>9398</v>
      </c>
      <c r="F283">
        <v>0</v>
      </c>
      <c r="G283" t="s">
        <v>6581</v>
      </c>
      <c r="H283" t="s">
        <v>9336</v>
      </c>
      <c r="I283">
        <v>0</v>
      </c>
    </row>
    <row r="284" spans="4:9" customFormat="1" ht="13.95" customHeight="1">
      <c r="D284" t="s">
        <v>6522</v>
      </c>
      <c r="E284" t="s">
        <v>9399</v>
      </c>
      <c r="F284">
        <v>0</v>
      </c>
      <c r="G284" t="s">
        <v>6581</v>
      </c>
      <c r="H284" t="s">
        <v>9337</v>
      </c>
      <c r="I284">
        <v>71.900000000000006</v>
      </c>
    </row>
    <row r="285" spans="4:9" customFormat="1" ht="13.95" customHeight="1">
      <c r="D285" t="s">
        <v>6522</v>
      </c>
      <c r="E285" t="s">
        <v>9400</v>
      </c>
      <c r="F285">
        <v>0</v>
      </c>
      <c r="G285" t="s">
        <v>6581</v>
      </c>
      <c r="H285" t="s">
        <v>9338</v>
      </c>
      <c r="I285">
        <v>194.6</v>
      </c>
    </row>
    <row r="286" spans="4:9" customFormat="1" ht="13.95" customHeight="1">
      <c r="D286" t="s">
        <v>6522</v>
      </c>
      <c r="E286" t="s">
        <v>9401</v>
      </c>
      <c r="F286">
        <v>0</v>
      </c>
      <c r="G286" t="s">
        <v>6581</v>
      </c>
      <c r="H286" t="s">
        <v>9339</v>
      </c>
      <c r="I286">
        <v>0</v>
      </c>
    </row>
    <row r="287" spans="4:9" customFormat="1" ht="13.95" customHeight="1">
      <c r="D287" t="s">
        <v>6522</v>
      </c>
      <c r="E287" t="s">
        <v>9402</v>
      </c>
      <c r="F287">
        <v>0</v>
      </c>
      <c r="G287" t="s">
        <v>6581</v>
      </c>
      <c r="H287" t="s">
        <v>9343</v>
      </c>
      <c r="I287">
        <v>437</v>
      </c>
    </row>
    <row r="288" spans="4:9" customFormat="1" ht="13.95" customHeight="1">
      <c r="D288" t="s">
        <v>6522</v>
      </c>
      <c r="E288" t="s">
        <v>9403</v>
      </c>
      <c r="F288">
        <v>0</v>
      </c>
      <c r="G288" t="s">
        <v>6581</v>
      </c>
      <c r="H288" t="s">
        <v>9344</v>
      </c>
      <c r="I288">
        <v>451.2</v>
      </c>
    </row>
    <row r="289" spans="4:9" customFormat="1" ht="13.95" customHeight="1">
      <c r="D289" t="s">
        <v>6522</v>
      </c>
      <c r="E289" t="s">
        <v>9404</v>
      </c>
      <c r="F289">
        <v>0</v>
      </c>
      <c r="G289" t="s">
        <v>6581</v>
      </c>
      <c r="H289" t="s">
        <v>9345</v>
      </c>
      <c r="I289">
        <v>447.9</v>
      </c>
    </row>
    <row r="290" spans="4:9" customFormat="1" ht="13.95" customHeight="1">
      <c r="D290" t="s">
        <v>6522</v>
      </c>
      <c r="E290" t="s">
        <v>9405</v>
      </c>
      <c r="F290">
        <v>0</v>
      </c>
      <c r="G290" t="s">
        <v>6581</v>
      </c>
      <c r="H290" t="s">
        <v>9346</v>
      </c>
      <c r="I290">
        <v>604.6</v>
      </c>
    </row>
    <row r="291" spans="4:9" customFormat="1" ht="13.95" customHeight="1">
      <c r="D291" t="s">
        <v>6522</v>
      </c>
      <c r="E291" t="s">
        <v>9406</v>
      </c>
      <c r="F291">
        <v>0</v>
      </c>
      <c r="G291" t="s">
        <v>6581</v>
      </c>
      <c r="H291" t="s">
        <v>9347</v>
      </c>
      <c r="I291">
        <v>120.5</v>
      </c>
    </row>
    <row r="292" spans="4:9" customFormat="1" ht="13.95" customHeight="1">
      <c r="D292" t="s">
        <v>6522</v>
      </c>
      <c r="E292" t="s">
        <v>9407</v>
      </c>
      <c r="F292">
        <v>0</v>
      </c>
      <c r="G292" t="s">
        <v>6581</v>
      </c>
      <c r="H292" t="s">
        <v>9348</v>
      </c>
      <c r="I292">
        <v>0</v>
      </c>
    </row>
    <row r="293" spans="4:9" customFormat="1" ht="13.95" customHeight="1">
      <c r="D293" t="s">
        <v>6522</v>
      </c>
      <c r="E293" t="s">
        <v>9408</v>
      </c>
      <c r="F293">
        <v>0</v>
      </c>
      <c r="G293" t="s">
        <v>6581</v>
      </c>
      <c r="H293" t="s">
        <v>9367</v>
      </c>
      <c r="I293">
        <v>0</v>
      </c>
    </row>
    <row r="294" spans="4:9" customFormat="1" ht="13.95" customHeight="1">
      <c r="D294" t="s">
        <v>6522</v>
      </c>
      <c r="E294" t="s">
        <v>9409</v>
      </c>
      <c r="F294">
        <v>0</v>
      </c>
      <c r="G294" t="s">
        <v>6581</v>
      </c>
      <c r="H294" t="s">
        <v>9369</v>
      </c>
      <c r="I294">
        <v>0</v>
      </c>
    </row>
    <row r="295" spans="4:9" customFormat="1" ht="13.95" customHeight="1">
      <c r="D295" t="s">
        <v>6522</v>
      </c>
      <c r="E295" t="s">
        <v>9410</v>
      </c>
      <c r="F295">
        <v>0</v>
      </c>
      <c r="G295" t="s">
        <v>6581</v>
      </c>
      <c r="H295" t="s">
        <v>9372</v>
      </c>
      <c r="I295">
        <v>0</v>
      </c>
    </row>
    <row r="296" spans="4:9" customFormat="1" ht="13.95" customHeight="1">
      <c r="D296" t="s">
        <v>6523</v>
      </c>
      <c r="E296" t="s">
        <v>9328</v>
      </c>
      <c r="F296">
        <v>0</v>
      </c>
      <c r="G296" t="s">
        <v>6581</v>
      </c>
      <c r="H296" t="s">
        <v>9374</v>
      </c>
      <c r="I296">
        <v>0</v>
      </c>
    </row>
    <row r="297" spans="4:9" customFormat="1" ht="13.95" customHeight="1">
      <c r="D297" t="s">
        <v>6523</v>
      </c>
      <c r="E297" t="s">
        <v>9329</v>
      </c>
      <c r="F297">
        <v>0</v>
      </c>
      <c r="G297" t="s">
        <v>6581</v>
      </c>
      <c r="H297" t="s">
        <v>9376</v>
      </c>
      <c r="I297">
        <v>0</v>
      </c>
    </row>
    <row r="298" spans="4:9" customFormat="1" ht="13.95" customHeight="1">
      <c r="D298" t="s">
        <v>6523</v>
      </c>
      <c r="E298" t="s">
        <v>9330</v>
      </c>
      <c r="F298">
        <v>0</v>
      </c>
      <c r="G298" t="s">
        <v>6581</v>
      </c>
      <c r="H298" t="s">
        <v>9378</v>
      </c>
      <c r="I298">
        <v>0</v>
      </c>
    </row>
    <row r="299" spans="4:9" customFormat="1" ht="13.95" customHeight="1">
      <c r="D299" t="s">
        <v>6523</v>
      </c>
      <c r="E299" t="s">
        <v>9331</v>
      </c>
      <c r="F299">
        <v>0</v>
      </c>
      <c r="G299" t="s">
        <v>6581</v>
      </c>
      <c r="H299" t="s">
        <v>9380</v>
      </c>
      <c r="I299">
        <v>705.2</v>
      </c>
    </row>
    <row r="300" spans="4:9" customFormat="1" ht="13.95" customHeight="1">
      <c r="D300" t="s">
        <v>6523</v>
      </c>
      <c r="E300" t="s">
        <v>9332</v>
      </c>
      <c r="F300">
        <v>0</v>
      </c>
      <c r="G300" t="s">
        <v>6581</v>
      </c>
      <c r="H300" t="s">
        <v>9382</v>
      </c>
      <c r="I300">
        <v>0</v>
      </c>
    </row>
    <row r="301" spans="4:9" customFormat="1" ht="13.95" customHeight="1">
      <c r="D301" t="s">
        <v>6523</v>
      </c>
      <c r="E301" t="s">
        <v>9333</v>
      </c>
      <c r="F301">
        <v>0</v>
      </c>
      <c r="G301" t="s">
        <v>6581</v>
      </c>
      <c r="H301" t="s">
        <v>9383</v>
      </c>
      <c r="I301">
        <v>366.8</v>
      </c>
    </row>
    <row r="302" spans="4:9" customFormat="1" ht="13.95" customHeight="1">
      <c r="D302" t="s">
        <v>6523</v>
      </c>
      <c r="E302" t="s">
        <v>9334</v>
      </c>
      <c r="F302">
        <v>0</v>
      </c>
      <c r="G302" t="s">
        <v>6581</v>
      </c>
      <c r="H302" t="s">
        <v>9384</v>
      </c>
      <c r="I302">
        <v>0</v>
      </c>
    </row>
    <row r="303" spans="4:9" customFormat="1" ht="13.95" customHeight="1">
      <c r="D303" t="s">
        <v>6523</v>
      </c>
      <c r="E303" t="s">
        <v>9335</v>
      </c>
      <c r="F303">
        <v>0</v>
      </c>
      <c r="G303" t="s">
        <v>6581</v>
      </c>
      <c r="H303" t="s">
        <v>9385</v>
      </c>
      <c r="I303">
        <v>0</v>
      </c>
    </row>
    <row r="304" spans="4:9" customFormat="1" ht="13.95" customHeight="1">
      <c r="D304" t="s">
        <v>6523</v>
      </c>
      <c r="E304" t="s">
        <v>9336</v>
      </c>
      <c r="F304">
        <v>0</v>
      </c>
      <c r="G304" t="s">
        <v>6581</v>
      </c>
      <c r="H304" t="s">
        <v>9386</v>
      </c>
      <c r="I304">
        <v>0</v>
      </c>
    </row>
    <row r="305" spans="4:9" customFormat="1" ht="13.95" customHeight="1">
      <c r="D305" t="s">
        <v>6523</v>
      </c>
      <c r="E305" t="s">
        <v>9337</v>
      </c>
      <c r="F305">
        <v>0</v>
      </c>
      <c r="G305" t="s">
        <v>6581</v>
      </c>
      <c r="H305" t="s">
        <v>9387</v>
      </c>
      <c r="I305">
        <v>45.4</v>
      </c>
    </row>
    <row r="306" spans="4:9" customFormat="1" ht="13.95" customHeight="1">
      <c r="D306" t="s">
        <v>6523</v>
      </c>
      <c r="E306" t="s">
        <v>9338</v>
      </c>
      <c r="F306">
        <v>0</v>
      </c>
      <c r="G306" t="s">
        <v>6581</v>
      </c>
      <c r="H306" t="s">
        <v>9388</v>
      </c>
      <c r="I306">
        <v>0</v>
      </c>
    </row>
    <row r="307" spans="4:9" customFormat="1" ht="13.95" customHeight="1">
      <c r="D307" t="s">
        <v>6523</v>
      </c>
      <c r="E307" t="s">
        <v>9339</v>
      </c>
      <c r="F307">
        <v>0</v>
      </c>
      <c r="G307" t="s">
        <v>6581</v>
      </c>
      <c r="H307" t="s">
        <v>9389</v>
      </c>
      <c r="I307">
        <v>145.4</v>
      </c>
    </row>
    <row r="308" spans="4:9" customFormat="1" ht="13.95" customHeight="1">
      <c r="D308" t="s">
        <v>6523</v>
      </c>
      <c r="E308" t="s">
        <v>9343</v>
      </c>
      <c r="F308">
        <v>0</v>
      </c>
      <c r="G308" t="s">
        <v>6581</v>
      </c>
      <c r="H308" t="s">
        <v>9390</v>
      </c>
      <c r="I308">
        <v>0</v>
      </c>
    </row>
    <row r="309" spans="4:9" customFormat="1" ht="13.95" customHeight="1">
      <c r="D309" t="s">
        <v>6523</v>
      </c>
      <c r="E309" t="s">
        <v>9344</v>
      </c>
      <c r="F309">
        <v>0</v>
      </c>
      <c r="G309" t="s">
        <v>6581</v>
      </c>
      <c r="H309" t="s">
        <v>9391</v>
      </c>
      <c r="I309">
        <v>44.7</v>
      </c>
    </row>
    <row r="310" spans="4:9" customFormat="1" ht="13.95" customHeight="1">
      <c r="D310" t="s">
        <v>6523</v>
      </c>
      <c r="E310" t="s">
        <v>9345</v>
      </c>
      <c r="F310">
        <v>0</v>
      </c>
      <c r="G310" t="s">
        <v>6581</v>
      </c>
      <c r="H310" t="s">
        <v>9392</v>
      </c>
      <c r="I310">
        <v>0</v>
      </c>
    </row>
    <row r="311" spans="4:9" customFormat="1" ht="13.95" customHeight="1">
      <c r="D311" t="s">
        <v>6523</v>
      </c>
      <c r="E311" t="s">
        <v>9346</v>
      </c>
      <c r="F311">
        <v>0</v>
      </c>
      <c r="G311" t="s">
        <v>6581</v>
      </c>
      <c r="H311" t="s">
        <v>9393</v>
      </c>
      <c r="I311">
        <v>734.3</v>
      </c>
    </row>
    <row r="312" spans="4:9" customFormat="1" ht="13.95" customHeight="1">
      <c r="D312" t="s">
        <v>6523</v>
      </c>
      <c r="E312" t="s">
        <v>9347</v>
      </c>
      <c r="F312">
        <v>0</v>
      </c>
      <c r="G312" t="s">
        <v>6581</v>
      </c>
      <c r="H312" t="s">
        <v>9394</v>
      </c>
      <c r="I312">
        <v>0</v>
      </c>
    </row>
    <row r="313" spans="4:9" customFormat="1" ht="13.95" customHeight="1">
      <c r="D313" t="s">
        <v>6523</v>
      </c>
      <c r="E313" t="s">
        <v>9348</v>
      </c>
      <c r="F313">
        <v>0</v>
      </c>
      <c r="G313" t="s">
        <v>6581</v>
      </c>
      <c r="H313" t="s">
        <v>9395</v>
      </c>
      <c r="I313">
        <v>294.60000000000002</v>
      </c>
    </row>
    <row r="314" spans="4:9" customFormat="1" ht="13.95" customHeight="1">
      <c r="D314" t="s">
        <v>6523</v>
      </c>
      <c r="E314" t="s">
        <v>9367</v>
      </c>
      <c r="F314">
        <v>0</v>
      </c>
      <c r="G314" t="s">
        <v>6581</v>
      </c>
      <c r="H314" t="s">
        <v>9396</v>
      </c>
      <c r="I314">
        <v>0</v>
      </c>
    </row>
    <row r="315" spans="4:9" customFormat="1" ht="13.95" customHeight="1">
      <c r="D315" t="s">
        <v>6523</v>
      </c>
      <c r="E315" t="s">
        <v>9369</v>
      </c>
      <c r="F315">
        <v>0</v>
      </c>
      <c r="G315" t="s">
        <v>6581</v>
      </c>
      <c r="H315" t="s">
        <v>9397</v>
      </c>
      <c r="I315">
        <v>64.3</v>
      </c>
    </row>
    <row r="316" spans="4:9" customFormat="1" ht="13.95" customHeight="1">
      <c r="D316" t="s">
        <v>6523</v>
      </c>
      <c r="E316" t="s">
        <v>9372</v>
      </c>
      <c r="F316">
        <v>0</v>
      </c>
      <c r="G316" t="s">
        <v>6581</v>
      </c>
      <c r="H316" t="s">
        <v>9398</v>
      </c>
      <c r="I316">
        <v>0</v>
      </c>
    </row>
    <row r="317" spans="4:9" customFormat="1" ht="13.95" customHeight="1">
      <c r="D317" t="s">
        <v>6523</v>
      </c>
      <c r="E317" t="s">
        <v>9374</v>
      </c>
      <c r="F317">
        <v>0</v>
      </c>
      <c r="G317" t="s">
        <v>6581</v>
      </c>
      <c r="H317" t="s">
        <v>9399</v>
      </c>
      <c r="I317">
        <v>755.5</v>
      </c>
    </row>
    <row r="318" spans="4:9" customFormat="1" ht="13.95" customHeight="1">
      <c r="D318" t="s">
        <v>6523</v>
      </c>
      <c r="E318" t="s">
        <v>9376</v>
      </c>
      <c r="F318">
        <v>0</v>
      </c>
      <c r="G318" t="s">
        <v>6581</v>
      </c>
      <c r="H318" t="s">
        <v>9400</v>
      </c>
      <c r="I318">
        <v>0</v>
      </c>
    </row>
    <row r="319" spans="4:9" customFormat="1" ht="13.95" customHeight="1">
      <c r="D319" t="s">
        <v>6523</v>
      </c>
      <c r="E319" t="s">
        <v>9378</v>
      </c>
      <c r="F319">
        <v>0</v>
      </c>
      <c r="G319" t="s">
        <v>6581</v>
      </c>
      <c r="H319" t="s">
        <v>9401</v>
      </c>
      <c r="I319">
        <v>739.1</v>
      </c>
    </row>
    <row r="320" spans="4:9" customFormat="1" ht="13.95" customHeight="1">
      <c r="D320" t="s">
        <v>6523</v>
      </c>
      <c r="E320" t="s">
        <v>9380</v>
      </c>
      <c r="F320">
        <v>0</v>
      </c>
      <c r="G320" t="s">
        <v>6581</v>
      </c>
      <c r="H320" t="s">
        <v>9402</v>
      </c>
      <c r="I320">
        <v>0</v>
      </c>
    </row>
    <row r="321" spans="4:9" customFormat="1" ht="13.95" customHeight="1">
      <c r="D321" t="s">
        <v>6523</v>
      </c>
      <c r="E321" t="s">
        <v>9382</v>
      </c>
      <c r="F321">
        <v>0</v>
      </c>
      <c r="G321" t="s">
        <v>6581</v>
      </c>
      <c r="H321" t="s">
        <v>9403</v>
      </c>
      <c r="I321">
        <v>596.70000000000005</v>
      </c>
    </row>
    <row r="322" spans="4:9" customFormat="1" ht="13.95" customHeight="1">
      <c r="D322" t="s">
        <v>6523</v>
      </c>
      <c r="E322" t="s">
        <v>9383</v>
      </c>
      <c r="F322">
        <v>0</v>
      </c>
      <c r="G322" t="s">
        <v>6581</v>
      </c>
      <c r="H322" t="s">
        <v>9404</v>
      </c>
      <c r="I322">
        <v>0</v>
      </c>
    </row>
    <row r="323" spans="4:9" customFormat="1" ht="13.95" customHeight="1">
      <c r="D323" t="s">
        <v>6523</v>
      </c>
      <c r="E323" t="s">
        <v>9384</v>
      </c>
      <c r="F323">
        <v>0</v>
      </c>
      <c r="G323" t="s">
        <v>6581</v>
      </c>
      <c r="H323" t="s">
        <v>9405</v>
      </c>
      <c r="I323">
        <v>194.3</v>
      </c>
    </row>
    <row r="324" spans="4:9" customFormat="1" ht="13.95" customHeight="1">
      <c r="D324" t="s">
        <v>6523</v>
      </c>
      <c r="E324" t="s">
        <v>9385</v>
      </c>
      <c r="F324">
        <v>0</v>
      </c>
      <c r="G324" t="s">
        <v>6581</v>
      </c>
      <c r="H324" t="s">
        <v>9406</v>
      </c>
      <c r="I324">
        <v>0</v>
      </c>
    </row>
    <row r="325" spans="4:9" customFormat="1" ht="13.95" customHeight="1">
      <c r="D325" t="s">
        <v>6523</v>
      </c>
      <c r="E325" t="s">
        <v>9386</v>
      </c>
      <c r="F325">
        <v>0</v>
      </c>
      <c r="G325" t="s">
        <v>6581</v>
      </c>
      <c r="H325" t="s">
        <v>9407</v>
      </c>
      <c r="I325">
        <v>605.1</v>
      </c>
    </row>
    <row r="326" spans="4:9" customFormat="1" ht="13.95" customHeight="1">
      <c r="D326" t="s">
        <v>6523</v>
      </c>
      <c r="E326" t="s">
        <v>9387</v>
      </c>
      <c r="F326">
        <v>0</v>
      </c>
      <c r="G326" t="s">
        <v>6581</v>
      </c>
      <c r="H326" t="s">
        <v>9408</v>
      </c>
      <c r="I326">
        <v>0</v>
      </c>
    </row>
    <row r="327" spans="4:9" customFormat="1" ht="13.95" customHeight="1">
      <c r="D327" t="s">
        <v>6523</v>
      </c>
      <c r="E327" t="s">
        <v>9388</v>
      </c>
      <c r="F327">
        <v>0</v>
      </c>
      <c r="G327" t="s">
        <v>6581</v>
      </c>
      <c r="H327" t="s">
        <v>9409</v>
      </c>
      <c r="I327">
        <v>95.1</v>
      </c>
    </row>
    <row r="328" spans="4:9" customFormat="1" ht="13.95" customHeight="1">
      <c r="D328" t="s">
        <v>6523</v>
      </c>
      <c r="E328" t="s">
        <v>9389</v>
      </c>
      <c r="F328">
        <v>0</v>
      </c>
      <c r="G328" t="s">
        <v>6581</v>
      </c>
      <c r="H328" t="s">
        <v>9410</v>
      </c>
      <c r="I328">
        <v>355.7</v>
      </c>
    </row>
    <row r="329" spans="4:9" customFormat="1" ht="13.95" customHeight="1">
      <c r="D329" t="s">
        <v>6523</v>
      </c>
      <c r="E329" t="s">
        <v>9390</v>
      </c>
      <c r="F329">
        <v>0</v>
      </c>
      <c r="G329" t="s">
        <v>6582</v>
      </c>
      <c r="H329" t="s">
        <v>9328</v>
      </c>
      <c r="I329">
        <v>0</v>
      </c>
    </row>
    <row r="330" spans="4:9" customFormat="1" ht="13.95" customHeight="1">
      <c r="D330" t="s">
        <v>6523</v>
      </c>
      <c r="E330" t="s">
        <v>9391</v>
      </c>
      <c r="F330">
        <v>0</v>
      </c>
      <c r="G330" t="s">
        <v>6582</v>
      </c>
      <c r="H330" t="s">
        <v>9329</v>
      </c>
      <c r="I330">
        <v>0</v>
      </c>
    </row>
    <row r="331" spans="4:9" customFormat="1" ht="13.95" customHeight="1">
      <c r="D331" t="s">
        <v>6523</v>
      </c>
      <c r="E331" t="s">
        <v>9392</v>
      </c>
      <c r="F331">
        <v>0</v>
      </c>
      <c r="G331" t="s">
        <v>6582</v>
      </c>
      <c r="H331" t="s">
        <v>9330</v>
      </c>
      <c r="I331">
        <v>0</v>
      </c>
    </row>
    <row r="332" spans="4:9" customFormat="1" ht="13.95" customHeight="1">
      <c r="D332" t="s">
        <v>6523</v>
      </c>
      <c r="E332" t="s">
        <v>9393</v>
      </c>
      <c r="F332">
        <v>0</v>
      </c>
      <c r="G332" t="s">
        <v>6582</v>
      </c>
      <c r="H332" t="s">
        <v>9331</v>
      </c>
      <c r="I332">
        <v>0</v>
      </c>
    </row>
    <row r="333" spans="4:9" customFormat="1" ht="13.95" customHeight="1">
      <c r="D333" t="s">
        <v>6523</v>
      </c>
      <c r="E333" t="s">
        <v>9394</v>
      </c>
      <c r="F333">
        <v>0</v>
      </c>
      <c r="G333" t="s">
        <v>6582</v>
      </c>
      <c r="H333" t="s">
        <v>9332</v>
      </c>
      <c r="I333">
        <v>0</v>
      </c>
    </row>
    <row r="334" spans="4:9" customFormat="1" ht="13.95" customHeight="1">
      <c r="D334" t="s">
        <v>6523</v>
      </c>
      <c r="E334" t="s">
        <v>9395</v>
      </c>
      <c r="F334">
        <v>0</v>
      </c>
      <c r="G334" t="s">
        <v>6582</v>
      </c>
      <c r="H334" t="s">
        <v>9333</v>
      </c>
      <c r="I334">
        <v>0</v>
      </c>
    </row>
    <row r="335" spans="4:9" customFormat="1" ht="13.95" customHeight="1">
      <c r="D335" t="s">
        <v>6523</v>
      </c>
      <c r="E335" t="s">
        <v>9396</v>
      </c>
      <c r="F335">
        <v>0</v>
      </c>
      <c r="G335" t="s">
        <v>6582</v>
      </c>
      <c r="H335" t="s">
        <v>9334</v>
      </c>
      <c r="I335">
        <v>0</v>
      </c>
    </row>
    <row r="336" spans="4:9" customFormat="1" ht="13.95" customHeight="1">
      <c r="D336" t="s">
        <v>6523</v>
      </c>
      <c r="E336" t="s">
        <v>9397</v>
      </c>
      <c r="F336">
        <v>0</v>
      </c>
      <c r="G336" t="s">
        <v>6582</v>
      </c>
      <c r="H336" t="s">
        <v>9335</v>
      </c>
      <c r="I336">
        <v>0</v>
      </c>
    </row>
    <row r="337" spans="4:9" customFormat="1" ht="13.95" customHeight="1">
      <c r="D337" t="s">
        <v>6523</v>
      </c>
      <c r="E337" t="s">
        <v>9398</v>
      </c>
      <c r="F337">
        <v>0</v>
      </c>
      <c r="G337" t="s">
        <v>6582</v>
      </c>
      <c r="H337" t="s">
        <v>9336</v>
      </c>
      <c r="I337">
        <v>0</v>
      </c>
    </row>
    <row r="338" spans="4:9" customFormat="1" ht="13.95" customHeight="1">
      <c r="D338" t="s">
        <v>6523</v>
      </c>
      <c r="E338" t="s">
        <v>9399</v>
      </c>
      <c r="F338">
        <v>0</v>
      </c>
      <c r="G338" t="s">
        <v>6582</v>
      </c>
      <c r="H338" t="s">
        <v>9337</v>
      </c>
      <c r="I338">
        <v>0</v>
      </c>
    </row>
    <row r="339" spans="4:9" customFormat="1" ht="13.95" customHeight="1">
      <c r="D339" t="s">
        <v>6523</v>
      </c>
      <c r="E339" t="s">
        <v>9400</v>
      </c>
      <c r="F339">
        <v>0</v>
      </c>
      <c r="G339" t="s">
        <v>6582</v>
      </c>
      <c r="H339" t="s">
        <v>9338</v>
      </c>
      <c r="I339">
        <v>0</v>
      </c>
    </row>
    <row r="340" spans="4:9" customFormat="1" ht="13.95" customHeight="1">
      <c r="D340" t="s">
        <v>6523</v>
      </c>
      <c r="E340" t="s">
        <v>9401</v>
      </c>
      <c r="F340">
        <v>0</v>
      </c>
      <c r="G340" t="s">
        <v>6582</v>
      </c>
      <c r="H340" t="s">
        <v>9339</v>
      </c>
      <c r="I340">
        <v>0</v>
      </c>
    </row>
    <row r="341" spans="4:9" customFormat="1" ht="13.95" customHeight="1">
      <c r="D341" t="s">
        <v>6523</v>
      </c>
      <c r="E341" t="s">
        <v>9402</v>
      </c>
      <c r="F341">
        <v>0</v>
      </c>
      <c r="G341" t="s">
        <v>6582</v>
      </c>
      <c r="H341" t="s">
        <v>9343</v>
      </c>
      <c r="I341">
        <v>0</v>
      </c>
    </row>
    <row r="342" spans="4:9" customFormat="1" ht="13.95" customHeight="1">
      <c r="D342" t="s">
        <v>6523</v>
      </c>
      <c r="E342" t="s">
        <v>9403</v>
      </c>
      <c r="F342">
        <v>0</v>
      </c>
      <c r="G342" t="s">
        <v>6582</v>
      </c>
      <c r="H342" t="s">
        <v>9344</v>
      </c>
      <c r="I342">
        <v>0</v>
      </c>
    </row>
    <row r="343" spans="4:9" customFormat="1" ht="13.95" customHeight="1">
      <c r="D343" t="s">
        <v>6523</v>
      </c>
      <c r="E343" t="s">
        <v>9404</v>
      </c>
      <c r="F343">
        <v>0</v>
      </c>
      <c r="G343" t="s">
        <v>6582</v>
      </c>
      <c r="H343" t="s">
        <v>9345</v>
      </c>
      <c r="I343">
        <v>0</v>
      </c>
    </row>
    <row r="344" spans="4:9" customFormat="1" ht="13.95" customHeight="1">
      <c r="D344" t="s">
        <v>6523</v>
      </c>
      <c r="E344" t="s">
        <v>9405</v>
      </c>
      <c r="F344">
        <v>0</v>
      </c>
      <c r="G344" t="s">
        <v>6582</v>
      </c>
      <c r="H344" t="s">
        <v>9346</v>
      </c>
      <c r="I344">
        <v>0</v>
      </c>
    </row>
    <row r="345" spans="4:9" customFormat="1" ht="13.95" customHeight="1">
      <c r="D345" t="s">
        <v>6523</v>
      </c>
      <c r="E345" t="s">
        <v>9406</v>
      </c>
      <c r="F345">
        <v>0</v>
      </c>
      <c r="G345" t="s">
        <v>6582</v>
      </c>
      <c r="H345" t="s">
        <v>9347</v>
      </c>
      <c r="I345">
        <v>0</v>
      </c>
    </row>
    <row r="346" spans="4:9" customFormat="1" ht="13.95" customHeight="1">
      <c r="D346" t="s">
        <v>6523</v>
      </c>
      <c r="E346" t="s">
        <v>9407</v>
      </c>
      <c r="F346">
        <v>0</v>
      </c>
      <c r="G346" t="s">
        <v>6582</v>
      </c>
      <c r="H346" t="s">
        <v>9348</v>
      </c>
      <c r="I346">
        <v>0</v>
      </c>
    </row>
    <row r="347" spans="4:9" customFormat="1" ht="13.95" customHeight="1">
      <c r="D347" t="s">
        <v>6523</v>
      </c>
      <c r="E347" t="s">
        <v>9408</v>
      </c>
      <c r="F347">
        <v>0</v>
      </c>
      <c r="G347" t="s">
        <v>6582</v>
      </c>
      <c r="H347" t="s">
        <v>9367</v>
      </c>
      <c r="I347">
        <v>0</v>
      </c>
    </row>
    <row r="348" spans="4:9" customFormat="1" ht="13.95" customHeight="1">
      <c r="D348" t="s">
        <v>6523</v>
      </c>
      <c r="E348" t="s">
        <v>9409</v>
      </c>
      <c r="F348">
        <v>0</v>
      </c>
      <c r="G348" t="s">
        <v>6582</v>
      </c>
      <c r="H348" t="s">
        <v>9369</v>
      </c>
      <c r="I348">
        <v>0</v>
      </c>
    </row>
    <row r="349" spans="4:9" customFormat="1" ht="13.95" customHeight="1">
      <c r="D349" t="s">
        <v>6523</v>
      </c>
      <c r="E349" t="s">
        <v>9410</v>
      </c>
      <c r="F349">
        <v>0</v>
      </c>
      <c r="G349" t="s">
        <v>6582</v>
      </c>
      <c r="H349" t="s">
        <v>9372</v>
      </c>
      <c r="I349">
        <v>0</v>
      </c>
    </row>
    <row r="350" spans="4:9" customFormat="1" ht="13.95" customHeight="1">
      <c r="D350" t="s">
        <v>6524</v>
      </c>
      <c r="E350" t="s">
        <v>9328</v>
      </c>
      <c r="F350">
        <v>1231.3</v>
      </c>
      <c r="G350" t="s">
        <v>6582</v>
      </c>
      <c r="H350" t="s">
        <v>9374</v>
      </c>
      <c r="I350">
        <v>0</v>
      </c>
    </row>
    <row r="351" spans="4:9" customFormat="1" ht="13.95" customHeight="1">
      <c r="D351" t="s">
        <v>6524</v>
      </c>
      <c r="E351" t="s">
        <v>9329</v>
      </c>
      <c r="F351">
        <v>109.8</v>
      </c>
      <c r="G351" t="s">
        <v>6582</v>
      </c>
      <c r="H351" t="s">
        <v>9376</v>
      </c>
      <c r="I351">
        <v>0</v>
      </c>
    </row>
    <row r="352" spans="4:9" customFormat="1" ht="13.95" customHeight="1">
      <c r="D352" t="s">
        <v>6524</v>
      </c>
      <c r="E352" t="s">
        <v>9330</v>
      </c>
      <c r="F352">
        <v>108</v>
      </c>
      <c r="G352" t="s">
        <v>6582</v>
      </c>
      <c r="H352" t="s">
        <v>9378</v>
      </c>
      <c r="I352">
        <v>0</v>
      </c>
    </row>
    <row r="353" spans="4:9" customFormat="1" ht="13.95" customHeight="1">
      <c r="D353" t="s">
        <v>6524</v>
      </c>
      <c r="E353" t="s">
        <v>9331</v>
      </c>
      <c r="F353">
        <v>0</v>
      </c>
      <c r="G353" t="s">
        <v>6582</v>
      </c>
      <c r="H353" t="s">
        <v>9380</v>
      </c>
      <c r="I353">
        <v>0</v>
      </c>
    </row>
    <row r="354" spans="4:9" customFormat="1" ht="13.95" customHeight="1">
      <c r="D354" t="s">
        <v>6524</v>
      </c>
      <c r="E354" t="s">
        <v>9332</v>
      </c>
      <c r="F354">
        <v>56.8</v>
      </c>
      <c r="G354" t="s">
        <v>6582</v>
      </c>
      <c r="H354" t="s">
        <v>9382</v>
      </c>
      <c r="I354">
        <v>0</v>
      </c>
    </row>
    <row r="355" spans="4:9" customFormat="1" ht="13.95" customHeight="1">
      <c r="D355" t="s">
        <v>6524</v>
      </c>
      <c r="E355" t="s">
        <v>9333</v>
      </c>
      <c r="F355">
        <v>58.1</v>
      </c>
      <c r="G355" t="s">
        <v>6582</v>
      </c>
      <c r="H355" t="s">
        <v>9383</v>
      </c>
      <c r="I355">
        <v>0</v>
      </c>
    </row>
    <row r="356" spans="4:9" customFormat="1" ht="13.95" customHeight="1">
      <c r="D356" t="s">
        <v>6524</v>
      </c>
      <c r="E356" t="s">
        <v>9334</v>
      </c>
      <c r="F356">
        <v>0</v>
      </c>
      <c r="G356" t="s">
        <v>6582</v>
      </c>
      <c r="H356" t="s">
        <v>9384</v>
      </c>
      <c r="I356">
        <v>0</v>
      </c>
    </row>
    <row r="357" spans="4:9" customFormat="1" ht="13.95" customHeight="1">
      <c r="D357" t="s">
        <v>6524</v>
      </c>
      <c r="E357" t="s">
        <v>9335</v>
      </c>
      <c r="F357">
        <v>0</v>
      </c>
      <c r="G357" t="s">
        <v>6582</v>
      </c>
      <c r="H357" t="s">
        <v>9385</v>
      </c>
      <c r="I357">
        <v>0</v>
      </c>
    </row>
    <row r="358" spans="4:9" customFormat="1" ht="13.95" customHeight="1">
      <c r="D358" t="s">
        <v>6524</v>
      </c>
      <c r="E358" t="s">
        <v>9336</v>
      </c>
      <c r="F358">
        <v>0</v>
      </c>
      <c r="G358" t="s">
        <v>6582</v>
      </c>
      <c r="H358" t="s">
        <v>9386</v>
      </c>
      <c r="I358">
        <v>0</v>
      </c>
    </row>
    <row r="359" spans="4:9" customFormat="1" ht="13.95" customHeight="1">
      <c r="D359" t="s">
        <v>6524</v>
      </c>
      <c r="E359" t="s">
        <v>9337</v>
      </c>
      <c r="F359">
        <v>0</v>
      </c>
      <c r="G359" t="s">
        <v>6582</v>
      </c>
      <c r="H359" t="s">
        <v>9387</v>
      </c>
      <c r="I359">
        <v>0</v>
      </c>
    </row>
    <row r="360" spans="4:9" customFormat="1" ht="13.95" customHeight="1">
      <c r="D360" t="s">
        <v>6524</v>
      </c>
      <c r="E360" t="s">
        <v>9338</v>
      </c>
      <c r="F360">
        <v>0</v>
      </c>
      <c r="G360" t="s">
        <v>6582</v>
      </c>
      <c r="H360" t="s">
        <v>9388</v>
      </c>
      <c r="I360">
        <v>0</v>
      </c>
    </row>
    <row r="361" spans="4:9" customFormat="1" ht="13.95" customHeight="1">
      <c r="D361" t="s">
        <v>6524</v>
      </c>
      <c r="E361" t="s">
        <v>9339</v>
      </c>
      <c r="F361">
        <v>0</v>
      </c>
      <c r="G361" t="s">
        <v>6582</v>
      </c>
      <c r="H361" t="s">
        <v>9389</v>
      </c>
      <c r="I361">
        <v>0</v>
      </c>
    </row>
    <row r="362" spans="4:9" customFormat="1" ht="13.95" customHeight="1">
      <c r="D362" t="s">
        <v>6524</v>
      </c>
      <c r="E362" t="s">
        <v>9343</v>
      </c>
      <c r="F362">
        <v>0</v>
      </c>
      <c r="G362" t="s">
        <v>6582</v>
      </c>
      <c r="H362" t="s">
        <v>9390</v>
      </c>
      <c r="I362">
        <v>0</v>
      </c>
    </row>
    <row r="363" spans="4:9" customFormat="1" ht="13.95" customHeight="1">
      <c r="D363" t="s">
        <v>6524</v>
      </c>
      <c r="E363" t="s">
        <v>9344</v>
      </c>
      <c r="F363">
        <v>0</v>
      </c>
      <c r="G363" t="s">
        <v>6582</v>
      </c>
      <c r="H363" t="s">
        <v>9391</v>
      </c>
      <c r="I363">
        <v>0</v>
      </c>
    </row>
    <row r="364" spans="4:9" customFormat="1" ht="13.95" customHeight="1">
      <c r="D364" t="s">
        <v>6524</v>
      </c>
      <c r="E364" t="s">
        <v>9345</v>
      </c>
      <c r="F364">
        <v>0</v>
      </c>
      <c r="G364" t="s">
        <v>6582</v>
      </c>
      <c r="H364" t="s">
        <v>9392</v>
      </c>
      <c r="I364">
        <v>0</v>
      </c>
    </row>
    <row r="365" spans="4:9" customFormat="1" ht="13.95" customHeight="1">
      <c r="D365" t="s">
        <v>6524</v>
      </c>
      <c r="E365" t="s">
        <v>9346</v>
      </c>
      <c r="F365">
        <v>0</v>
      </c>
      <c r="G365" t="s">
        <v>6582</v>
      </c>
      <c r="H365" t="s">
        <v>9393</v>
      </c>
      <c r="I365">
        <v>0</v>
      </c>
    </row>
    <row r="366" spans="4:9" customFormat="1" ht="13.95" customHeight="1">
      <c r="D366" t="s">
        <v>6524</v>
      </c>
      <c r="E366" t="s">
        <v>9347</v>
      </c>
      <c r="F366">
        <v>0</v>
      </c>
      <c r="G366" t="s">
        <v>6582</v>
      </c>
      <c r="H366" t="s">
        <v>9394</v>
      </c>
      <c r="I366">
        <v>0</v>
      </c>
    </row>
    <row r="367" spans="4:9" customFormat="1" ht="13.95" customHeight="1">
      <c r="D367" t="s">
        <v>6524</v>
      </c>
      <c r="E367" t="s">
        <v>9348</v>
      </c>
      <c r="F367">
        <v>0</v>
      </c>
      <c r="G367" t="s">
        <v>6582</v>
      </c>
      <c r="H367" t="s">
        <v>9395</v>
      </c>
      <c r="I367">
        <v>0</v>
      </c>
    </row>
    <row r="368" spans="4:9" customFormat="1" ht="13.95" customHeight="1">
      <c r="D368" t="s">
        <v>6524</v>
      </c>
      <c r="E368" t="s">
        <v>9367</v>
      </c>
      <c r="F368">
        <v>0</v>
      </c>
      <c r="G368" t="s">
        <v>6582</v>
      </c>
      <c r="H368" t="s">
        <v>9396</v>
      </c>
      <c r="I368">
        <v>0</v>
      </c>
    </row>
    <row r="369" spans="4:9" customFormat="1" ht="13.95" customHeight="1">
      <c r="D369" t="s">
        <v>6524</v>
      </c>
      <c r="E369" t="s">
        <v>9369</v>
      </c>
      <c r="F369">
        <v>0</v>
      </c>
      <c r="G369" t="s">
        <v>6582</v>
      </c>
      <c r="H369" t="s">
        <v>9397</v>
      </c>
      <c r="I369">
        <v>0</v>
      </c>
    </row>
    <row r="370" spans="4:9" customFormat="1" ht="13.95" customHeight="1">
      <c r="D370" t="s">
        <v>6524</v>
      </c>
      <c r="E370" t="s">
        <v>9372</v>
      </c>
      <c r="F370">
        <v>0</v>
      </c>
      <c r="G370" t="s">
        <v>6582</v>
      </c>
      <c r="H370" t="s">
        <v>9398</v>
      </c>
      <c r="I370">
        <v>0</v>
      </c>
    </row>
    <row r="371" spans="4:9" customFormat="1" ht="13.95" customHeight="1">
      <c r="D371" t="s">
        <v>6524</v>
      </c>
      <c r="E371" t="s">
        <v>9374</v>
      </c>
      <c r="F371">
        <v>0</v>
      </c>
      <c r="G371" t="s">
        <v>6582</v>
      </c>
      <c r="H371" t="s">
        <v>9399</v>
      </c>
      <c r="I371">
        <v>0</v>
      </c>
    </row>
    <row r="372" spans="4:9" customFormat="1" ht="13.95" customHeight="1">
      <c r="D372" t="s">
        <v>6524</v>
      </c>
      <c r="E372" t="s">
        <v>9376</v>
      </c>
      <c r="F372">
        <v>0</v>
      </c>
      <c r="G372" t="s">
        <v>6582</v>
      </c>
      <c r="H372" t="s">
        <v>9400</v>
      </c>
      <c r="I372">
        <v>0</v>
      </c>
    </row>
    <row r="373" spans="4:9" customFormat="1" ht="13.95" customHeight="1">
      <c r="D373" t="s">
        <v>6524</v>
      </c>
      <c r="E373" t="s">
        <v>9378</v>
      </c>
      <c r="F373">
        <v>0</v>
      </c>
      <c r="G373" t="s">
        <v>6582</v>
      </c>
      <c r="H373" t="s">
        <v>9401</v>
      </c>
      <c r="I373">
        <v>0</v>
      </c>
    </row>
    <row r="374" spans="4:9" customFormat="1" ht="13.95" customHeight="1">
      <c r="D374" t="s">
        <v>6524</v>
      </c>
      <c r="E374" t="s">
        <v>9380</v>
      </c>
      <c r="F374">
        <v>0</v>
      </c>
      <c r="G374" t="s">
        <v>6582</v>
      </c>
      <c r="H374" t="s">
        <v>9402</v>
      </c>
      <c r="I374">
        <v>0</v>
      </c>
    </row>
    <row r="375" spans="4:9" customFormat="1" ht="13.95" customHeight="1">
      <c r="D375" t="s">
        <v>6524</v>
      </c>
      <c r="E375" t="s">
        <v>9382</v>
      </c>
      <c r="F375">
        <v>0</v>
      </c>
      <c r="G375" t="s">
        <v>6582</v>
      </c>
      <c r="H375" t="s">
        <v>9403</v>
      </c>
      <c r="I375">
        <v>0</v>
      </c>
    </row>
    <row r="376" spans="4:9" customFormat="1" ht="13.95" customHeight="1">
      <c r="D376" t="s">
        <v>6524</v>
      </c>
      <c r="E376" t="s">
        <v>9383</v>
      </c>
      <c r="F376">
        <v>0</v>
      </c>
      <c r="G376" t="s">
        <v>6582</v>
      </c>
      <c r="H376" t="s">
        <v>9404</v>
      </c>
      <c r="I376">
        <v>0</v>
      </c>
    </row>
    <row r="377" spans="4:9" customFormat="1" ht="13.95" customHeight="1">
      <c r="D377" t="s">
        <v>6524</v>
      </c>
      <c r="E377" t="s">
        <v>9384</v>
      </c>
      <c r="F377">
        <v>0</v>
      </c>
      <c r="G377" t="s">
        <v>6582</v>
      </c>
      <c r="H377" t="s">
        <v>9405</v>
      </c>
      <c r="I377">
        <v>0</v>
      </c>
    </row>
    <row r="378" spans="4:9" customFormat="1" ht="13.95" customHeight="1">
      <c r="D378" t="s">
        <v>6524</v>
      </c>
      <c r="E378" t="s">
        <v>9385</v>
      </c>
      <c r="F378">
        <v>0</v>
      </c>
      <c r="G378" t="s">
        <v>6582</v>
      </c>
      <c r="H378" t="s">
        <v>9406</v>
      </c>
      <c r="I378">
        <v>0</v>
      </c>
    </row>
    <row r="379" spans="4:9" customFormat="1" ht="13.95" customHeight="1">
      <c r="D379" t="s">
        <v>6524</v>
      </c>
      <c r="E379" t="s">
        <v>9386</v>
      </c>
      <c r="F379">
        <v>0</v>
      </c>
      <c r="G379" t="s">
        <v>6582</v>
      </c>
      <c r="H379" t="s">
        <v>9407</v>
      </c>
      <c r="I379">
        <v>0</v>
      </c>
    </row>
    <row r="380" spans="4:9" customFormat="1" ht="13.95" customHeight="1">
      <c r="D380" t="s">
        <v>6524</v>
      </c>
      <c r="E380" t="s">
        <v>9387</v>
      </c>
      <c r="F380">
        <v>0</v>
      </c>
      <c r="G380" t="s">
        <v>6582</v>
      </c>
      <c r="H380" t="s">
        <v>9408</v>
      </c>
      <c r="I380">
        <v>0</v>
      </c>
    </row>
    <row r="381" spans="4:9" customFormat="1" ht="13.95" customHeight="1">
      <c r="D381" t="s">
        <v>6524</v>
      </c>
      <c r="E381" t="s">
        <v>9388</v>
      </c>
      <c r="F381">
        <v>0</v>
      </c>
      <c r="G381" t="s">
        <v>6582</v>
      </c>
      <c r="H381" t="s">
        <v>9409</v>
      </c>
      <c r="I381">
        <v>0</v>
      </c>
    </row>
    <row r="382" spans="4:9" customFormat="1" ht="13.95" customHeight="1">
      <c r="D382" t="s">
        <v>6524</v>
      </c>
      <c r="E382" t="s">
        <v>9389</v>
      </c>
      <c r="F382">
        <v>0</v>
      </c>
      <c r="G382" t="s">
        <v>6582</v>
      </c>
      <c r="H382" t="s">
        <v>9410</v>
      </c>
      <c r="I382">
        <v>0</v>
      </c>
    </row>
    <row r="383" spans="4:9" customFormat="1" ht="13.95" customHeight="1">
      <c r="D383" t="s">
        <v>6524</v>
      </c>
      <c r="E383" t="s">
        <v>9390</v>
      </c>
      <c r="F383">
        <v>0</v>
      </c>
      <c r="G383" t="s">
        <v>6583</v>
      </c>
      <c r="H383" t="s">
        <v>9328</v>
      </c>
      <c r="I383">
        <v>0</v>
      </c>
    </row>
    <row r="384" spans="4:9" customFormat="1" ht="13.95" customHeight="1">
      <c r="D384" t="s">
        <v>6524</v>
      </c>
      <c r="E384" t="s">
        <v>9391</v>
      </c>
      <c r="F384">
        <v>0</v>
      </c>
      <c r="G384" t="s">
        <v>6583</v>
      </c>
      <c r="H384" t="s">
        <v>9329</v>
      </c>
      <c r="I384">
        <v>0</v>
      </c>
    </row>
    <row r="385" spans="4:9" customFormat="1" ht="13.95" customHeight="1">
      <c r="D385" t="s">
        <v>6524</v>
      </c>
      <c r="E385" t="s">
        <v>9392</v>
      </c>
      <c r="F385">
        <v>0</v>
      </c>
      <c r="G385" t="s">
        <v>6583</v>
      </c>
      <c r="H385" t="s">
        <v>9330</v>
      </c>
      <c r="I385">
        <v>0</v>
      </c>
    </row>
    <row r="386" spans="4:9" customFormat="1" ht="13.95" customHeight="1">
      <c r="D386" t="s">
        <v>6526</v>
      </c>
      <c r="E386" t="s">
        <v>9328</v>
      </c>
      <c r="F386">
        <v>0</v>
      </c>
      <c r="G386" t="s">
        <v>6583</v>
      </c>
      <c r="H386" t="s">
        <v>9331</v>
      </c>
      <c r="I386">
        <v>0</v>
      </c>
    </row>
    <row r="387" spans="4:9" customFormat="1" ht="13.95" customHeight="1">
      <c r="D387" t="s">
        <v>6526</v>
      </c>
      <c r="E387" t="s">
        <v>9329</v>
      </c>
      <c r="F387">
        <v>151.9</v>
      </c>
      <c r="G387" t="s">
        <v>6583</v>
      </c>
      <c r="H387" t="s">
        <v>9332</v>
      </c>
      <c r="I387">
        <v>0</v>
      </c>
    </row>
    <row r="388" spans="4:9" customFormat="1" ht="13.95" customHeight="1">
      <c r="D388" t="s">
        <v>6526</v>
      </c>
      <c r="E388" t="s">
        <v>9330</v>
      </c>
      <c r="F388">
        <v>121.2</v>
      </c>
      <c r="G388" t="s">
        <v>6583</v>
      </c>
      <c r="H388" t="s">
        <v>9333</v>
      </c>
      <c r="I388">
        <v>0</v>
      </c>
    </row>
    <row r="389" spans="4:9" customFormat="1" ht="13.95" customHeight="1">
      <c r="D389" t="s">
        <v>6526</v>
      </c>
      <c r="E389" t="s">
        <v>9331</v>
      </c>
      <c r="F389">
        <v>0</v>
      </c>
      <c r="G389" t="s">
        <v>6583</v>
      </c>
      <c r="H389" t="s">
        <v>9334</v>
      </c>
      <c r="I389">
        <v>0</v>
      </c>
    </row>
    <row r="390" spans="4:9" customFormat="1" ht="13.95" customHeight="1">
      <c r="D390" t="s">
        <v>6526</v>
      </c>
      <c r="E390" t="s">
        <v>9332</v>
      </c>
      <c r="F390">
        <v>0</v>
      </c>
      <c r="G390" t="s">
        <v>6583</v>
      </c>
      <c r="H390" t="s">
        <v>9335</v>
      </c>
      <c r="I390">
        <v>0</v>
      </c>
    </row>
    <row r="391" spans="4:9" customFormat="1" ht="13.95" customHeight="1">
      <c r="D391" t="s">
        <v>6526</v>
      </c>
      <c r="E391" t="s">
        <v>9333</v>
      </c>
      <c r="F391">
        <v>184.4</v>
      </c>
      <c r="G391" t="s">
        <v>6583</v>
      </c>
      <c r="H391" t="s">
        <v>9336</v>
      </c>
      <c r="I391">
        <v>0</v>
      </c>
    </row>
    <row r="392" spans="4:9" customFormat="1" ht="13.95" customHeight="1">
      <c r="D392" t="s">
        <v>6526</v>
      </c>
      <c r="E392" t="s">
        <v>9334</v>
      </c>
      <c r="F392">
        <v>795.8</v>
      </c>
      <c r="G392" t="s">
        <v>6583</v>
      </c>
      <c r="H392" t="s">
        <v>9337</v>
      </c>
      <c r="I392">
        <v>0</v>
      </c>
    </row>
    <row r="393" spans="4:9" customFormat="1" ht="13.95" customHeight="1">
      <c r="D393" t="s">
        <v>6526</v>
      </c>
      <c r="E393" t="s">
        <v>9335</v>
      </c>
      <c r="F393">
        <v>0</v>
      </c>
      <c r="G393" t="s">
        <v>6583</v>
      </c>
      <c r="H393" t="s">
        <v>9338</v>
      </c>
      <c r="I393">
        <v>0</v>
      </c>
    </row>
    <row r="394" spans="4:9" customFormat="1" ht="13.95" customHeight="1">
      <c r="D394" t="s">
        <v>6526</v>
      </c>
      <c r="E394" t="s">
        <v>9336</v>
      </c>
      <c r="F394">
        <v>0</v>
      </c>
      <c r="G394" t="s">
        <v>6583</v>
      </c>
      <c r="H394" t="s">
        <v>9339</v>
      </c>
      <c r="I394">
        <v>0</v>
      </c>
    </row>
    <row r="395" spans="4:9" customFormat="1" ht="13.95" customHeight="1">
      <c r="D395" t="s">
        <v>6526</v>
      </c>
      <c r="E395" t="s">
        <v>9337</v>
      </c>
      <c r="F395">
        <v>0</v>
      </c>
      <c r="G395" t="s">
        <v>6583</v>
      </c>
      <c r="H395" t="s">
        <v>9343</v>
      </c>
      <c r="I395">
        <v>0</v>
      </c>
    </row>
    <row r="396" spans="4:9" customFormat="1" ht="13.95" customHeight="1">
      <c r="D396" t="s">
        <v>6526</v>
      </c>
      <c r="E396" t="s">
        <v>9338</v>
      </c>
      <c r="F396">
        <v>0</v>
      </c>
      <c r="G396" t="s">
        <v>6583</v>
      </c>
      <c r="H396" t="s">
        <v>9344</v>
      </c>
      <c r="I396">
        <v>0</v>
      </c>
    </row>
    <row r="397" spans="4:9" customFormat="1" ht="13.95" customHeight="1">
      <c r="D397" t="s">
        <v>6526</v>
      </c>
      <c r="E397" t="s">
        <v>9339</v>
      </c>
      <c r="F397">
        <v>0</v>
      </c>
      <c r="G397" t="s">
        <v>6583</v>
      </c>
      <c r="H397" t="s">
        <v>9345</v>
      </c>
      <c r="I397">
        <v>0</v>
      </c>
    </row>
    <row r="398" spans="4:9" customFormat="1" ht="13.95" customHeight="1">
      <c r="D398" t="s">
        <v>6526</v>
      </c>
      <c r="E398" t="s">
        <v>9343</v>
      </c>
      <c r="F398">
        <v>0</v>
      </c>
      <c r="G398" t="s">
        <v>6583</v>
      </c>
      <c r="H398" t="s">
        <v>9346</v>
      </c>
      <c r="I398">
        <v>0</v>
      </c>
    </row>
    <row r="399" spans="4:9" customFormat="1" ht="13.95" customHeight="1">
      <c r="D399" t="s">
        <v>6526</v>
      </c>
      <c r="E399" t="s">
        <v>9344</v>
      </c>
      <c r="F399">
        <v>0</v>
      </c>
      <c r="G399" t="s">
        <v>6583</v>
      </c>
      <c r="H399" t="s">
        <v>9347</v>
      </c>
      <c r="I399">
        <v>0</v>
      </c>
    </row>
    <row r="400" spans="4:9" customFormat="1" ht="13.95" customHeight="1">
      <c r="D400" t="s">
        <v>6526</v>
      </c>
      <c r="E400" t="s">
        <v>9345</v>
      </c>
      <c r="F400">
        <v>0</v>
      </c>
      <c r="G400" t="s">
        <v>6583</v>
      </c>
      <c r="H400" t="s">
        <v>9348</v>
      </c>
      <c r="I400">
        <v>0</v>
      </c>
    </row>
    <row r="401" spans="4:9" customFormat="1" ht="13.95" customHeight="1">
      <c r="D401" t="s">
        <v>6526</v>
      </c>
      <c r="E401" t="s">
        <v>9346</v>
      </c>
      <c r="F401">
        <v>0</v>
      </c>
      <c r="G401" t="s">
        <v>6583</v>
      </c>
      <c r="H401" t="s">
        <v>9367</v>
      </c>
      <c r="I401">
        <v>0</v>
      </c>
    </row>
    <row r="402" spans="4:9" customFormat="1" ht="13.95" customHeight="1">
      <c r="D402" t="s">
        <v>6526</v>
      </c>
      <c r="E402" t="s">
        <v>9347</v>
      </c>
      <c r="F402">
        <v>0</v>
      </c>
      <c r="G402" t="s">
        <v>6583</v>
      </c>
      <c r="H402" t="s">
        <v>9369</v>
      </c>
      <c r="I402">
        <v>0</v>
      </c>
    </row>
    <row r="403" spans="4:9" customFormat="1" ht="13.95" customHeight="1">
      <c r="D403" t="s">
        <v>6526</v>
      </c>
      <c r="E403" t="s">
        <v>9348</v>
      </c>
      <c r="F403">
        <v>0</v>
      </c>
      <c r="G403" t="s">
        <v>6583</v>
      </c>
      <c r="H403" t="s">
        <v>9372</v>
      </c>
      <c r="I403">
        <v>0</v>
      </c>
    </row>
    <row r="404" spans="4:9" customFormat="1" ht="13.95" customHeight="1">
      <c r="D404" t="s">
        <v>6526</v>
      </c>
      <c r="E404" t="s">
        <v>9367</v>
      </c>
      <c r="F404">
        <v>0</v>
      </c>
      <c r="G404" t="s">
        <v>6583</v>
      </c>
      <c r="H404" t="s">
        <v>9374</v>
      </c>
      <c r="I404">
        <v>0</v>
      </c>
    </row>
    <row r="405" spans="4:9" customFormat="1" ht="13.95" customHeight="1">
      <c r="D405" t="s">
        <v>6526</v>
      </c>
      <c r="E405" t="s">
        <v>9369</v>
      </c>
      <c r="F405">
        <v>0</v>
      </c>
      <c r="G405" t="s">
        <v>6583</v>
      </c>
      <c r="H405" t="s">
        <v>9376</v>
      </c>
      <c r="I405">
        <v>0</v>
      </c>
    </row>
    <row r="406" spans="4:9" customFormat="1" ht="13.95" customHeight="1">
      <c r="D406" t="s">
        <v>6526</v>
      </c>
      <c r="E406" t="s">
        <v>9372</v>
      </c>
      <c r="F406">
        <v>0</v>
      </c>
      <c r="G406" t="s">
        <v>6583</v>
      </c>
      <c r="H406" t="s">
        <v>9378</v>
      </c>
      <c r="I406">
        <v>0</v>
      </c>
    </row>
    <row r="407" spans="4:9" customFormat="1" ht="13.95" customHeight="1">
      <c r="D407" t="s">
        <v>6526</v>
      </c>
      <c r="E407" t="s">
        <v>9374</v>
      </c>
      <c r="F407">
        <v>0</v>
      </c>
      <c r="G407" t="s">
        <v>6583</v>
      </c>
      <c r="H407" t="s">
        <v>9380</v>
      </c>
      <c r="I407">
        <v>0</v>
      </c>
    </row>
    <row r="408" spans="4:9" customFormat="1" ht="13.95" customHeight="1">
      <c r="D408" t="s">
        <v>6526</v>
      </c>
      <c r="E408" t="s">
        <v>9376</v>
      </c>
      <c r="F408">
        <v>0</v>
      </c>
      <c r="G408" t="s">
        <v>6583</v>
      </c>
      <c r="H408" t="s">
        <v>9382</v>
      </c>
      <c r="I408">
        <v>0</v>
      </c>
    </row>
    <row r="409" spans="4:9" customFormat="1" ht="13.95" customHeight="1">
      <c r="D409" t="s">
        <v>6526</v>
      </c>
      <c r="E409" t="s">
        <v>9378</v>
      </c>
      <c r="F409">
        <v>0</v>
      </c>
      <c r="G409" t="s">
        <v>6583</v>
      </c>
      <c r="H409" t="s">
        <v>9383</v>
      </c>
      <c r="I409">
        <v>0</v>
      </c>
    </row>
    <row r="410" spans="4:9" customFormat="1" ht="13.95" customHeight="1">
      <c r="D410" t="s">
        <v>6526</v>
      </c>
      <c r="E410" t="s">
        <v>9380</v>
      </c>
      <c r="F410">
        <v>0</v>
      </c>
      <c r="G410" t="s">
        <v>6583</v>
      </c>
      <c r="H410" t="s">
        <v>9384</v>
      </c>
      <c r="I410">
        <v>0</v>
      </c>
    </row>
    <row r="411" spans="4:9" customFormat="1" ht="13.95" customHeight="1">
      <c r="D411" t="s">
        <v>6526</v>
      </c>
      <c r="E411" t="s">
        <v>9382</v>
      </c>
      <c r="F411">
        <v>0</v>
      </c>
      <c r="G411" t="s">
        <v>6583</v>
      </c>
      <c r="H411" t="s">
        <v>9385</v>
      </c>
      <c r="I411">
        <v>0</v>
      </c>
    </row>
    <row r="412" spans="4:9" customFormat="1" ht="13.95" customHeight="1">
      <c r="D412" t="s">
        <v>6526</v>
      </c>
      <c r="E412" t="s">
        <v>9383</v>
      </c>
      <c r="F412">
        <v>0</v>
      </c>
      <c r="G412" t="s">
        <v>6583</v>
      </c>
      <c r="H412" t="s">
        <v>9386</v>
      </c>
      <c r="I412">
        <v>0</v>
      </c>
    </row>
    <row r="413" spans="4:9" customFormat="1" ht="13.95" customHeight="1">
      <c r="D413" t="s">
        <v>6526</v>
      </c>
      <c r="E413" t="s">
        <v>9384</v>
      </c>
      <c r="F413">
        <v>0</v>
      </c>
      <c r="G413" t="s">
        <v>6583</v>
      </c>
      <c r="H413" t="s">
        <v>9387</v>
      </c>
      <c r="I413">
        <v>0</v>
      </c>
    </row>
    <row r="414" spans="4:9" customFormat="1" ht="13.95" customHeight="1">
      <c r="D414" t="s">
        <v>6526</v>
      </c>
      <c r="E414" t="s">
        <v>9385</v>
      </c>
      <c r="F414">
        <v>0</v>
      </c>
      <c r="G414" t="s">
        <v>6583</v>
      </c>
      <c r="H414" t="s">
        <v>9388</v>
      </c>
      <c r="I414">
        <v>0</v>
      </c>
    </row>
    <row r="415" spans="4:9" customFormat="1" ht="13.95" customHeight="1">
      <c r="D415" t="s">
        <v>6526</v>
      </c>
      <c r="E415" t="s">
        <v>9386</v>
      </c>
      <c r="F415">
        <v>0</v>
      </c>
      <c r="G415" t="s">
        <v>6583</v>
      </c>
      <c r="H415" t="s">
        <v>9389</v>
      </c>
      <c r="I415">
        <v>0</v>
      </c>
    </row>
    <row r="416" spans="4:9" customFormat="1" ht="13.95" customHeight="1">
      <c r="D416" t="s">
        <v>6526</v>
      </c>
      <c r="E416" t="s">
        <v>9387</v>
      </c>
      <c r="F416">
        <v>0</v>
      </c>
      <c r="G416" t="s">
        <v>6583</v>
      </c>
      <c r="H416" t="s">
        <v>9390</v>
      </c>
      <c r="I416">
        <v>0</v>
      </c>
    </row>
    <row r="417" spans="4:9" customFormat="1" ht="13.95" customHeight="1">
      <c r="D417" t="s">
        <v>6526</v>
      </c>
      <c r="E417" t="s">
        <v>9388</v>
      </c>
      <c r="F417">
        <v>0</v>
      </c>
      <c r="G417" t="s">
        <v>6583</v>
      </c>
      <c r="H417" t="s">
        <v>9391</v>
      </c>
      <c r="I417">
        <v>0</v>
      </c>
    </row>
    <row r="418" spans="4:9" customFormat="1" ht="13.95" customHeight="1">
      <c r="D418" t="s">
        <v>6526</v>
      </c>
      <c r="E418" t="s">
        <v>9389</v>
      </c>
      <c r="F418">
        <v>0</v>
      </c>
      <c r="G418" t="s">
        <v>6583</v>
      </c>
      <c r="H418" t="s">
        <v>9392</v>
      </c>
      <c r="I418">
        <v>0</v>
      </c>
    </row>
    <row r="419" spans="4:9" customFormat="1" ht="13.95" customHeight="1">
      <c r="D419" t="s">
        <v>6526</v>
      </c>
      <c r="E419" t="s">
        <v>9390</v>
      </c>
      <c r="F419">
        <v>0</v>
      </c>
      <c r="G419" t="s">
        <v>6583</v>
      </c>
      <c r="H419" t="s">
        <v>9393</v>
      </c>
      <c r="I419">
        <v>0</v>
      </c>
    </row>
    <row r="420" spans="4:9" customFormat="1" ht="13.95" customHeight="1">
      <c r="D420" t="s">
        <v>6526</v>
      </c>
      <c r="E420" t="s">
        <v>9391</v>
      </c>
      <c r="F420">
        <v>0</v>
      </c>
      <c r="G420" t="s">
        <v>6583</v>
      </c>
      <c r="H420" t="s">
        <v>9394</v>
      </c>
      <c r="I420">
        <v>0</v>
      </c>
    </row>
    <row r="421" spans="4:9" customFormat="1" ht="13.95" customHeight="1">
      <c r="D421" t="s">
        <v>6526</v>
      </c>
      <c r="E421" t="s">
        <v>9392</v>
      </c>
      <c r="F421">
        <v>0</v>
      </c>
      <c r="G421" t="s">
        <v>6583</v>
      </c>
      <c r="H421" t="s">
        <v>9395</v>
      </c>
      <c r="I421">
        <v>0</v>
      </c>
    </row>
    <row r="422" spans="4:9" customFormat="1" ht="13.95" customHeight="1">
      <c r="D422" t="s">
        <v>6528</v>
      </c>
      <c r="E422" t="s">
        <v>9328</v>
      </c>
      <c r="F422">
        <v>0</v>
      </c>
      <c r="G422" t="s">
        <v>6583</v>
      </c>
      <c r="H422" t="s">
        <v>9396</v>
      </c>
      <c r="I422">
        <v>0</v>
      </c>
    </row>
    <row r="423" spans="4:9" customFormat="1" ht="13.95" customHeight="1">
      <c r="D423" t="s">
        <v>6528</v>
      </c>
      <c r="E423" t="s">
        <v>9329</v>
      </c>
      <c r="F423">
        <v>0</v>
      </c>
      <c r="G423" t="s">
        <v>6583</v>
      </c>
      <c r="H423" t="s">
        <v>9397</v>
      </c>
      <c r="I423">
        <v>0</v>
      </c>
    </row>
    <row r="424" spans="4:9" customFormat="1" ht="13.95" customHeight="1">
      <c r="D424" t="s">
        <v>6528</v>
      </c>
      <c r="E424" t="s">
        <v>9330</v>
      </c>
      <c r="F424">
        <v>0</v>
      </c>
      <c r="G424" t="s">
        <v>6583</v>
      </c>
      <c r="H424" t="s">
        <v>9398</v>
      </c>
      <c r="I424">
        <v>0</v>
      </c>
    </row>
    <row r="425" spans="4:9" customFormat="1" ht="13.95" customHeight="1">
      <c r="D425" t="s">
        <v>6528</v>
      </c>
      <c r="E425" t="s">
        <v>9331</v>
      </c>
      <c r="F425">
        <v>0</v>
      </c>
      <c r="G425" t="s">
        <v>6583</v>
      </c>
      <c r="H425" t="s">
        <v>9399</v>
      </c>
      <c r="I425">
        <v>0</v>
      </c>
    </row>
    <row r="426" spans="4:9" customFormat="1" ht="13.95" customHeight="1">
      <c r="D426" t="s">
        <v>6528</v>
      </c>
      <c r="E426" t="s">
        <v>9332</v>
      </c>
      <c r="F426">
        <v>0</v>
      </c>
      <c r="G426" t="s">
        <v>6583</v>
      </c>
      <c r="H426" t="s">
        <v>9400</v>
      </c>
      <c r="I426">
        <v>0</v>
      </c>
    </row>
    <row r="427" spans="4:9" customFormat="1" ht="13.95" customHeight="1">
      <c r="D427" t="s">
        <v>6528</v>
      </c>
      <c r="E427" t="s">
        <v>9333</v>
      </c>
      <c r="F427">
        <v>277.10000000000002</v>
      </c>
      <c r="G427" t="s">
        <v>6583</v>
      </c>
      <c r="H427" t="s">
        <v>9401</v>
      </c>
      <c r="I427">
        <v>0</v>
      </c>
    </row>
    <row r="428" spans="4:9" customFormat="1" ht="13.95" customHeight="1">
      <c r="D428" t="s">
        <v>6528</v>
      </c>
      <c r="E428" t="s">
        <v>9334</v>
      </c>
      <c r="F428">
        <v>0</v>
      </c>
      <c r="G428" t="s">
        <v>6583</v>
      </c>
      <c r="H428" t="s">
        <v>9402</v>
      </c>
      <c r="I428">
        <v>0</v>
      </c>
    </row>
    <row r="429" spans="4:9" customFormat="1" ht="13.95" customHeight="1">
      <c r="D429" t="s">
        <v>6528</v>
      </c>
      <c r="E429" t="s">
        <v>9335</v>
      </c>
      <c r="F429">
        <v>0</v>
      </c>
      <c r="G429" t="s">
        <v>6583</v>
      </c>
      <c r="H429" t="s">
        <v>9403</v>
      </c>
      <c r="I429">
        <v>0</v>
      </c>
    </row>
    <row r="430" spans="4:9" customFormat="1" ht="13.95" customHeight="1">
      <c r="D430" t="s">
        <v>6528</v>
      </c>
      <c r="E430" t="s">
        <v>9336</v>
      </c>
      <c r="F430">
        <v>828.8</v>
      </c>
      <c r="G430" t="s">
        <v>6583</v>
      </c>
      <c r="H430" t="s">
        <v>9404</v>
      </c>
      <c r="I430">
        <v>0</v>
      </c>
    </row>
    <row r="431" spans="4:9" customFormat="1" ht="13.95" customHeight="1">
      <c r="D431" t="s">
        <v>6528</v>
      </c>
      <c r="E431" t="s">
        <v>9337</v>
      </c>
      <c r="F431">
        <v>0</v>
      </c>
      <c r="G431" t="s">
        <v>6583</v>
      </c>
      <c r="H431" t="s">
        <v>9405</v>
      </c>
      <c r="I431">
        <v>0</v>
      </c>
    </row>
    <row r="432" spans="4:9" customFormat="1" ht="13.95" customHeight="1">
      <c r="D432" t="s">
        <v>6528</v>
      </c>
      <c r="E432" t="s">
        <v>9338</v>
      </c>
      <c r="F432">
        <v>0</v>
      </c>
      <c r="G432" t="s">
        <v>6583</v>
      </c>
      <c r="H432" t="s">
        <v>9406</v>
      </c>
      <c r="I432">
        <v>0</v>
      </c>
    </row>
    <row r="433" spans="4:9" customFormat="1" ht="13.95" customHeight="1">
      <c r="D433" t="s">
        <v>6528</v>
      </c>
      <c r="E433" t="s">
        <v>9339</v>
      </c>
      <c r="F433">
        <v>0</v>
      </c>
      <c r="G433" t="s">
        <v>6583</v>
      </c>
      <c r="H433" t="s">
        <v>9407</v>
      </c>
      <c r="I433">
        <v>0</v>
      </c>
    </row>
    <row r="434" spans="4:9" customFormat="1" ht="13.95" customHeight="1">
      <c r="D434" t="s">
        <v>6528</v>
      </c>
      <c r="E434" t="s">
        <v>9343</v>
      </c>
      <c r="F434">
        <v>303.7</v>
      </c>
      <c r="G434" t="s">
        <v>6583</v>
      </c>
      <c r="H434" t="s">
        <v>9408</v>
      </c>
      <c r="I434">
        <v>0</v>
      </c>
    </row>
    <row r="435" spans="4:9" customFormat="1" ht="13.95" customHeight="1">
      <c r="D435" t="s">
        <v>6528</v>
      </c>
      <c r="E435" t="s">
        <v>9344</v>
      </c>
      <c r="F435">
        <v>0</v>
      </c>
      <c r="G435" t="s">
        <v>6583</v>
      </c>
      <c r="H435" t="s">
        <v>9409</v>
      </c>
      <c r="I435">
        <v>0</v>
      </c>
    </row>
    <row r="436" spans="4:9" customFormat="1" ht="13.95" customHeight="1">
      <c r="D436" t="s">
        <v>6528</v>
      </c>
      <c r="E436" t="s">
        <v>9345</v>
      </c>
      <c r="F436">
        <v>0</v>
      </c>
      <c r="G436" t="s">
        <v>6583</v>
      </c>
      <c r="H436" t="s">
        <v>9410</v>
      </c>
      <c r="I436">
        <v>0</v>
      </c>
    </row>
    <row r="437" spans="4:9" customFormat="1" ht="13.95" customHeight="1">
      <c r="D437" t="s">
        <v>6528</v>
      </c>
      <c r="E437" t="s">
        <v>9346</v>
      </c>
      <c r="F437">
        <v>0</v>
      </c>
      <c r="G437" t="s">
        <v>6572</v>
      </c>
      <c r="H437" t="s">
        <v>9328</v>
      </c>
      <c r="I437">
        <v>0</v>
      </c>
    </row>
    <row r="438" spans="4:9" customFormat="1" ht="13.95" customHeight="1">
      <c r="D438" t="s">
        <v>6528</v>
      </c>
      <c r="E438" t="s">
        <v>9347</v>
      </c>
      <c r="F438">
        <v>0</v>
      </c>
      <c r="G438" t="s">
        <v>6572</v>
      </c>
      <c r="H438" t="s">
        <v>9329</v>
      </c>
      <c r="I438">
        <v>0</v>
      </c>
    </row>
    <row r="439" spans="4:9" customFormat="1" ht="13.95" customHeight="1">
      <c r="D439" t="s">
        <v>6528</v>
      </c>
      <c r="E439" t="s">
        <v>9348</v>
      </c>
      <c r="F439">
        <v>434</v>
      </c>
      <c r="G439" t="s">
        <v>6572</v>
      </c>
      <c r="H439" t="s">
        <v>9330</v>
      </c>
      <c r="I439">
        <v>0</v>
      </c>
    </row>
    <row r="440" spans="4:9" customFormat="1" ht="13.95" customHeight="1">
      <c r="D440" t="s">
        <v>6528</v>
      </c>
      <c r="E440" t="s">
        <v>9367</v>
      </c>
      <c r="F440">
        <v>0</v>
      </c>
      <c r="G440" t="s">
        <v>6572</v>
      </c>
      <c r="H440" t="s">
        <v>9331</v>
      </c>
      <c r="I440">
        <v>0</v>
      </c>
    </row>
    <row r="441" spans="4:9" customFormat="1" ht="13.95" customHeight="1">
      <c r="D441" t="s">
        <v>6528</v>
      </c>
      <c r="E441" t="s">
        <v>9369</v>
      </c>
      <c r="F441">
        <v>313</v>
      </c>
      <c r="G441" t="s">
        <v>6572</v>
      </c>
      <c r="H441" t="s">
        <v>9332</v>
      </c>
      <c r="I441">
        <v>0</v>
      </c>
    </row>
    <row r="442" spans="4:9" customFormat="1" ht="13.95" customHeight="1">
      <c r="D442" t="s">
        <v>6528</v>
      </c>
      <c r="E442" t="s">
        <v>9372</v>
      </c>
      <c r="F442">
        <v>358.1</v>
      </c>
      <c r="G442" t="s">
        <v>6572</v>
      </c>
      <c r="H442" t="s">
        <v>9333</v>
      </c>
      <c r="I442">
        <v>0</v>
      </c>
    </row>
    <row r="443" spans="4:9" customFormat="1" ht="13.95" customHeight="1">
      <c r="D443" t="s">
        <v>6528</v>
      </c>
      <c r="E443" t="s">
        <v>9374</v>
      </c>
      <c r="F443">
        <v>0</v>
      </c>
      <c r="G443" t="s">
        <v>6572</v>
      </c>
      <c r="H443" t="s">
        <v>9334</v>
      </c>
      <c r="I443">
        <v>0</v>
      </c>
    </row>
    <row r="444" spans="4:9" customFormat="1" ht="13.95" customHeight="1">
      <c r="D444" t="s">
        <v>6528</v>
      </c>
      <c r="E444" t="s">
        <v>9376</v>
      </c>
      <c r="F444">
        <v>765.2</v>
      </c>
      <c r="G444" t="s">
        <v>6572</v>
      </c>
      <c r="H444" t="s">
        <v>9335</v>
      </c>
      <c r="I444">
        <v>0</v>
      </c>
    </row>
    <row r="445" spans="4:9" customFormat="1" ht="13.95" customHeight="1">
      <c r="D445" t="s">
        <v>6528</v>
      </c>
      <c r="E445" t="s">
        <v>9378</v>
      </c>
      <c r="F445">
        <v>0</v>
      </c>
      <c r="G445" t="s">
        <v>6572</v>
      </c>
      <c r="H445" t="s">
        <v>9336</v>
      </c>
      <c r="I445">
        <v>0</v>
      </c>
    </row>
    <row r="446" spans="4:9" customFormat="1" ht="13.95" customHeight="1">
      <c r="D446" t="s">
        <v>6528</v>
      </c>
      <c r="E446" t="s">
        <v>9380</v>
      </c>
      <c r="F446">
        <v>0</v>
      </c>
      <c r="G446" t="s">
        <v>6572</v>
      </c>
      <c r="H446" t="s">
        <v>9337</v>
      </c>
      <c r="I446">
        <v>0</v>
      </c>
    </row>
    <row r="447" spans="4:9" customFormat="1" ht="13.95" customHeight="1">
      <c r="D447" t="s">
        <v>6528</v>
      </c>
      <c r="E447" t="s">
        <v>9382</v>
      </c>
      <c r="F447">
        <v>871</v>
      </c>
      <c r="G447" t="s">
        <v>6572</v>
      </c>
      <c r="H447" t="s">
        <v>9338</v>
      </c>
      <c r="I447">
        <v>0</v>
      </c>
    </row>
    <row r="448" spans="4:9" customFormat="1" ht="13.95" customHeight="1">
      <c r="D448" t="s">
        <v>6528</v>
      </c>
      <c r="E448" t="s">
        <v>9383</v>
      </c>
      <c r="F448">
        <v>397.8</v>
      </c>
      <c r="G448" t="s">
        <v>6572</v>
      </c>
      <c r="H448" t="s">
        <v>9339</v>
      </c>
      <c r="I448">
        <v>0</v>
      </c>
    </row>
    <row r="449" spans="4:9" customFormat="1" ht="13.95" customHeight="1">
      <c r="D449" t="s">
        <v>6528</v>
      </c>
      <c r="E449" t="s">
        <v>9384</v>
      </c>
      <c r="F449">
        <v>868.3</v>
      </c>
      <c r="G449" t="s">
        <v>6572</v>
      </c>
      <c r="H449" t="s">
        <v>9343</v>
      </c>
      <c r="I449">
        <v>0</v>
      </c>
    </row>
    <row r="450" spans="4:9" customFormat="1" ht="13.95" customHeight="1">
      <c r="D450" t="s">
        <v>6528</v>
      </c>
      <c r="E450" t="s">
        <v>9385</v>
      </c>
      <c r="F450">
        <v>0</v>
      </c>
      <c r="G450" t="s">
        <v>6572</v>
      </c>
      <c r="H450" t="s">
        <v>9344</v>
      </c>
      <c r="I450">
        <v>0</v>
      </c>
    </row>
    <row r="451" spans="4:9" customFormat="1" ht="13.95" customHeight="1">
      <c r="D451" t="s">
        <v>6528</v>
      </c>
      <c r="E451" t="s">
        <v>9386</v>
      </c>
      <c r="F451">
        <v>0</v>
      </c>
      <c r="G451" t="s">
        <v>6572</v>
      </c>
      <c r="H451" t="s">
        <v>9345</v>
      </c>
      <c r="I451">
        <v>0</v>
      </c>
    </row>
    <row r="452" spans="4:9" customFormat="1" ht="13.95" customHeight="1">
      <c r="D452" t="s">
        <v>6528</v>
      </c>
      <c r="E452" t="s">
        <v>9387</v>
      </c>
      <c r="F452">
        <v>0</v>
      </c>
      <c r="G452" t="s">
        <v>6572</v>
      </c>
      <c r="H452" t="s">
        <v>9346</v>
      </c>
      <c r="I452">
        <v>0</v>
      </c>
    </row>
    <row r="453" spans="4:9" customFormat="1" ht="13.95" customHeight="1">
      <c r="D453" t="s">
        <v>6528</v>
      </c>
      <c r="E453" t="s">
        <v>9388</v>
      </c>
      <c r="F453">
        <v>0</v>
      </c>
      <c r="G453" t="s">
        <v>6572</v>
      </c>
      <c r="H453" t="s">
        <v>9347</v>
      </c>
      <c r="I453">
        <v>0</v>
      </c>
    </row>
    <row r="454" spans="4:9" customFormat="1" ht="13.95" customHeight="1">
      <c r="D454" t="s">
        <v>6531</v>
      </c>
      <c r="E454" t="s">
        <v>9328</v>
      </c>
      <c r="F454">
        <v>0</v>
      </c>
      <c r="G454" t="s">
        <v>6572</v>
      </c>
      <c r="H454" t="s">
        <v>9348</v>
      </c>
      <c r="I454">
        <v>0</v>
      </c>
    </row>
    <row r="455" spans="4:9" customFormat="1" ht="13.95" customHeight="1">
      <c r="D455" t="s">
        <v>6531</v>
      </c>
      <c r="E455" t="s">
        <v>9329</v>
      </c>
      <c r="F455">
        <v>0</v>
      </c>
      <c r="G455" t="s">
        <v>6572</v>
      </c>
      <c r="H455" t="s">
        <v>9367</v>
      </c>
      <c r="I455">
        <v>0</v>
      </c>
    </row>
    <row r="456" spans="4:9" customFormat="1" ht="13.95" customHeight="1">
      <c r="D456" t="s">
        <v>6531</v>
      </c>
      <c r="E456" t="s">
        <v>9330</v>
      </c>
      <c r="F456">
        <v>0</v>
      </c>
      <c r="G456" t="s">
        <v>6572</v>
      </c>
      <c r="H456" t="s">
        <v>9369</v>
      </c>
      <c r="I456">
        <v>0</v>
      </c>
    </row>
    <row r="457" spans="4:9" customFormat="1" ht="13.95" customHeight="1">
      <c r="D457" t="s">
        <v>6531</v>
      </c>
      <c r="E457" t="s">
        <v>9331</v>
      </c>
      <c r="F457">
        <v>250</v>
      </c>
      <c r="G457" t="s">
        <v>6572</v>
      </c>
      <c r="H457" t="s">
        <v>9372</v>
      </c>
      <c r="I457">
        <v>0</v>
      </c>
    </row>
    <row r="458" spans="4:9" customFormat="1" ht="13.95" customHeight="1">
      <c r="D458" t="s">
        <v>6531</v>
      </c>
      <c r="E458" t="s">
        <v>9332</v>
      </c>
      <c r="F458">
        <v>0</v>
      </c>
      <c r="G458" t="s">
        <v>6572</v>
      </c>
      <c r="H458" t="s">
        <v>9374</v>
      </c>
      <c r="I458">
        <v>0</v>
      </c>
    </row>
    <row r="459" spans="4:9" customFormat="1" ht="13.95" customHeight="1">
      <c r="D459" t="s">
        <v>6531</v>
      </c>
      <c r="E459" t="s">
        <v>9333</v>
      </c>
      <c r="F459">
        <v>0</v>
      </c>
      <c r="G459" t="s">
        <v>6572</v>
      </c>
      <c r="H459" t="s">
        <v>9376</v>
      </c>
      <c r="I459">
        <v>0</v>
      </c>
    </row>
    <row r="460" spans="4:9" customFormat="1" ht="13.95" customHeight="1">
      <c r="D460" t="s">
        <v>6531</v>
      </c>
      <c r="E460" t="s">
        <v>9334</v>
      </c>
      <c r="F460">
        <v>0</v>
      </c>
      <c r="G460" t="s">
        <v>6572</v>
      </c>
      <c r="H460" t="s">
        <v>9378</v>
      </c>
      <c r="I460">
        <v>0</v>
      </c>
    </row>
    <row r="461" spans="4:9" customFormat="1" ht="13.95" customHeight="1">
      <c r="D461" t="s">
        <v>6531</v>
      </c>
      <c r="E461" t="s">
        <v>9335</v>
      </c>
      <c r="F461">
        <v>0</v>
      </c>
      <c r="G461" t="s">
        <v>6572</v>
      </c>
      <c r="H461" t="s">
        <v>9380</v>
      </c>
      <c r="I461">
        <v>0</v>
      </c>
    </row>
    <row r="462" spans="4:9" customFormat="1" ht="13.95" customHeight="1">
      <c r="D462" t="s">
        <v>6531</v>
      </c>
      <c r="E462" t="s">
        <v>9336</v>
      </c>
      <c r="F462">
        <v>456.4</v>
      </c>
      <c r="G462" t="s">
        <v>6572</v>
      </c>
      <c r="H462" t="s">
        <v>9382</v>
      </c>
      <c r="I462">
        <v>0</v>
      </c>
    </row>
    <row r="463" spans="4:9" customFormat="1" ht="13.95" customHeight="1">
      <c r="D463" t="s">
        <v>6531</v>
      </c>
      <c r="E463" t="s">
        <v>9337</v>
      </c>
      <c r="F463">
        <v>0</v>
      </c>
      <c r="G463" t="s">
        <v>6572</v>
      </c>
      <c r="H463" t="s">
        <v>9383</v>
      </c>
      <c r="I463">
        <v>0</v>
      </c>
    </row>
    <row r="464" spans="4:9" customFormat="1" ht="13.95" customHeight="1">
      <c r="D464" t="s">
        <v>6531</v>
      </c>
      <c r="E464" t="s">
        <v>9338</v>
      </c>
      <c r="F464">
        <v>0</v>
      </c>
      <c r="G464" t="s">
        <v>6572</v>
      </c>
      <c r="H464" t="s">
        <v>9384</v>
      </c>
      <c r="I464">
        <v>0</v>
      </c>
    </row>
    <row r="465" spans="4:9" customFormat="1" ht="13.95" customHeight="1">
      <c r="D465" t="s">
        <v>6531</v>
      </c>
      <c r="E465" t="s">
        <v>9339</v>
      </c>
      <c r="F465">
        <v>0</v>
      </c>
      <c r="G465" t="s">
        <v>6572</v>
      </c>
      <c r="H465" t="s">
        <v>9385</v>
      </c>
      <c r="I465">
        <v>0</v>
      </c>
    </row>
    <row r="466" spans="4:9" customFormat="1" ht="13.95" customHeight="1">
      <c r="D466" t="s">
        <v>6531</v>
      </c>
      <c r="E466" t="s">
        <v>9343</v>
      </c>
      <c r="F466">
        <v>0</v>
      </c>
      <c r="G466" t="s">
        <v>6572</v>
      </c>
      <c r="H466" t="s">
        <v>9386</v>
      </c>
      <c r="I466">
        <v>0</v>
      </c>
    </row>
    <row r="467" spans="4:9" customFormat="1" ht="13.95" customHeight="1">
      <c r="D467" t="s">
        <v>6531</v>
      </c>
      <c r="E467" t="s">
        <v>9344</v>
      </c>
      <c r="F467">
        <v>0</v>
      </c>
      <c r="G467" t="s">
        <v>6572</v>
      </c>
      <c r="H467" t="s">
        <v>9387</v>
      </c>
      <c r="I467">
        <v>0</v>
      </c>
    </row>
    <row r="468" spans="4:9" customFormat="1" ht="13.95" customHeight="1">
      <c r="D468" t="s">
        <v>6531</v>
      </c>
      <c r="E468" t="s">
        <v>9345</v>
      </c>
      <c r="F468">
        <v>0</v>
      </c>
      <c r="G468" t="s">
        <v>6572</v>
      </c>
      <c r="H468" t="s">
        <v>9388</v>
      </c>
      <c r="I468">
        <v>0</v>
      </c>
    </row>
    <row r="469" spans="4:9" customFormat="1" ht="13.95" customHeight="1">
      <c r="D469" t="s">
        <v>6531</v>
      </c>
      <c r="E469" t="s">
        <v>9346</v>
      </c>
      <c r="F469">
        <v>961.2</v>
      </c>
      <c r="G469" t="s">
        <v>6572</v>
      </c>
      <c r="H469" t="s">
        <v>9389</v>
      </c>
      <c r="I469">
        <v>0</v>
      </c>
    </row>
    <row r="470" spans="4:9" customFormat="1" ht="13.95" customHeight="1">
      <c r="D470" t="s">
        <v>6531</v>
      </c>
      <c r="E470" t="s">
        <v>9347</v>
      </c>
      <c r="F470">
        <v>0</v>
      </c>
      <c r="G470" t="s">
        <v>6572</v>
      </c>
      <c r="H470" t="s">
        <v>9390</v>
      </c>
      <c r="I470">
        <v>0</v>
      </c>
    </row>
    <row r="471" spans="4:9" customFormat="1" ht="13.95" customHeight="1">
      <c r="D471" t="s">
        <v>6531</v>
      </c>
      <c r="E471" t="s">
        <v>9348</v>
      </c>
      <c r="F471">
        <v>495.8</v>
      </c>
      <c r="G471" t="s">
        <v>6572</v>
      </c>
      <c r="H471" t="s">
        <v>9391</v>
      </c>
      <c r="I471">
        <v>0</v>
      </c>
    </row>
    <row r="472" spans="4:9" customFormat="1" ht="13.95" customHeight="1">
      <c r="D472" t="s">
        <v>6531</v>
      </c>
      <c r="E472" t="s">
        <v>9367</v>
      </c>
      <c r="F472">
        <v>387.5</v>
      </c>
      <c r="G472" t="s">
        <v>6572</v>
      </c>
      <c r="H472" t="s">
        <v>9392</v>
      </c>
      <c r="I472">
        <v>0</v>
      </c>
    </row>
    <row r="473" spans="4:9" customFormat="1" ht="13.95" customHeight="1">
      <c r="D473" t="s">
        <v>6531</v>
      </c>
      <c r="E473" t="s">
        <v>9369</v>
      </c>
      <c r="F473">
        <v>0</v>
      </c>
      <c r="G473" t="s">
        <v>6572</v>
      </c>
      <c r="H473" t="s">
        <v>9393</v>
      </c>
      <c r="I473">
        <v>0</v>
      </c>
    </row>
    <row r="474" spans="4:9" customFormat="1" ht="13.95" customHeight="1">
      <c r="D474" t="s">
        <v>6531</v>
      </c>
      <c r="E474" t="s">
        <v>9372</v>
      </c>
      <c r="F474">
        <v>690.6</v>
      </c>
      <c r="G474" t="s">
        <v>6572</v>
      </c>
      <c r="H474" t="s">
        <v>9394</v>
      </c>
      <c r="I474">
        <v>0</v>
      </c>
    </row>
    <row r="475" spans="4:9" customFormat="1" ht="13.95" customHeight="1">
      <c r="D475" t="s">
        <v>6531</v>
      </c>
      <c r="E475" t="s">
        <v>9374</v>
      </c>
      <c r="F475">
        <v>0</v>
      </c>
      <c r="G475" t="s">
        <v>6572</v>
      </c>
      <c r="H475" t="s">
        <v>9395</v>
      </c>
      <c r="I475">
        <v>0</v>
      </c>
    </row>
    <row r="476" spans="4:9" customFormat="1" ht="13.95" customHeight="1">
      <c r="D476" t="s">
        <v>6531</v>
      </c>
      <c r="E476" t="s">
        <v>9376</v>
      </c>
      <c r="F476">
        <v>0</v>
      </c>
      <c r="G476" t="s">
        <v>6572</v>
      </c>
      <c r="H476" t="s">
        <v>9396</v>
      </c>
      <c r="I476">
        <v>0</v>
      </c>
    </row>
    <row r="477" spans="4:9" customFormat="1" ht="13.95" customHeight="1">
      <c r="D477" t="s">
        <v>6531</v>
      </c>
      <c r="E477" t="s">
        <v>9378</v>
      </c>
      <c r="F477">
        <v>567.6</v>
      </c>
      <c r="G477" t="s">
        <v>6572</v>
      </c>
      <c r="H477" t="s">
        <v>9397</v>
      </c>
      <c r="I477">
        <v>0</v>
      </c>
    </row>
    <row r="478" spans="4:9" customFormat="1" ht="13.95" customHeight="1">
      <c r="D478" t="s">
        <v>6531</v>
      </c>
      <c r="E478" t="s">
        <v>9380</v>
      </c>
      <c r="F478">
        <v>510.3</v>
      </c>
      <c r="G478" t="s">
        <v>6572</v>
      </c>
      <c r="H478" t="s">
        <v>9398</v>
      </c>
      <c r="I478">
        <v>0</v>
      </c>
    </row>
    <row r="479" spans="4:9" customFormat="1" ht="13.95" customHeight="1">
      <c r="D479" t="s">
        <v>6531</v>
      </c>
      <c r="E479" t="s">
        <v>9382</v>
      </c>
      <c r="F479">
        <v>795.6</v>
      </c>
      <c r="G479" t="s">
        <v>6572</v>
      </c>
      <c r="H479" t="s">
        <v>9399</v>
      </c>
      <c r="I479">
        <v>0</v>
      </c>
    </row>
    <row r="480" spans="4:9" customFormat="1" ht="13.95" customHeight="1">
      <c r="D480" t="s">
        <v>6531</v>
      </c>
      <c r="E480" t="s">
        <v>9383</v>
      </c>
      <c r="F480">
        <v>0</v>
      </c>
      <c r="G480" t="s">
        <v>6572</v>
      </c>
      <c r="H480" t="s">
        <v>9400</v>
      </c>
      <c r="I480">
        <v>0</v>
      </c>
    </row>
    <row r="481" spans="4:9" customFormat="1" ht="13.95" customHeight="1">
      <c r="D481" t="s">
        <v>6531</v>
      </c>
      <c r="E481" t="s">
        <v>9384</v>
      </c>
      <c r="F481">
        <v>922.6</v>
      </c>
      <c r="G481" t="s">
        <v>6572</v>
      </c>
      <c r="H481" t="s">
        <v>9401</v>
      </c>
      <c r="I481">
        <v>0</v>
      </c>
    </row>
    <row r="482" spans="4:9" customFormat="1" ht="13.95" customHeight="1">
      <c r="D482" t="s">
        <v>6531</v>
      </c>
      <c r="E482" t="s">
        <v>9385</v>
      </c>
      <c r="F482">
        <v>0</v>
      </c>
      <c r="G482" t="s">
        <v>6572</v>
      </c>
      <c r="H482" t="s">
        <v>9402</v>
      </c>
      <c r="I482">
        <v>0</v>
      </c>
    </row>
    <row r="483" spans="4:9" customFormat="1" ht="13.95" customHeight="1">
      <c r="D483" t="s">
        <v>6531</v>
      </c>
      <c r="E483" t="s">
        <v>9386</v>
      </c>
      <c r="F483">
        <v>1040.0999999999999</v>
      </c>
      <c r="G483" t="s">
        <v>6572</v>
      </c>
      <c r="H483" t="s">
        <v>9403</v>
      </c>
      <c r="I483">
        <v>0</v>
      </c>
    </row>
    <row r="484" spans="4:9" customFormat="1" ht="13.95" customHeight="1">
      <c r="D484" t="s">
        <v>6531</v>
      </c>
      <c r="E484" t="s">
        <v>9387</v>
      </c>
      <c r="F484">
        <v>0</v>
      </c>
      <c r="G484" t="s">
        <v>6572</v>
      </c>
      <c r="H484" t="s">
        <v>9404</v>
      </c>
      <c r="I484">
        <v>0</v>
      </c>
    </row>
    <row r="485" spans="4:9" customFormat="1" ht="13.95" customHeight="1">
      <c r="D485" t="s">
        <v>6531</v>
      </c>
      <c r="E485" t="s">
        <v>9388</v>
      </c>
      <c r="F485">
        <v>471.2</v>
      </c>
      <c r="G485" t="s">
        <v>6572</v>
      </c>
      <c r="H485" t="s">
        <v>9405</v>
      </c>
      <c r="I485">
        <v>0</v>
      </c>
    </row>
    <row r="486" spans="4:9" customFormat="1" ht="13.95" customHeight="1">
      <c r="D486" t="s">
        <v>6529</v>
      </c>
      <c r="E486" t="s">
        <v>9328</v>
      </c>
      <c r="F486">
        <v>0</v>
      </c>
      <c r="G486" t="s">
        <v>6572</v>
      </c>
      <c r="H486" t="s">
        <v>9406</v>
      </c>
      <c r="I486">
        <v>0</v>
      </c>
    </row>
    <row r="487" spans="4:9" customFormat="1" ht="13.95" customHeight="1">
      <c r="D487" t="s">
        <v>6529</v>
      </c>
      <c r="E487" t="s">
        <v>9329</v>
      </c>
      <c r="F487">
        <v>0</v>
      </c>
      <c r="G487" t="s">
        <v>6573</v>
      </c>
      <c r="H487" t="s">
        <v>9328</v>
      </c>
      <c r="I487">
        <v>0</v>
      </c>
    </row>
    <row r="488" spans="4:9" customFormat="1" ht="13.95" customHeight="1">
      <c r="D488" t="s">
        <v>6529</v>
      </c>
      <c r="E488" t="s">
        <v>9330</v>
      </c>
      <c r="F488">
        <v>892.3</v>
      </c>
      <c r="G488" t="s">
        <v>6573</v>
      </c>
      <c r="H488" t="s">
        <v>9329</v>
      </c>
      <c r="I488">
        <v>0</v>
      </c>
    </row>
    <row r="489" spans="4:9" customFormat="1" ht="13.95" customHeight="1">
      <c r="D489" t="s">
        <v>6529</v>
      </c>
      <c r="E489" t="s">
        <v>9331</v>
      </c>
      <c r="F489">
        <v>0</v>
      </c>
      <c r="G489" t="s">
        <v>6573</v>
      </c>
      <c r="H489" t="s">
        <v>9330</v>
      </c>
      <c r="I489">
        <v>0</v>
      </c>
    </row>
    <row r="490" spans="4:9" customFormat="1" ht="13.95" customHeight="1">
      <c r="D490" t="s">
        <v>6529</v>
      </c>
      <c r="E490" t="s">
        <v>9332</v>
      </c>
      <c r="F490">
        <v>586.1</v>
      </c>
      <c r="G490" t="s">
        <v>6573</v>
      </c>
      <c r="H490" t="s">
        <v>9331</v>
      </c>
      <c r="I490">
        <v>0</v>
      </c>
    </row>
    <row r="491" spans="4:9" customFormat="1" ht="13.95" customHeight="1">
      <c r="D491" t="s">
        <v>6529</v>
      </c>
      <c r="E491" t="s">
        <v>9333</v>
      </c>
      <c r="F491">
        <v>917.1</v>
      </c>
      <c r="G491" t="s">
        <v>6573</v>
      </c>
      <c r="H491" t="s">
        <v>9332</v>
      </c>
      <c r="I491">
        <v>0</v>
      </c>
    </row>
    <row r="492" spans="4:9" customFormat="1" ht="13.95" customHeight="1">
      <c r="D492" t="s">
        <v>6529</v>
      </c>
      <c r="E492" t="s">
        <v>9334</v>
      </c>
      <c r="F492">
        <v>0</v>
      </c>
      <c r="G492" t="s">
        <v>6573</v>
      </c>
      <c r="H492" t="s">
        <v>9333</v>
      </c>
      <c r="I492">
        <v>0</v>
      </c>
    </row>
    <row r="493" spans="4:9" customFormat="1" ht="13.95" customHeight="1">
      <c r="D493" t="s">
        <v>6529</v>
      </c>
      <c r="E493" t="s">
        <v>9335</v>
      </c>
      <c r="F493">
        <v>613.6</v>
      </c>
      <c r="G493" t="s">
        <v>6573</v>
      </c>
      <c r="H493" t="s">
        <v>9334</v>
      </c>
      <c r="I493">
        <v>0</v>
      </c>
    </row>
    <row r="494" spans="4:9" customFormat="1" ht="13.95" customHeight="1">
      <c r="D494" t="s">
        <v>6529</v>
      </c>
      <c r="E494" t="s">
        <v>9336</v>
      </c>
      <c r="F494">
        <v>0</v>
      </c>
      <c r="G494" t="s">
        <v>6573</v>
      </c>
      <c r="H494" t="s">
        <v>9335</v>
      </c>
      <c r="I494">
        <v>0</v>
      </c>
    </row>
    <row r="495" spans="4:9" customFormat="1" ht="13.95" customHeight="1">
      <c r="D495" t="s">
        <v>6529</v>
      </c>
      <c r="E495" t="s">
        <v>9337</v>
      </c>
      <c r="F495">
        <v>0</v>
      </c>
      <c r="G495" t="s">
        <v>6573</v>
      </c>
      <c r="H495" t="s">
        <v>9336</v>
      </c>
      <c r="I495">
        <v>0</v>
      </c>
    </row>
    <row r="496" spans="4:9" customFormat="1" ht="13.95" customHeight="1">
      <c r="D496" t="s">
        <v>6529</v>
      </c>
      <c r="E496" t="s">
        <v>9338</v>
      </c>
      <c r="F496">
        <v>0</v>
      </c>
      <c r="G496" t="s">
        <v>6573</v>
      </c>
      <c r="H496" t="s">
        <v>9337</v>
      </c>
      <c r="I496">
        <v>0</v>
      </c>
    </row>
    <row r="497" spans="4:9" customFormat="1" ht="13.95" customHeight="1">
      <c r="D497" t="s">
        <v>6529</v>
      </c>
      <c r="E497" t="s">
        <v>9339</v>
      </c>
      <c r="F497">
        <v>0</v>
      </c>
      <c r="G497" t="s">
        <v>6573</v>
      </c>
      <c r="H497" t="s">
        <v>9338</v>
      </c>
      <c r="I497">
        <v>0</v>
      </c>
    </row>
    <row r="498" spans="4:9" customFormat="1" ht="13.95" customHeight="1">
      <c r="D498" t="s">
        <v>6529</v>
      </c>
      <c r="E498" t="s">
        <v>9343</v>
      </c>
      <c r="F498">
        <v>70.599999999999994</v>
      </c>
      <c r="G498" t="s">
        <v>6573</v>
      </c>
      <c r="H498" t="s">
        <v>9339</v>
      </c>
      <c r="I498">
        <v>0</v>
      </c>
    </row>
    <row r="499" spans="4:9" customFormat="1" ht="13.95" customHeight="1">
      <c r="D499" t="s">
        <v>6529</v>
      </c>
      <c r="E499" t="s">
        <v>9344</v>
      </c>
      <c r="F499">
        <v>0</v>
      </c>
      <c r="G499" t="s">
        <v>6573</v>
      </c>
      <c r="H499" t="s">
        <v>9343</v>
      </c>
      <c r="I499">
        <v>0</v>
      </c>
    </row>
    <row r="500" spans="4:9" customFormat="1" ht="13.95" customHeight="1">
      <c r="D500" t="s">
        <v>6529</v>
      </c>
      <c r="E500" t="s">
        <v>9345</v>
      </c>
      <c r="F500">
        <v>0</v>
      </c>
      <c r="G500" t="s">
        <v>6573</v>
      </c>
      <c r="H500" t="s">
        <v>9344</v>
      </c>
      <c r="I500">
        <v>0</v>
      </c>
    </row>
    <row r="501" spans="4:9" customFormat="1" ht="13.95" customHeight="1">
      <c r="D501" t="s">
        <v>6529</v>
      </c>
      <c r="E501" t="s">
        <v>9346</v>
      </c>
      <c r="F501">
        <v>631.20000000000005</v>
      </c>
      <c r="G501" t="s">
        <v>6573</v>
      </c>
      <c r="H501" t="s">
        <v>9345</v>
      </c>
      <c r="I501">
        <v>0</v>
      </c>
    </row>
    <row r="502" spans="4:9" customFormat="1" ht="13.95" customHeight="1">
      <c r="D502" t="s">
        <v>6529</v>
      </c>
      <c r="E502" t="s">
        <v>9347</v>
      </c>
      <c r="F502">
        <v>0</v>
      </c>
      <c r="G502" t="s">
        <v>6573</v>
      </c>
      <c r="H502" t="s">
        <v>9346</v>
      </c>
      <c r="I502">
        <v>0</v>
      </c>
    </row>
    <row r="503" spans="4:9" customFormat="1" ht="13.95" customHeight="1">
      <c r="D503" t="s">
        <v>6529</v>
      </c>
      <c r="E503" t="s">
        <v>9348</v>
      </c>
      <c r="F503">
        <v>0</v>
      </c>
      <c r="G503" t="s">
        <v>6573</v>
      </c>
      <c r="H503" t="s">
        <v>9347</v>
      </c>
      <c r="I503">
        <v>0</v>
      </c>
    </row>
    <row r="504" spans="4:9" customFormat="1" ht="13.95" customHeight="1">
      <c r="D504" t="s">
        <v>6529</v>
      </c>
      <c r="E504" t="s">
        <v>9367</v>
      </c>
      <c r="F504">
        <v>849.3</v>
      </c>
      <c r="G504" t="s">
        <v>6573</v>
      </c>
      <c r="H504" t="s">
        <v>9348</v>
      </c>
      <c r="I504">
        <v>0</v>
      </c>
    </row>
    <row r="505" spans="4:9" customFormat="1" ht="13.95" customHeight="1">
      <c r="D505" t="s">
        <v>6529</v>
      </c>
      <c r="E505" t="s">
        <v>9369</v>
      </c>
      <c r="F505">
        <v>0</v>
      </c>
      <c r="G505" t="s">
        <v>6573</v>
      </c>
      <c r="H505" t="s">
        <v>9367</v>
      </c>
      <c r="I505">
        <v>0</v>
      </c>
    </row>
    <row r="506" spans="4:9" customFormat="1" ht="13.95" customHeight="1">
      <c r="D506" t="s">
        <v>6529</v>
      </c>
      <c r="E506" t="s">
        <v>9372</v>
      </c>
      <c r="F506">
        <v>427.3</v>
      </c>
      <c r="G506" t="s">
        <v>6573</v>
      </c>
      <c r="H506" t="s">
        <v>9369</v>
      </c>
      <c r="I506">
        <v>0</v>
      </c>
    </row>
    <row r="507" spans="4:9" customFormat="1" ht="13.95" customHeight="1">
      <c r="D507" t="s">
        <v>6529</v>
      </c>
      <c r="E507" t="s">
        <v>9374</v>
      </c>
      <c r="F507">
        <v>0</v>
      </c>
      <c r="G507" t="s">
        <v>6573</v>
      </c>
      <c r="H507" t="s">
        <v>9372</v>
      </c>
      <c r="I507">
        <v>0</v>
      </c>
    </row>
    <row r="508" spans="4:9" customFormat="1" ht="13.95" customHeight="1">
      <c r="D508" t="s">
        <v>6529</v>
      </c>
      <c r="E508" t="s">
        <v>9376</v>
      </c>
      <c r="F508">
        <v>1458.2</v>
      </c>
      <c r="G508" t="s">
        <v>6573</v>
      </c>
      <c r="H508" t="s">
        <v>9374</v>
      </c>
      <c r="I508">
        <v>0</v>
      </c>
    </row>
    <row r="509" spans="4:9" customFormat="1" ht="13.95" customHeight="1">
      <c r="D509" t="s">
        <v>6529</v>
      </c>
      <c r="E509" t="s">
        <v>9378</v>
      </c>
      <c r="F509">
        <v>0</v>
      </c>
      <c r="G509" t="s">
        <v>6573</v>
      </c>
      <c r="H509" t="s">
        <v>9376</v>
      </c>
      <c r="I509">
        <v>0</v>
      </c>
    </row>
    <row r="510" spans="4:9" customFormat="1" ht="13.95" customHeight="1">
      <c r="D510" t="s">
        <v>6529</v>
      </c>
      <c r="E510" t="s">
        <v>9380</v>
      </c>
      <c r="F510">
        <v>383.1</v>
      </c>
      <c r="G510" t="s">
        <v>6573</v>
      </c>
      <c r="H510" t="s">
        <v>9378</v>
      </c>
      <c r="I510">
        <v>0</v>
      </c>
    </row>
    <row r="511" spans="4:9" customFormat="1" ht="13.95" customHeight="1">
      <c r="D511" t="s">
        <v>6529</v>
      </c>
      <c r="E511" t="s">
        <v>9382</v>
      </c>
      <c r="F511">
        <v>271.7</v>
      </c>
      <c r="G511" t="s">
        <v>6573</v>
      </c>
      <c r="H511" t="s">
        <v>9380</v>
      </c>
      <c r="I511">
        <v>0</v>
      </c>
    </row>
    <row r="512" spans="4:9" customFormat="1" ht="13.95" customHeight="1">
      <c r="D512" t="s">
        <v>6529</v>
      </c>
      <c r="E512" t="s">
        <v>9383</v>
      </c>
      <c r="F512">
        <v>0</v>
      </c>
      <c r="G512" t="s">
        <v>6573</v>
      </c>
      <c r="H512" t="s">
        <v>9382</v>
      </c>
      <c r="I512">
        <v>0</v>
      </c>
    </row>
    <row r="513" spans="4:9" customFormat="1" ht="13.95" customHeight="1">
      <c r="D513" t="s">
        <v>6529</v>
      </c>
      <c r="E513" t="s">
        <v>9384</v>
      </c>
      <c r="F513">
        <v>0</v>
      </c>
      <c r="G513" t="s">
        <v>6573</v>
      </c>
      <c r="H513" t="s">
        <v>9383</v>
      </c>
      <c r="I513">
        <v>0</v>
      </c>
    </row>
    <row r="514" spans="4:9" customFormat="1" ht="13.95" customHeight="1">
      <c r="D514" t="s">
        <v>6529</v>
      </c>
      <c r="E514" t="s">
        <v>9385</v>
      </c>
      <c r="F514">
        <v>0</v>
      </c>
      <c r="G514" t="s">
        <v>6573</v>
      </c>
      <c r="H514" t="s">
        <v>9384</v>
      </c>
      <c r="I514">
        <v>0</v>
      </c>
    </row>
    <row r="515" spans="4:9" customFormat="1" ht="13.95" customHeight="1">
      <c r="D515" t="s">
        <v>6529</v>
      </c>
      <c r="E515" t="s">
        <v>9386</v>
      </c>
      <c r="F515">
        <v>0</v>
      </c>
      <c r="G515" t="s">
        <v>6573</v>
      </c>
      <c r="H515" t="s">
        <v>9385</v>
      </c>
      <c r="I515">
        <v>0</v>
      </c>
    </row>
    <row r="516" spans="4:9" customFormat="1" ht="13.95" customHeight="1">
      <c r="D516" t="s">
        <v>6529</v>
      </c>
      <c r="E516" t="s">
        <v>9387</v>
      </c>
      <c r="F516">
        <v>0</v>
      </c>
      <c r="G516" t="s">
        <v>6573</v>
      </c>
      <c r="H516" t="s">
        <v>9386</v>
      </c>
      <c r="I516">
        <v>0</v>
      </c>
    </row>
    <row r="517" spans="4:9" customFormat="1" ht="13.95" customHeight="1">
      <c r="D517" t="s">
        <v>6529</v>
      </c>
      <c r="E517" t="s">
        <v>9388</v>
      </c>
      <c r="F517">
        <v>0</v>
      </c>
      <c r="G517" t="s">
        <v>6573</v>
      </c>
      <c r="H517" t="s">
        <v>9387</v>
      </c>
      <c r="I517">
        <v>0</v>
      </c>
    </row>
    <row r="518" spans="4:9" customFormat="1" ht="13.95" customHeight="1">
      <c r="D518" t="s">
        <v>6532</v>
      </c>
      <c r="E518" t="s">
        <v>9328</v>
      </c>
      <c r="F518">
        <v>0</v>
      </c>
      <c r="G518" t="s">
        <v>6573</v>
      </c>
      <c r="H518" t="s">
        <v>9388</v>
      </c>
      <c r="I518">
        <v>0</v>
      </c>
    </row>
    <row r="519" spans="4:9" customFormat="1" ht="13.95" customHeight="1">
      <c r="D519" t="s">
        <v>6532</v>
      </c>
      <c r="E519" t="s">
        <v>9329</v>
      </c>
      <c r="F519">
        <v>0</v>
      </c>
      <c r="G519" t="s">
        <v>6573</v>
      </c>
      <c r="H519" t="s">
        <v>9389</v>
      </c>
      <c r="I519">
        <v>0</v>
      </c>
    </row>
    <row r="520" spans="4:9" customFormat="1" ht="13.95" customHeight="1">
      <c r="D520" t="s">
        <v>6532</v>
      </c>
      <c r="E520" t="s">
        <v>9330</v>
      </c>
      <c r="F520">
        <v>473.4</v>
      </c>
      <c r="G520" t="s">
        <v>6573</v>
      </c>
      <c r="H520" t="s">
        <v>9390</v>
      </c>
      <c r="I520">
        <v>0</v>
      </c>
    </row>
    <row r="521" spans="4:9" customFormat="1" ht="13.95" customHeight="1">
      <c r="D521" t="s">
        <v>6532</v>
      </c>
      <c r="E521" t="s">
        <v>9331</v>
      </c>
      <c r="F521">
        <v>1085.4000000000001</v>
      </c>
      <c r="G521" t="s">
        <v>6573</v>
      </c>
      <c r="H521" t="s">
        <v>9391</v>
      </c>
      <c r="I521">
        <v>0</v>
      </c>
    </row>
    <row r="522" spans="4:9" customFormat="1" ht="13.95" customHeight="1">
      <c r="D522" t="s">
        <v>6532</v>
      </c>
      <c r="E522" t="s">
        <v>9332</v>
      </c>
      <c r="F522">
        <v>0</v>
      </c>
      <c r="G522" t="s">
        <v>6573</v>
      </c>
      <c r="H522" t="s">
        <v>9392</v>
      </c>
      <c r="I522">
        <v>0</v>
      </c>
    </row>
    <row r="523" spans="4:9" customFormat="1" ht="13.95" customHeight="1">
      <c r="D523" t="s">
        <v>6532</v>
      </c>
      <c r="E523" t="s">
        <v>9333</v>
      </c>
      <c r="F523">
        <v>423.1</v>
      </c>
      <c r="G523" t="s">
        <v>6573</v>
      </c>
      <c r="H523" t="s">
        <v>9393</v>
      </c>
      <c r="I523">
        <v>0</v>
      </c>
    </row>
    <row r="524" spans="4:9" customFormat="1" ht="13.95" customHeight="1">
      <c r="D524" t="s">
        <v>6532</v>
      </c>
      <c r="E524" t="s">
        <v>9334</v>
      </c>
      <c r="F524">
        <v>0</v>
      </c>
      <c r="G524" t="s">
        <v>6573</v>
      </c>
      <c r="H524" t="s">
        <v>9394</v>
      </c>
      <c r="I524">
        <v>0</v>
      </c>
    </row>
    <row r="525" spans="4:9" customFormat="1" ht="13.95" customHeight="1">
      <c r="D525" t="s">
        <v>6532</v>
      </c>
      <c r="E525" t="s">
        <v>9335</v>
      </c>
      <c r="F525">
        <v>0</v>
      </c>
      <c r="G525" t="s">
        <v>6573</v>
      </c>
      <c r="H525" t="s">
        <v>9395</v>
      </c>
      <c r="I525">
        <v>0</v>
      </c>
    </row>
    <row r="526" spans="4:9" customFormat="1" ht="13.95" customHeight="1">
      <c r="D526" t="s">
        <v>6532</v>
      </c>
      <c r="E526" t="s">
        <v>9336</v>
      </c>
      <c r="F526">
        <v>0</v>
      </c>
      <c r="G526" t="s">
        <v>6573</v>
      </c>
      <c r="H526" t="s">
        <v>9396</v>
      </c>
      <c r="I526">
        <v>0</v>
      </c>
    </row>
    <row r="527" spans="4:9" customFormat="1" ht="13.95" customHeight="1">
      <c r="D527" t="s">
        <v>6532</v>
      </c>
      <c r="E527" t="s">
        <v>9337</v>
      </c>
      <c r="F527">
        <v>0</v>
      </c>
      <c r="G527" t="s">
        <v>6573</v>
      </c>
      <c r="H527" t="s">
        <v>9397</v>
      </c>
      <c r="I527">
        <v>0</v>
      </c>
    </row>
    <row r="528" spans="4:9" customFormat="1" ht="13.95" customHeight="1">
      <c r="D528" t="s">
        <v>6532</v>
      </c>
      <c r="E528" t="s">
        <v>9338</v>
      </c>
      <c r="F528">
        <v>0</v>
      </c>
      <c r="G528" t="s">
        <v>6573</v>
      </c>
      <c r="H528" t="s">
        <v>9398</v>
      </c>
      <c r="I528">
        <v>0</v>
      </c>
    </row>
    <row r="529" spans="4:9" customFormat="1" ht="13.95" customHeight="1">
      <c r="D529" t="s">
        <v>6532</v>
      </c>
      <c r="E529" t="s">
        <v>9339</v>
      </c>
      <c r="F529">
        <v>0</v>
      </c>
      <c r="G529" t="s">
        <v>6573</v>
      </c>
      <c r="H529" t="s">
        <v>9399</v>
      </c>
      <c r="I529">
        <v>0</v>
      </c>
    </row>
    <row r="530" spans="4:9" customFormat="1" ht="13.95" customHeight="1">
      <c r="D530" t="s">
        <v>6532</v>
      </c>
      <c r="E530" t="s">
        <v>9343</v>
      </c>
      <c r="F530">
        <v>242.7</v>
      </c>
      <c r="G530" t="s">
        <v>6573</v>
      </c>
      <c r="H530" t="s">
        <v>9400</v>
      </c>
      <c r="I530">
        <v>0</v>
      </c>
    </row>
    <row r="531" spans="4:9" customFormat="1" ht="13.95" customHeight="1">
      <c r="D531" t="s">
        <v>6532</v>
      </c>
      <c r="E531" t="s">
        <v>9344</v>
      </c>
      <c r="F531">
        <v>519.29999999999995</v>
      </c>
      <c r="G531" t="s">
        <v>6573</v>
      </c>
      <c r="H531" t="s">
        <v>9401</v>
      </c>
      <c r="I531">
        <v>0</v>
      </c>
    </row>
    <row r="532" spans="4:9" customFormat="1" ht="13.95" customHeight="1">
      <c r="D532" t="s">
        <v>6532</v>
      </c>
      <c r="E532" t="s">
        <v>9345</v>
      </c>
      <c r="F532">
        <v>0</v>
      </c>
      <c r="G532" t="s">
        <v>6573</v>
      </c>
      <c r="H532" t="s">
        <v>9402</v>
      </c>
      <c r="I532">
        <v>0</v>
      </c>
    </row>
    <row r="533" spans="4:9" customFormat="1" ht="13.95" customHeight="1">
      <c r="D533" t="s">
        <v>6532</v>
      </c>
      <c r="E533" t="s">
        <v>9346</v>
      </c>
      <c r="F533">
        <v>0</v>
      </c>
      <c r="G533" t="s">
        <v>6573</v>
      </c>
      <c r="H533" t="s">
        <v>9403</v>
      </c>
      <c r="I533">
        <v>0</v>
      </c>
    </row>
    <row r="534" spans="4:9" customFormat="1" ht="13.95" customHeight="1">
      <c r="D534" t="s">
        <v>6532</v>
      </c>
      <c r="E534" t="s">
        <v>9347</v>
      </c>
      <c r="F534">
        <v>120.8</v>
      </c>
      <c r="G534" t="s">
        <v>6573</v>
      </c>
      <c r="H534" t="s">
        <v>9404</v>
      </c>
      <c r="I534">
        <v>0</v>
      </c>
    </row>
    <row r="535" spans="4:9" customFormat="1" ht="13.95" customHeight="1">
      <c r="D535" t="s">
        <v>6532</v>
      </c>
      <c r="E535" t="s">
        <v>9348</v>
      </c>
      <c r="F535">
        <v>0</v>
      </c>
      <c r="G535" t="s">
        <v>6573</v>
      </c>
      <c r="H535" t="s">
        <v>9405</v>
      </c>
      <c r="I535">
        <v>0</v>
      </c>
    </row>
    <row r="536" spans="4:9" customFormat="1" ht="13.95" customHeight="1">
      <c r="D536" t="s">
        <v>6532</v>
      </c>
      <c r="E536" t="s">
        <v>9367</v>
      </c>
      <c r="F536">
        <v>390.2</v>
      </c>
      <c r="G536" t="s">
        <v>6573</v>
      </c>
      <c r="H536" t="s">
        <v>9406</v>
      </c>
      <c r="I536">
        <v>0</v>
      </c>
    </row>
    <row r="537" spans="4:9" customFormat="1" ht="13.95" customHeight="1">
      <c r="D537" t="s">
        <v>6532</v>
      </c>
      <c r="E537" t="s">
        <v>9369</v>
      </c>
      <c r="F537">
        <v>0</v>
      </c>
      <c r="G537" t="s">
        <v>6574</v>
      </c>
      <c r="H537" t="s">
        <v>9328</v>
      </c>
      <c r="I537">
        <v>0</v>
      </c>
    </row>
    <row r="538" spans="4:9" customFormat="1" ht="13.95" customHeight="1">
      <c r="D538" t="s">
        <v>6532</v>
      </c>
      <c r="E538" t="s">
        <v>9372</v>
      </c>
      <c r="F538">
        <v>555.6</v>
      </c>
      <c r="G538" t="s">
        <v>6574</v>
      </c>
      <c r="H538" t="s">
        <v>9329</v>
      </c>
      <c r="I538">
        <v>0</v>
      </c>
    </row>
    <row r="539" spans="4:9" customFormat="1" ht="13.95" customHeight="1">
      <c r="D539" t="s">
        <v>6532</v>
      </c>
      <c r="E539" t="s">
        <v>9374</v>
      </c>
      <c r="F539">
        <v>0</v>
      </c>
      <c r="G539" t="s">
        <v>6574</v>
      </c>
      <c r="H539" t="s">
        <v>9330</v>
      </c>
      <c r="I539">
        <v>0</v>
      </c>
    </row>
    <row r="540" spans="4:9" customFormat="1" ht="13.95" customHeight="1">
      <c r="D540" t="s">
        <v>6532</v>
      </c>
      <c r="E540" t="s">
        <v>9376</v>
      </c>
      <c r="F540">
        <v>404.5</v>
      </c>
      <c r="G540" t="s">
        <v>6574</v>
      </c>
      <c r="H540" t="s">
        <v>9331</v>
      </c>
      <c r="I540">
        <v>0</v>
      </c>
    </row>
    <row r="541" spans="4:9" customFormat="1" ht="13.95" customHeight="1">
      <c r="D541" t="s">
        <v>6532</v>
      </c>
      <c r="E541" t="s">
        <v>9378</v>
      </c>
      <c r="F541">
        <v>751.2</v>
      </c>
      <c r="G541" t="s">
        <v>6574</v>
      </c>
      <c r="H541" t="s">
        <v>9332</v>
      </c>
      <c r="I541">
        <v>0</v>
      </c>
    </row>
    <row r="542" spans="4:9" customFormat="1" ht="13.95" customHeight="1">
      <c r="D542" t="s">
        <v>6532</v>
      </c>
      <c r="E542" t="s">
        <v>9380</v>
      </c>
      <c r="F542">
        <v>0</v>
      </c>
      <c r="G542" t="s">
        <v>6574</v>
      </c>
      <c r="H542" t="s">
        <v>9333</v>
      </c>
      <c r="I542">
        <v>0</v>
      </c>
    </row>
    <row r="543" spans="4:9" customFormat="1" ht="13.95" customHeight="1">
      <c r="D543" t="s">
        <v>6532</v>
      </c>
      <c r="E543" t="s">
        <v>9382</v>
      </c>
      <c r="F543">
        <v>0</v>
      </c>
      <c r="G543" t="s">
        <v>6574</v>
      </c>
      <c r="H543" t="s">
        <v>9334</v>
      </c>
      <c r="I543">
        <v>0</v>
      </c>
    </row>
    <row r="544" spans="4:9" customFormat="1" ht="13.95" customHeight="1">
      <c r="D544" t="s">
        <v>6532</v>
      </c>
      <c r="E544" t="s">
        <v>9383</v>
      </c>
      <c r="F544">
        <v>0</v>
      </c>
      <c r="G544" t="s">
        <v>6574</v>
      </c>
      <c r="H544" t="s">
        <v>9335</v>
      </c>
      <c r="I544">
        <v>0</v>
      </c>
    </row>
    <row r="545" spans="4:9" customFormat="1" ht="13.95" customHeight="1">
      <c r="D545" t="s">
        <v>6532</v>
      </c>
      <c r="E545" t="s">
        <v>9384</v>
      </c>
      <c r="F545">
        <v>0</v>
      </c>
      <c r="G545" t="s">
        <v>6574</v>
      </c>
      <c r="H545" t="s">
        <v>9336</v>
      </c>
      <c r="I545">
        <v>0</v>
      </c>
    </row>
    <row r="546" spans="4:9" customFormat="1" ht="13.95" customHeight="1">
      <c r="D546" t="s">
        <v>6532</v>
      </c>
      <c r="E546" t="s">
        <v>9385</v>
      </c>
      <c r="F546">
        <v>0</v>
      </c>
      <c r="G546" t="s">
        <v>6574</v>
      </c>
      <c r="H546" t="s">
        <v>9337</v>
      </c>
      <c r="I546">
        <v>0</v>
      </c>
    </row>
    <row r="547" spans="4:9" customFormat="1" ht="13.95" customHeight="1">
      <c r="D547" t="s">
        <v>6532</v>
      </c>
      <c r="E547" t="s">
        <v>9386</v>
      </c>
      <c r="F547">
        <v>0</v>
      </c>
      <c r="G547" t="s">
        <v>6574</v>
      </c>
      <c r="H547" t="s">
        <v>9338</v>
      </c>
      <c r="I547">
        <v>0</v>
      </c>
    </row>
    <row r="548" spans="4:9" customFormat="1" ht="13.95" customHeight="1">
      <c r="D548" t="s">
        <v>6532</v>
      </c>
      <c r="E548" t="s">
        <v>9387</v>
      </c>
      <c r="F548">
        <v>0</v>
      </c>
      <c r="G548" t="s">
        <v>6574</v>
      </c>
      <c r="H548" t="s">
        <v>9339</v>
      </c>
      <c r="I548">
        <v>0</v>
      </c>
    </row>
    <row r="549" spans="4:9" customFormat="1" ht="13.95" customHeight="1">
      <c r="D549" t="s">
        <v>6532</v>
      </c>
      <c r="E549" t="s">
        <v>9388</v>
      </c>
      <c r="F549">
        <v>0</v>
      </c>
      <c r="G549" t="s">
        <v>6574</v>
      </c>
      <c r="H549" t="s">
        <v>9343</v>
      </c>
      <c r="I549">
        <v>0</v>
      </c>
    </row>
    <row r="550" spans="4:9" customFormat="1" ht="13.95" customHeight="1">
      <c r="D550" t="s">
        <v>6530</v>
      </c>
      <c r="E550" t="s">
        <v>9328</v>
      </c>
      <c r="F550">
        <v>2223.8000000000002</v>
      </c>
      <c r="G550" t="s">
        <v>6574</v>
      </c>
      <c r="H550" t="s">
        <v>9344</v>
      </c>
      <c r="I550">
        <v>0</v>
      </c>
    </row>
    <row r="551" spans="4:9" customFormat="1" ht="13.95" customHeight="1">
      <c r="D551" t="s">
        <v>6530</v>
      </c>
      <c r="E551" t="s">
        <v>9329</v>
      </c>
      <c r="F551">
        <v>1287</v>
      </c>
      <c r="G551" t="s">
        <v>6574</v>
      </c>
      <c r="H551" t="s">
        <v>9345</v>
      </c>
      <c r="I551">
        <v>0</v>
      </c>
    </row>
    <row r="552" spans="4:9" customFormat="1" ht="13.95" customHeight="1">
      <c r="D552" t="s">
        <v>6530</v>
      </c>
      <c r="E552" t="s">
        <v>9330</v>
      </c>
      <c r="F552">
        <v>0</v>
      </c>
      <c r="G552" t="s">
        <v>6574</v>
      </c>
      <c r="H552" t="s">
        <v>9346</v>
      </c>
      <c r="I552">
        <v>0</v>
      </c>
    </row>
    <row r="553" spans="4:9" customFormat="1" ht="13.95" customHeight="1">
      <c r="D553" t="s">
        <v>6530</v>
      </c>
      <c r="E553" t="s">
        <v>9331</v>
      </c>
      <c r="F553">
        <v>0</v>
      </c>
      <c r="G553" t="s">
        <v>6574</v>
      </c>
      <c r="H553" t="s">
        <v>9347</v>
      </c>
      <c r="I553">
        <v>0</v>
      </c>
    </row>
    <row r="554" spans="4:9" customFormat="1" ht="13.95" customHeight="1">
      <c r="D554" t="s">
        <v>6530</v>
      </c>
      <c r="E554" t="s">
        <v>9332</v>
      </c>
      <c r="F554">
        <v>0</v>
      </c>
      <c r="G554" t="s">
        <v>6574</v>
      </c>
      <c r="H554" t="s">
        <v>9348</v>
      </c>
      <c r="I554">
        <v>0</v>
      </c>
    </row>
    <row r="555" spans="4:9" customFormat="1" ht="13.95" customHeight="1">
      <c r="D555" t="s">
        <v>6530</v>
      </c>
      <c r="E555" t="s">
        <v>9333</v>
      </c>
      <c r="F555">
        <v>0</v>
      </c>
      <c r="G555" t="s">
        <v>6574</v>
      </c>
      <c r="H555" t="s">
        <v>9367</v>
      </c>
      <c r="I555">
        <v>806</v>
      </c>
    </row>
    <row r="556" spans="4:9" customFormat="1" ht="13.95" customHeight="1">
      <c r="D556" t="s">
        <v>6530</v>
      </c>
      <c r="E556" t="s">
        <v>9334</v>
      </c>
      <c r="F556">
        <v>579.9</v>
      </c>
      <c r="G556" t="s">
        <v>6574</v>
      </c>
      <c r="H556" t="s">
        <v>9369</v>
      </c>
      <c r="I556">
        <v>0</v>
      </c>
    </row>
    <row r="557" spans="4:9" customFormat="1" ht="13.95" customHeight="1">
      <c r="D557" t="s">
        <v>6530</v>
      </c>
      <c r="E557" t="s">
        <v>9335</v>
      </c>
      <c r="F557">
        <v>620</v>
      </c>
      <c r="G557" t="s">
        <v>6574</v>
      </c>
      <c r="H557" t="s">
        <v>9372</v>
      </c>
      <c r="I557">
        <v>0</v>
      </c>
    </row>
    <row r="558" spans="4:9" customFormat="1" ht="13.95" customHeight="1">
      <c r="D558" t="s">
        <v>6530</v>
      </c>
      <c r="E558" t="s">
        <v>9336</v>
      </c>
      <c r="F558">
        <v>210.9</v>
      </c>
      <c r="G558" t="s">
        <v>6574</v>
      </c>
      <c r="H558" t="s">
        <v>9374</v>
      </c>
      <c r="I558">
        <v>0</v>
      </c>
    </row>
    <row r="559" spans="4:9" customFormat="1" ht="13.95" customHeight="1">
      <c r="D559" t="s">
        <v>6530</v>
      </c>
      <c r="E559" t="s">
        <v>9337</v>
      </c>
      <c r="F559">
        <v>1102.8</v>
      </c>
      <c r="G559" t="s">
        <v>6574</v>
      </c>
      <c r="H559" t="s">
        <v>9376</v>
      </c>
      <c r="I559">
        <v>0</v>
      </c>
    </row>
    <row r="560" spans="4:9" customFormat="1" ht="13.95" customHeight="1">
      <c r="D560" t="s">
        <v>6530</v>
      </c>
      <c r="E560" t="s">
        <v>9338</v>
      </c>
      <c r="F560">
        <v>0</v>
      </c>
      <c r="G560" t="s">
        <v>6574</v>
      </c>
      <c r="H560" t="s">
        <v>9378</v>
      </c>
      <c r="I560">
        <v>0</v>
      </c>
    </row>
    <row r="561" spans="4:9" customFormat="1" ht="13.95" customHeight="1">
      <c r="D561" t="s">
        <v>6530</v>
      </c>
      <c r="E561" t="s">
        <v>9339</v>
      </c>
      <c r="F561">
        <v>303.39999999999998</v>
      </c>
      <c r="G561" t="s">
        <v>6574</v>
      </c>
      <c r="H561" t="s">
        <v>9380</v>
      </c>
      <c r="I561">
        <v>0</v>
      </c>
    </row>
    <row r="562" spans="4:9" customFormat="1" ht="13.95" customHeight="1">
      <c r="D562" t="s">
        <v>6530</v>
      </c>
      <c r="E562" t="s">
        <v>9343</v>
      </c>
      <c r="F562">
        <v>92</v>
      </c>
      <c r="G562" t="s">
        <v>6574</v>
      </c>
      <c r="H562" t="s">
        <v>9382</v>
      </c>
      <c r="I562">
        <v>0</v>
      </c>
    </row>
    <row r="563" spans="4:9" customFormat="1" ht="13.95" customHeight="1">
      <c r="D563" t="s">
        <v>6530</v>
      </c>
      <c r="E563" t="s">
        <v>9344</v>
      </c>
      <c r="F563">
        <v>177.6</v>
      </c>
      <c r="G563" t="s">
        <v>6574</v>
      </c>
      <c r="H563" t="s">
        <v>9383</v>
      </c>
      <c r="I563">
        <v>0</v>
      </c>
    </row>
    <row r="564" spans="4:9" customFormat="1" ht="13.95" customHeight="1">
      <c r="D564" t="s">
        <v>6530</v>
      </c>
      <c r="E564" t="s">
        <v>9345</v>
      </c>
      <c r="F564">
        <v>0</v>
      </c>
      <c r="G564" t="s">
        <v>6574</v>
      </c>
      <c r="H564" t="s">
        <v>9384</v>
      </c>
      <c r="I564">
        <v>0</v>
      </c>
    </row>
    <row r="565" spans="4:9" customFormat="1" ht="13.95" customHeight="1">
      <c r="D565" t="s">
        <v>6530</v>
      </c>
      <c r="E565" t="s">
        <v>9346</v>
      </c>
      <c r="F565">
        <v>0</v>
      </c>
      <c r="G565" t="s">
        <v>6574</v>
      </c>
      <c r="H565" t="s">
        <v>9385</v>
      </c>
      <c r="I565">
        <v>0</v>
      </c>
    </row>
    <row r="566" spans="4:9" customFormat="1" ht="13.95" customHeight="1">
      <c r="D566" t="s">
        <v>6530</v>
      </c>
      <c r="E566" t="s">
        <v>9347</v>
      </c>
      <c r="F566">
        <v>0</v>
      </c>
      <c r="G566" t="s">
        <v>6574</v>
      </c>
      <c r="H566" t="s">
        <v>9386</v>
      </c>
      <c r="I566">
        <v>0</v>
      </c>
    </row>
    <row r="567" spans="4:9" customFormat="1" ht="13.95" customHeight="1">
      <c r="D567" t="s">
        <v>6530</v>
      </c>
      <c r="E567" t="s">
        <v>9348</v>
      </c>
      <c r="F567">
        <v>0</v>
      </c>
      <c r="G567" t="s">
        <v>6574</v>
      </c>
      <c r="H567" t="s">
        <v>9387</v>
      </c>
      <c r="I567">
        <v>0</v>
      </c>
    </row>
    <row r="568" spans="4:9" customFormat="1" ht="13.95" customHeight="1">
      <c r="D568" t="s">
        <v>6530</v>
      </c>
      <c r="E568" t="s">
        <v>9367</v>
      </c>
      <c r="F568">
        <v>0</v>
      </c>
      <c r="G568" t="s">
        <v>6574</v>
      </c>
      <c r="H568" t="s">
        <v>9388</v>
      </c>
      <c r="I568">
        <v>0</v>
      </c>
    </row>
    <row r="569" spans="4:9" customFormat="1" ht="13.95" customHeight="1">
      <c r="D569" t="s">
        <v>6530</v>
      </c>
      <c r="E569" t="s">
        <v>9369</v>
      </c>
      <c r="F569">
        <v>0</v>
      </c>
      <c r="G569" t="s">
        <v>6574</v>
      </c>
      <c r="H569" t="s">
        <v>9389</v>
      </c>
      <c r="I569">
        <v>0</v>
      </c>
    </row>
    <row r="570" spans="4:9" customFormat="1" ht="13.95" customHeight="1">
      <c r="D570" t="s">
        <v>6530</v>
      </c>
      <c r="E570" t="s">
        <v>9372</v>
      </c>
      <c r="F570">
        <v>0</v>
      </c>
      <c r="G570" t="s">
        <v>6574</v>
      </c>
      <c r="H570" t="s">
        <v>9390</v>
      </c>
      <c r="I570">
        <v>0</v>
      </c>
    </row>
    <row r="571" spans="4:9" customFormat="1" ht="13.95" customHeight="1">
      <c r="D571" t="s">
        <v>6530</v>
      </c>
      <c r="E571" t="s">
        <v>9374</v>
      </c>
      <c r="F571">
        <v>0</v>
      </c>
      <c r="G571" t="s">
        <v>6574</v>
      </c>
      <c r="H571" t="s">
        <v>9391</v>
      </c>
      <c r="I571">
        <v>0</v>
      </c>
    </row>
    <row r="572" spans="4:9" customFormat="1" ht="13.95" customHeight="1">
      <c r="D572" t="s">
        <v>6530</v>
      </c>
      <c r="E572" t="s">
        <v>9376</v>
      </c>
      <c r="F572">
        <v>362.4</v>
      </c>
      <c r="G572" t="s">
        <v>6574</v>
      </c>
      <c r="H572" t="s">
        <v>9392</v>
      </c>
      <c r="I572">
        <v>0</v>
      </c>
    </row>
    <row r="573" spans="4:9" customFormat="1" ht="13.95" customHeight="1">
      <c r="D573" t="s">
        <v>6530</v>
      </c>
      <c r="E573" t="s">
        <v>9378</v>
      </c>
      <c r="F573">
        <v>0</v>
      </c>
      <c r="G573" t="s">
        <v>6574</v>
      </c>
      <c r="H573" t="s">
        <v>9393</v>
      </c>
      <c r="I573">
        <v>0</v>
      </c>
    </row>
    <row r="574" spans="4:9" customFormat="1" ht="13.95" customHeight="1">
      <c r="D574" t="s">
        <v>6530</v>
      </c>
      <c r="E574" t="s">
        <v>9380</v>
      </c>
      <c r="F574">
        <v>0</v>
      </c>
      <c r="G574" t="s">
        <v>6574</v>
      </c>
      <c r="H574" t="s">
        <v>9394</v>
      </c>
      <c r="I574">
        <v>0</v>
      </c>
    </row>
    <row r="575" spans="4:9" customFormat="1" ht="13.95" customHeight="1">
      <c r="D575" t="s">
        <v>6530</v>
      </c>
      <c r="E575" t="s">
        <v>9382</v>
      </c>
      <c r="F575">
        <v>0</v>
      </c>
      <c r="G575" t="s">
        <v>6574</v>
      </c>
      <c r="H575" t="s">
        <v>9395</v>
      </c>
      <c r="I575">
        <v>0</v>
      </c>
    </row>
    <row r="576" spans="4:9" customFormat="1" ht="13.95" customHeight="1">
      <c r="D576" t="s">
        <v>6530</v>
      </c>
      <c r="E576" t="s">
        <v>9383</v>
      </c>
      <c r="F576">
        <v>0</v>
      </c>
      <c r="G576" t="s">
        <v>6574</v>
      </c>
      <c r="H576" t="s">
        <v>9396</v>
      </c>
      <c r="I576">
        <v>0</v>
      </c>
    </row>
    <row r="577" spans="4:9" customFormat="1" ht="13.95" customHeight="1">
      <c r="D577" t="s">
        <v>6530</v>
      </c>
      <c r="E577" t="s">
        <v>9384</v>
      </c>
      <c r="F577">
        <v>78.2</v>
      </c>
      <c r="G577" t="s">
        <v>6574</v>
      </c>
      <c r="H577" t="s">
        <v>9397</v>
      </c>
      <c r="I577">
        <v>0</v>
      </c>
    </row>
    <row r="578" spans="4:9" customFormat="1" ht="13.95" customHeight="1">
      <c r="D578" t="s">
        <v>6530</v>
      </c>
      <c r="E578" t="s">
        <v>9385</v>
      </c>
      <c r="F578">
        <v>22.9</v>
      </c>
      <c r="G578" t="s">
        <v>6574</v>
      </c>
      <c r="H578" t="s">
        <v>9398</v>
      </c>
      <c r="I578">
        <v>0</v>
      </c>
    </row>
    <row r="579" spans="4:9" customFormat="1" ht="13.95" customHeight="1">
      <c r="D579" t="s">
        <v>6530</v>
      </c>
      <c r="E579" t="s">
        <v>9386</v>
      </c>
      <c r="F579">
        <v>0</v>
      </c>
      <c r="G579" t="s">
        <v>6574</v>
      </c>
      <c r="H579" t="s">
        <v>9399</v>
      </c>
      <c r="I579">
        <v>0</v>
      </c>
    </row>
    <row r="580" spans="4:9" customFormat="1" ht="13.95" customHeight="1">
      <c r="D580" t="s">
        <v>6533</v>
      </c>
      <c r="E580" t="s">
        <v>9328</v>
      </c>
      <c r="F580">
        <v>1680.3</v>
      </c>
      <c r="G580" t="s">
        <v>6574</v>
      </c>
      <c r="H580" t="s">
        <v>9400</v>
      </c>
      <c r="I580">
        <v>0</v>
      </c>
    </row>
    <row r="581" spans="4:9" customFormat="1" ht="13.95" customHeight="1">
      <c r="D581" t="s">
        <v>6533</v>
      </c>
      <c r="E581" t="s">
        <v>9329</v>
      </c>
      <c r="F581">
        <v>1289.5</v>
      </c>
      <c r="G581" t="s">
        <v>6574</v>
      </c>
      <c r="H581" t="s">
        <v>9401</v>
      </c>
      <c r="I581">
        <v>0</v>
      </c>
    </row>
    <row r="582" spans="4:9" customFormat="1" ht="13.95" customHeight="1">
      <c r="D582" t="s">
        <v>6533</v>
      </c>
      <c r="E582" t="s">
        <v>9330</v>
      </c>
      <c r="F582">
        <v>0</v>
      </c>
      <c r="G582" t="s">
        <v>6574</v>
      </c>
      <c r="H582" t="s">
        <v>9402</v>
      </c>
      <c r="I582">
        <v>0</v>
      </c>
    </row>
    <row r="583" spans="4:9" customFormat="1" ht="13.95" customHeight="1">
      <c r="D583" t="s">
        <v>6533</v>
      </c>
      <c r="E583" t="s">
        <v>9331</v>
      </c>
      <c r="F583">
        <v>0</v>
      </c>
      <c r="G583" t="s">
        <v>6574</v>
      </c>
      <c r="H583" t="s">
        <v>9403</v>
      </c>
      <c r="I583">
        <v>0</v>
      </c>
    </row>
    <row r="584" spans="4:9" customFormat="1" ht="13.95" customHeight="1">
      <c r="D584" t="s">
        <v>6533</v>
      </c>
      <c r="E584" t="s">
        <v>9332</v>
      </c>
      <c r="F584">
        <v>0</v>
      </c>
      <c r="G584" t="s">
        <v>6574</v>
      </c>
      <c r="H584" t="s">
        <v>9404</v>
      </c>
      <c r="I584">
        <v>0</v>
      </c>
    </row>
    <row r="585" spans="4:9" customFormat="1" ht="13.95" customHeight="1">
      <c r="D585" t="s">
        <v>6533</v>
      </c>
      <c r="E585" t="s">
        <v>9333</v>
      </c>
      <c r="F585">
        <v>0</v>
      </c>
      <c r="G585" t="s">
        <v>6574</v>
      </c>
      <c r="H585" t="s">
        <v>9405</v>
      </c>
      <c r="I585">
        <v>0</v>
      </c>
    </row>
    <row r="586" spans="4:9" customFormat="1" ht="13.95" customHeight="1">
      <c r="D586" t="s">
        <v>6533</v>
      </c>
      <c r="E586" t="s">
        <v>9334</v>
      </c>
      <c r="F586">
        <v>618.6</v>
      </c>
      <c r="G586" t="s">
        <v>6574</v>
      </c>
      <c r="H586" t="s">
        <v>9406</v>
      </c>
      <c r="I586">
        <v>0</v>
      </c>
    </row>
    <row r="587" spans="4:9" customFormat="1" ht="13.95" customHeight="1">
      <c r="D587" t="s">
        <v>6533</v>
      </c>
      <c r="E587" t="s">
        <v>9335</v>
      </c>
      <c r="F587">
        <v>704.7</v>
      </c>
      <c r="G587" t="s">
        <v>6575</v>
      </c>
      <c r="H587" t="s">
        <v>9328</v>
      </c>
      <c r="I587">
        <v>0</v>
      </c>
    </row>
    <row r="588" spans="4:9" customFormat="1" ht="13.95" customHeight="1">
      <c r="D588" t="s">
        <v>6533</v>
      </c>
      <c r="E588" t="s">
        <v>9336</v>
      </c>
      <c r="F588">
        <v>220.9</v>
      </c>
      <c r="G588" t="s">
        <v>6575</v>
      </c>
      <c r="H588" t="s">
        <v>9329</v>
      </c>
      <c r="I588">
        <v>0</v>
      </c>
    </row>
    <row r="589" spans="4:9" customFormat="1" ht="13.95" customHeight="1">
      <c r="D589" t="s">
        <v>6533</v>
      </c>
      <c r="E589" t="s">
        <v>9337</v>
      </c>
      <c r="F589">
        <v>27</v>
      </c>
      <c r="G589" t="s">
        <v>6575</v>
      </c>
      <c r="H589" t="s">
        <v>9330</v>
      </c>
      <c r="I589">
        <v>0</v>
      </c>
    </row>
    <row r="590" spans="4:9" customFormat="1" ht="13.95" customHeight="1">
      <c r="D590" t="s">
        <v>6533</v>
      </c>
      <c r="E590" t="s">
        <v>9338</v>
      </c>
      <c r="F590">
        <v>0</v>
      </c>
      <c r="G590" t="s">
        <v>6575</v>
      </c>
      <c r="H590" t="s">
        <v>9331</v>
      </c>
      <c r="I590">
        <v>0</v>
      </c>
    </row>
    <row r="591" spans="4:9" customFormat="1" ht="13.95" customHeight="1">
      <c r="D591" t="s">
        <v>6533</v>
      </c>
      <c r="E591" t="s">
        <v>9339</v>
      </c>
      <c r="F591">
        <v>316.7</v>
      </c>
      <c r="G591" t="s">
        <v>6575</v>
      </c>
      <c r="H591" t="s">
        <v>9332</v>
      </c>
      <c r="I591">
        <v>0</v>
      </c>
    </row>
    <row r="592" spans="4:9" customFormat="1" ht="13.95" customHeight="1">
      <c r="D592" t="s">
        <v>6533</v>
      </c>
      <c r="E592" t="s">
        <v>9343</v>
      </c>
      <c r="F592">
        <v>264.89999999999998</v>
      </c>
      <c r="G592" t="s">
        <v>6575</v>
      </c>
      <c r="H592" t="s">
        <v>9333</v>
      </c>
      <c r="I592">
        <v>0</v>
      </c>
    </row>
    <row r="593" spans="4:9" customFormat="1" ht="13.95" customHeight="1">
      <c r="D593" t="s">
        <v>6533</v>
      </c>
      <c r="E593" t="s">
        <v>9344</v>
      </c>
      <c r="F593">
        <v>206</v>
      </c>
      <c r="G593" t="s">
        <v>6575</v>
      </c>
      <c r="H593" t="s">
        <v>9334</v>
      </c>
      <c r="I593">
        <v>0</v>
      </c>
    </row>
    <row r="594" spans="4:9" customFormat="1" ht="13.95" customHeight="1">
      <c r="D594" t="s">
        <v>6533</v>
      </c>
      <c r="E594" t="s">
        <v>9345</v>
      </c>
      <c r="F594">
        <v>391.9</v>
      </c>
      <c r="G594" t="s">
        <v>6575</v>
      </c>
      <c r="H594" t="s">
        <v>9335</v>
      </c>
      <c r="I594">
        <v>0</v>
      </c>
    </row>
    <row r="595" spans="4:9" customFormat="1" ht="13.95" customHeight="1">
      <c r="D595" t="s">
        <v>6533</v>
      </c>
      <c r="E595" t="s">
        <v>9346</v>
      </c>
      <c r="F595">
        <v>0</v>
      </c>
      <c r="G595" t="s">
        <v>6575</v>
      </c>
      <c r="H595" t="s">
        <v>9336</v>
      </c>
      <c r="I595">
        <v>0</v>
      </c>
    </row>
    <row r="596" spans="4:9" customFormat="1" ht="13.95" customHeight="1">
      <c r="D596" t="s">
        <v>6533</v>
      </c>
      <c r="E596" t="s">
        <v>9347</v>
      </c>
      <c r="F596">
        <v>249.4</v>
      </c>
      <c r="G596" t="s">
        <v>6575</v>
      </c>
      <c r="H596" t="s">
        <v>9337</v>
      </c>
      <c r="I596">
        <v>0</v>
      </c>
    </row>
    <row r="597" spans="4:9" customFormat="1" ht="13.95" customHeight="1">
      <c r="D597" t="s">
        <v>6533</v>
      </c>
      <c r="E597" t="s">
        <v>9348</v>
      </c>
      <c r="F597">
        <v>0</v>
      </c>
      <c r="G597" t="s">
        <v>6575</v>
      </c>
      <c r="H597" t="s">
        <v>9338</v>
      </c>
      <c r="I597">
        <v>0</v>
      </c>
    </row>
    <row r="598" spans="4:9" customFormat="1" ht="13.95" customHeight="1">
      <c r="D598" t="s">
        <v>6533</v>
      </c>
      <c r="E598" t="s">
        <v>9367</v>
      </c>
      <c r="F598">
        <v>0</v>
      </c>
      <c r="G598" t="s">
        <v>6575</v>
      </c>
      <c r="H598" t="s">
        <v>9339</v>
      </c>
      <c r="I598">
        <v>0</v>
      </c>
    </row>
    <row r="599" spans="4:9" customFormat="1" ht="13.95" customHeight="1">
      <c r="D599" t="s">
        <v>6533</v>
      </c>
      <c r="E599" t="s">
        <v>9369</v>
      </c>
      <c r="F599">
        <v>80.400000000000006</v>
      </c>
      <c r="G599" t="s">
        <v>6575</v>
      </c>
      <c r="H599" t="s">
        <v>9343</v>
      </c>
      <c r="I599">
        <v>0</v>
      </c>
    </row>
    <row r="600" spans="4:9" customFormat="1" ht="13.95" customHeight="1">
      <c r="D600" t="s">
        <v>6533</v>
      </c>
      <c r="E600" t="s">
        <v>9372</v>
      </c>
      <c r="F600">
        <v>25.9</v>
      </c>
      <c r="G600" t="s">
        <v>6575</v>
      </c>
      <c r="H600" t="s">
        <v>9344</v>
      </c>
      <c r="I600">
        <v>0</v>
      </c>
    </row>
    <row r="601" spans="4:9" customFormat="1" ht="13.95" customHeight="1">
      <c r="D601" t="s">
        <v>6533</v>
      </c>
      <c r="E601" t="s">
        <v>9374</v>
      </c>
      <c r="F601">
        <v>80</v>
      </c>
      <c r="G601" t="s">
        <v>6575</v>
      </c>
      <c r="H601" t="s">
        <v>9345</v>
      </c>
      <c r="I601">
        <v>0</v>
      </c>
    </row>
    <row r="602" spans="4:9" customFormat="1" ht="13.95" customHeight="1">
      <c r="D602" t="s">
        <v>6533</v>
      </c>
      <c r="E602" t="s">
        <v>9376</v>
      </c>
      <c r="F602">
        <v>0</v>
      </c>
      <c r="G602" t="s">
        <v>6575</v>
      </c>
      <c r="H602" t="s">
        <v>9346</v>
      </c>
      <c r="I602">
        <v>0</v>
      </c>
    </row>
    <row r="603" spans="4:9" customFormat="1" ht="13.95" customHeight="1">
      <c r="D603" t="s">
        <v>6533</v>
      </c>
      <c r="E603" t="s">
        <v>9378</v>
      </c>
      <c r="F603">
        <v>222.9</v>
      </c>
      <c r="G603" t="s">
        <v>6575</v>
      </c>
      <c r="H603" t="s">
        <v>9347</v>
      </c>
      <c r="I603">
        <v>0</v>
      </c>
    </row>
    <row r="604" spans="4:9" customFormat="1" ht="13.95" customHeight="1">
      <c r="D604" t="s">
        <v>6533</v>
      </c>
      <c r="E604" t="s">
        <v>9380</v>
      </c>
      <c r="F604">
        <v>59.2</v>
      </c>
      <c r="G604" t="s">
        <v>6575</v>
      </c>
      <c r="H604" t="s">
        <v>9348</v>
      </c>
      <c r="I604">
        <v>0</v>
      </c>
    </row>
    <row r="605" spans="4:9" customFormat="1" ht="13.95" customHeight="1">
      <c r="D605" t="s">
        <v>6533</v>
      </c>
      <c r="E605" t="s">
        <v>9382</v>
      </c>
      <c r="F605">
        <v>0</v>
      </c>
      <c r="G605" t="s">
        <v>6575</v>
      </c>
      <c r="H605" t="s">
        <v>9367</v>
      </c>
      <c r="I605">
        <v>829.7</v>
      </c>
    </row>
    <row r="606" spans="4:9" customFormat="1" ht="13.95" customHeight="1">
      <c r="D606" t="s">
        <v>6533</v>
      </c>
      <c r="E606" t="s">
        <v>9383</v>
      </c>
      <c r="F606">
        <v>232</v>
      </c>
      <c r="G606" t="s">
        <v>6575</v>
      </c>
      <c r="H606" t="s">
        <v>9369</v>
      </c>
      <c r="I606">
        <v>0</v>
      </c>
    </row>
    <row r="607" spans="4:9" customFormat="1" ht="13.95" customHeight="1">
      <c r="D607" t="s">
        <v>6533</v>
      </c>
      <c r="E607" t="s">
        <v>9384</v>
      </c>
      <c r="F607">
        <v>21.5</v>
      </c>
      <c r="G607" t="s">
        <v>6575</v>
      </c>
      <c r="H607" t="s">
        <v>9372</v>
      </c>
      <c r="I607">
        <v>0</v>
      </c>
    </row>
    <row r="608" spans="4:9" customFormat="1" ht="13.95" customHeight="1">
      <c r="D608" t="s">
        <v>6533</v>
      </c>
      <c r="E608" t="s">
        <v>9385</v>
      </c>
      <c r="F608">
        <v>349.5</v>
      </c>
      <c r="G608" t="s">
        <v>6575</v>
      </c>
      <c r="H608" t="s">
        <v>9374</v>
      </c>
      <c r="I608">
        <v>0</v>
      </c>
    </row>
    <row r="609" spans="4:9" customFormat="1" ht="13.95" customHeight="1">
      <c r="D609" t="s">
        <v>6533</v>
      </c>
      <c r="E609" t="s">
        <v>9386</v>
      </c>
      <c r="F609">
        <v>42.2</v>
      </c>
      <c r="G609" t="s">
        <v>6575</v>
      </c>
      <c r="H609" t="s">
        <v>9376</v>
      </c>
      <c r="I609">
        <v>0</v>
      </c>
    </row>
    <row r="610" spans="4:9" customFormat="1" ht="13.95" customHeight="1">
      <c r="D610" t="s">
        <v>6534</v>
      </c>
      <c r="E610" t="s">
        <v>9314</v>
      </c>
      <c r="F610">
        <v>88.7</v>
      </c>
      <c r="G610" t="s">
        <v>6575</v>
      </c>
      <c r="H610" t="s">
        <v>9378</v>
      </c>
      <c r="I610">
        <v>0</v>
      </c>
    </row>
    <row r="611" spans="4:9" customFormat="1" ht="13.95" customHeight="1">
      <c r="D611" t="s">
        <v>6534</v>
      </c>
      <c r="E611" t="s">
        <v>9315</v>
      </c>
      <c r="F611">
        <v>117.4</v>
      </c>
      <c r="G611" t="s">
        <v>6575</v>
      </c>
      <c r="H611" t="s">
        <v>9380</v>
      </c>
      <c r="I611">
        <v>0</v>
      </c>
    </row>
    <row r="612" spans="4:9" customFormat="1" ht="13.95" customHeight="1">
      <c r="D612" t="s">
        <v>6534</v>
      </c>
      <c r="E612" t="s">
        <v>9316</v>
      </c>
      <c r="F612">
        <v>0</v>
      </c>
      <c r="G612" t="s">
        <v>6575</v>
      </c>
      <c r="H612" t="s">
        <v>9382</v>
      </c>
      <c r="I612">
        <v>0</v>
      </c>
    </row>
    <row r="613" spans="4:9" customFormat="1" ht="13.95" customHeight="1">
      <c r="D613" t="s">
        <v>6534</v>
      </c>
      <c r="E613" t="s">
        <v>9317</v>
      </c>
      <c r="F613">
        <v>0</v>
      </c>
      <c r="G613" t="s">
        <v>6575</v>
      </c>
      <c r="H613" t="s">
        <v>9383</v>
      </c>
      <c r="I613">
        <v>0</v>
      </c>
    </row>
    <row r="614" spans="4:9" customFormat="1" ht="13.95" customHeight="1">
      <c r="D614" t="s">
        <v>6534</v>
      </c>
      <c r="E614" t="s">
        <v>9320</v>
      </c>
      <c r="F614">
        <v>0</v>
      </c>
      <c r="G614" t="s">
        <v>6575</v>
      </c>
      <c r="H614" t="s">
        <v>9384</v>
      </c>
      <c r="I614">
        <v>0</v>
      </c>
    </row>
    <row r="615" spans="4:9" customFormat="1" ht="13.95" customHeight="1">
      <c r="D615" t="s">
        <v>6534</v>
      </c>
      <c r="E615" t="s">
        <v>9321</v>
      </c>
      <c r="F615">
        <v>0</v>
      </c>
      <c r="G615" t="s">
        <v>6575</v>
      </c>
      <c r="H615" t="s">
        <v>9385</v>
      </c>
      <c r="I615">
        <v>0</v>
      </c>
    </row>
    <row r="616" spans="4:9" customFormat="1" ht="13.95" customHeight="1">
      <c r="D616" t="s">
        <v>6534</v>
      </c>
      <c r="E616" t="s">
        <v>9322</v>
      </c>
      <c r="F616">
        <v>0</v>
      </c>
      <c r="G616" t="s">
        <v>6575</v>
      </c>
      <c r="H616" t="s">
        <v>9386</v>
      </c>
      <c r="I616">
        <v>0</v>
      </c>
    </row>
    <row r="617" spans="4:9" customFormat="1" ht="13.95" customHeight="1">
      <c r="D617" t="s">
        <v>6534</v>
      </c>
      <c r="E617" t="s">
        <v>9323</v>
      </c>
      <c r="F617">
        <v>328.7</v>
      </c>
      <c r="G617" t="s">
        <v>6575</v>
      </c>
      <c r="H617" t="s">
        <v>9387</v>
      </c>
      <c r="I617">
        <v>0</v>
      </c>
    </row>
    <row r="618" spans="4:9" customFormat="1" ht="13.95" customHeight="1">
      <c r="D618" t="s">
        <v>6534</v>
      </c>
      <c r="E618" t="s">
        <v>9324</v>
      </c>
      <c r="F618">
        <v>1158.4000000000001</v>
      </c>
      <c r="G618" t="s">
        <v>6575</v>
      </c>
      <c r="H618" t="s">
        <v>9388</v>
      </c>
      <c r="I618">
        <v>0</v>
      </c>
    </row>
    <row r="619" spans="4:9" customFormat="1" ht="13.95" customHeight="1">
      <c r="D619" t="s">
        <v>6534</v>
      </c>
      <c r="E619" t="s">
        <v>9325</v>
      </c>
      <c r="F619">
        <v>0</v>
      </c>
      <c r="G619" t="s">
        <v>6575</v>
      </c>
      <c r="H619" t="s">
        <v>9389</v>
      </c>
      <c r="I619">
        <v>0</v>
      </c>
    </row>
    <row r="620" spans="4:9" customFormat="1" ht="13.95" customHeight="1">
      <c r="D620" t="s">
        <v>6534</v>
      </c>
      <c r="E620" t="s">
        <v>9326</v>
      </c>
      <c r="F620">
        <v>71.400000000000006</v>
      </c>
      <c r="G620" t="s">
        <v>6575</v>
      </c>
      <c r="H620" t="s">
        <v>9390</v>
      </c>
      <c r="I620">
        <v>0</v>
      </c>
    </row>
    <row r="621" spans="4:9" customFormat="1" ht="13.95" customHeight="1">
      <c r="D621" t="s">
        <v>6534</v>
      </c>
      <c r="E621" t="s">
        <v>9327</v>
      </c>
      <c r="F621">
        <v>162.5</v>
      </c>
      <c r="G621" t="s">
        <v>6575</v>
      </c>
      <c r="H621" t="s">
        <v>9391</v>
      </c>
      <c r="I621">
        <v>0</v>
      </c>
    </row>
    <row r="622" spans="4:9" customFormat="1" ht="13.95" customHeight="1">
      <c r="D622" t="s">
        <v>6534</v>
      </c>
      <c r="E622" t="s">
        <v>9411</v>
      </c>
      <c r="F622">
        <v>0</v>
      </c>
      <c r="G622" t="s">
        <v>6575</v>
      </c>
      <c r="H622" t="s">
        <v>9392</v>
      </c>
      <c r="I622">
        <v>0</v>
      </c>
    </row>
    <row r="623" spans="4:9" customFormat="1" ht="13.95" customHeight="1">
      <c r="D623" t="s">
        <v>6534</v>
      </c>
      <c r="E623" t="s">
        <v>9412</v>
      </c>
      <c r="F623">
        <v>0</v>
      </c>
      <c r="G623" t="s">
        <v>6575</v>
      </c>
      <c r="H623" t="s">
        <v>9393</v>
      </c>
      <c r="I623">
        <v>0</v>
      </c>
    </row>
    <row r="624" spans="4:9" customFormat="1" ht="13.95" customHeight="1">
      <c r="D624" t="s">
        <v>6534</v>
      </c>
      <c r="E624" t="s">
        <v>9413</v>
      </c>
      <c r="F624">
        <v>0</v>
      </c>
      <c r="G624" t="s">
        <v>6575</v>
      </c>
      <c r="H624" t="s">
        <v>9394</v>
      </c>
      <c r="I624">
        <v>0</v>
      </c>
    </row>
    <row r="625" spans="4:9" customFormat="1" ht="13.95" customHeight="1">
      <c r="D625" t="s">
        <v>6534</v>
      </c>
      <c r="E625" t="s">
        <v>9414</v>
      </c>
      <c r="F625">
        <v>0</v>
      </c>
      <c r="G625" t="s">
        <v>6575</v>
      </c>
      <c r="H625" t="s">
        <v>9395</v>
      </c>
      <c r="I625">
        <v>0</v>
      </c>
    </row>
    <row r="626" spans="4:9" customFormat="1" ht="13.95" customHeight="1">
      <c r="D626" t="s">
        <v>6534</v>
      </c>
      <c r="E626" t="s">
        <v>9415</v>
      </c>
      <c r="F626">
        <v>81</v>
      </c>
      <c r="G626" t="s">
        <v>6575</v>
      </c>
      <c r="H626" t="s">
        <v>9396</v>
      </c>
      <c r="I626">
        <v>0</v>
      </c>
    </row>
    <row r="627" spans="4:9" customFormat="1" ht="13.95" customHeight="1">
      <c r="D627" t="s">
        <v>6534</v>
      </c>
      <c r="E627" t="s">
        <v>9416</v>
      </c>
      <c r="F627">
        <v>0</v>
      </c>
      <c r="G627" t="s">
        <v>6575</v>
      </c>
      <c r="H627" t="s">
        <v>9397</v>
      </c>
      <c r="I627">
        <v>0</v>
      </c>
    </row>
    <row r="628" spans="4:9" customFormat="1" ht="13.95" customHeight="1">
      <c r="D628" t="s">
        <v>6534</v>
      </c>
      <c r="E628" t="s">
        <v>9417</v>
      </c>
      <c r="F628">
        <v>0</v>
      </c>
      <c r="G628" t="s">
        <v>6575</v>
      </c>
      <c r="H628" t="s">
        <v>9398</v>
      </c>
      <c r="I628">
        <v>0</v>
      </c>
    </row>
    <row r="629" spans="4:9" customFormat="1" ht="13.95" customHeight="1">
      <c r="D629" t="s">
        <v>6534</v>
      </c>
      <c r="E629" t="s">
        <v>9418</v>
      </c>
      <c r="F629">
        <v>0</v>
      </c>
      <c r="G629" t="s">
        <v>6575</v>
      </c>
      <c r="H629" t="s">
        <v>9399</v>
      </c>
      <c r="I629">
        <v>0</v>
      </c>
    </row>
    <row r="630" spans="4:9" customFormat="1" ht="13.95" customHeight="1">
      <c r="D630" t="s">
        <v>6534</v>
      </c>
      <c r="E630" t="s">
        <v>9419</v>
      </c>
      <c r="F630">
        <v>0</v>
      </c>
      <c r="G630" t="s">
        <v>6575</v>
      </c>
      <c r="H630" t="s">
        <v>9400</v>
      </c>
      <c r="I630">
        <v>0</v>
      </c>
    </row>
    <row r="631" spans="4:9" customFormat="1" ht="13.95" customHeight="1">
      <c r="D631" t="s">
        <v>6534</v>
      </c>
      <c r="E631" t="s">
        <v>9420</v>
      </c>
      <c r="F631">
        <v>0</v>
      </c>
      <c r="G631" t="s">
        <v>6575</v>
      </c>
      <c r="H631" t="s">
        <v>9401</v>
      </c>
      <c r="I631">
        <v>0</v>
      </c>
    </row>
    <row r="632" spans="4:9" customFormat="1" ht="13.95" customHeight="1">
      <c r="D632" t="s">
        <v>6534</v>
      </c>
      <c r="E632" t="s">
        <v>9421</v>
      </c>
      <c r="F632">
        <v>0</v>
      </c>
      <c r="G632" t="s">
        <v>6575</v>
      </c>
      <c r="H632" t="s">
        <v>9402</v>
      </c>
      <c r="I632">
        <v>0</v>
      </c>
    </row>
    <row r="633" spans="4:9" customFormat="1" ht="13.95" customHeight="1">
      <c r="D633" t="s">
        <v>6534</v>
      </c>
      <c r="E633" t="s">
        <v>9422</v>
      </c>
      <c r="F633">
        <v>0</v>
      </c>
      <c r="G633" t="s">
        <v>6575</v>
      </c>
      <c r="H633" t="s">
        <v>9403</v>
      </c>
      <c r="I633">
        <v>0</v>
      </c>
    </row>
    <row r="634" spans="4:9" customFormat="1" ht="13.95" customHeight="1">
      <c r="D634" t="s">
        <v>6534</v>
      </c>
      <c r="E634" t="s">
        <v>9423</v>
      </c>
      <c r="F634">
        <v>253.3</v>
      </c>
      <c r="G634" t="s">
        <v>6575</v>
      </c>
      <c r="H634" t="s">
        <v>9404</v>
      </c>
      <c r="I634">
        <v>0</v>
      </c>
    </row>
    <row r="635" spans="4:9" customFormat="1" ht="13.95" customHeight="1">
      <c r="D635" t="s">
        <v>6534</v>
      </c>
      <c r="E635" t="s">
        <v>9424</v>
      </c>
      <c r="F635">
        <v>0</v>
      </c>
      <c r="G635" t="s">
        <v>6575</v>
      </c>
      <c r="H635" t="s">
        <v>9405</v>
      </c>
      <c r="I635">
        <v>0</v>
      </c>
    </row>
    <row r="636" spans="4:9" customFormat="1" ht="13.95" customHeight="1">
      <c r="D636" t="s">
        <v>6534</v>
      </c>
      <c r="E636" t="s">
        <v>9425</v>
      </c>
      <c r="F636">
        <v>0</v>
      </c>
      <c r="G636" t="s">
        <v>6575</v>
      </c>
      <c r="H636" t="s">
        <v>9406</v>
      </c>
      <c r="I636">
        <v>0</v>
      </c>
    </row>
    <row r="637" spans="4:9" customFormat="1" ht="13.95" customHeight="1">
      <c r="D637" t="s">
        <v>6534</v>
      </c>
      <c r="E637" t="s">
        <v>9426</v>
      </c>
      <c r="F637">
        <v>0</v>
      </c>
      <c r="G637" t="s">
        <v>6570</v>
      </c>
      <c r="H637" t="s">
        <v>9328</v>
      </c>
      <c r="I637">
        <v>0</v>
      </c>
    </row>
    <row r="638" spans="4:9" customFormat="1" ht="13.95" customHeight="1">
      <c r="D638" t="s">
        <v>6534</v>
      </c>
      <c r="E638" t="s">
        <v>9427</v>
      </c>
      <c r="F638">
        <v>0</v>
      </c>
      <c r="G638" t="s">
        <v>6570</v>
      </c>
      <c r="H638" t="s">
        <v>9329</v>
      </c>
      <c r="I638">
        <v>0</v>
      </c>
    </row>
    <row r="639" spans="4:9" customFormat="1" ht="13.95" customHeight="1">
      <c r="D639" t="s">
        <v>6534</v>
      </c>
      <c r="E639" t="s">
        <v>9428</v>
      </c>
      <c r="F639">
        <v>0</v>
      </c>
      <c r="G639" t="s">
        <v>6570</v>
      </c>
      <c r="H639" t="s">
        <v>9330</v>
      </c>
      <c r="I639">
        <v>0</v>
      </c>
    </row>
    <row r="640" spans="4:9" customFormat="1" ht="13.95" customHeight="1">
      <c r="D640" t="s">
        <v>6534</v>
      </c>
      <c r="E640" t="s">
        <v>9429</v>
      </c>
      <c r="F640">
        <v>0</v>
      </c>
      <c r="G640" t="s">
        <v>6570</v>
      </c>
      <c r="H640" t="s">
        <v>9331</v>
      </c>
      <c r="I640">
        <v>0</v>
      </c>
    </row>
    <row r="641" spans="4:9" customFormat="1" ht="13.95" customHeight="1">
      <c r="D641" t="s">
        <v>6534</v>
      </c>
      <c r="E641" t="s">
        <v>9430</v>
      </c>
      <c r="F641">
        <v>0</v>
      </c>
      <c r="G641" t="s">
        <v>6570</v>
      </c>
      <c r="H641" t="s">
        <v>9332</v>
      </c>
      <c r="I641">
        <v>0</v>
      </c>
    </row>
    <row r="642" spans="4:9" customFormat="1" ht="13.95" customHeight="1">
      <c r="D642" t="s">
        <v>6534</v>
      </c>
      <c r="E642" t="s">
        <v>9431</v>
      </c>
      <c r="F642">
        <v>0</v>
      </c>
      <c r="G642" t="s">
        <v>6570</v>
      </c>
      <c r="H642" t="s">
        <v>9333</v>
      </c>
      <c r="I642">
        <v>0</v>
      </c>
    </row>
    <row r="643" spans="4:9" customFormat="1" ht="13.95" customHeight="1">
      <c r="D643" t="s">
        <v>6534</v>
      </c>
      <c r="E643" t="s">
        <v>9432</v>
      </c>
      <c r="F643">
        <v>0</v>
      </c>
      <c r="G643" t="s">
        <v>6570</v>
      </c>
      <c r="H643" t="s">
        <v>9334</v>
      </c>
      <c r="I643">
        <v>0</v>
      </c>
    </row>
    <row r="644" spans="4:9" customFormat="1" ht="13.95" customHeight="1">
      <c r="D644" t="s">
        <v>6535</v>
      </c>
      <c r="E644" t="s">
        <v>9314</v>
      </c>
      <c r="F644">
        <v>105.2</v>
      </c>
      <c r="G644" t="s">
        <v>6570</v>
      </c>
      <c r="H644" t="s">
        <v>9335</v>
      </c>
      <c r="I644">
        <v>0</v>
      </c>
    </row>
    <row r="645" spans="4:9" customFormat="1" ht="13.95" customHeight="1">
      <c r="D645" t="s">
        <v>6535</v>
      </c>
      <c r="E645" t="s">
        <v>9315</v>
      </c>
      <c r="F645">
        <v>109.7</v>
      </c>
      <c r="G645" t="s">
        <v>6570</v>
      </c>
      <c r="H645" t="s">
        <v>9336</v>
      </c>
      <c r="I645">
        <v>0</v>
      </c>
    </row>
    <row r="646" spans="4:9" customFormat="1" ht="13.95" customHeight="1">
      <c r="D646" t="s">
        <v>6535</v>
      </c>
      <c r="E646" t="s">
        <v>9316</v>
      </c>
      <c r="F646">
        <v>0</v>
      </c>
      <c r="G646" t="s">
        <v>6570</v>
      </c>
      <c r="H646" t="s">
        <v>9337</v>
      </c>
      <c r="I646">
        <v>0</v>
      </c>
    </row>
    <row r="647" spans="4:9" customFormat="1" ht="13.95" customHeight="1">
      <c r="D647" t="s">
        <v>6535</v>
      </c>
      <c r="E647" t="s">
        <v>9317</v>
      </c>
      <c r="F647">
        <v>0</v>
      </c>
      <c r="G647" t="s">
        <v>6570</v>
      </c>
      <c r="H647" t="s">
        <v>9338</v>
      </c>
      <c r="I647">
        <v>0</v>
      </c>
    </row>
    <row r="648" spans="4:9" customFormat="1" ht="13.95" customHeight="1">
      <c r="D648" t="s">
        <v>6535</v>
      </c>
      <c r="E648" t="s">
        <v>9320</v>
      </c>
      <c r="F648">
        <v>0</v>
      </c>
      <c r="G648" t="s">
        <v>6570</v>
      </c>
      <c r="H648" t="s">
        <v>9339</v>
      </c>
      <c r="I648">
        <v>0</v>
      </c>
    </row>
    <row r="649" spans="4:9" customFormat="1" ht="13.95" customHeight="1">
      <c r="D649" t="s">
        <v>6535</v>
      </c>
      <c r="E649" t="s">
        <v>9321</v>
      </c>
      <c r="F649">
        <v>0</v>
      </c>
      <c r="G649" t="s">
        <v>6570</v>
      </c>
      <c r="H649" t="s">
        <v>9343</v>
      </c>
      <c r="I649">
        <v>0</v>
      </c>
    </row>
    <row r="650" spans="4:9" customFormat="1" ht="13.95" customHeight="1">
      <c r="D650" t="s">
        <v>6535</v>
      </c>
      <c r="E650" t="s">
        <v>9322</v>
      </c>
      <c r="F650">
        <v>0</v>
      </c>
      <c r="G650" t="s">
        <v>6570</v>
      </c>
      <c r="H650" t="s">
        <v>9344</v>
      </c>
      <c r="I650">
        <v>0</v>
      </c>
    </row>
    <row r="651" spans="4:9" customFormat="1" ht="13.95" customHeight="1">
      <c r="D651" t="s">
        <v>6535</v>
      </c>
      <c r="E651" t="s">
        <v>9323</v>
      </c>
      <c r="F651">
        <v>318.8</v>
      </c>
      <c r="G651" t="s">
        <v>6570</v>
      </c>
      <c r="H651" t="s">
        <v>9345</v>
      </c>
      <c r="I651">
        <v>0</v>
      </c>
    </row>
    <row r="652" spans="4:9" customFormat="1" ht="13.95" customHeight="1">
      <c r="D652" t="s">
        <v>6535</v>
      </c>
      <c r="E652" t="s">
        <v>9324</v>
      </c>
      <c r="F652">
        <v>779.2</v>
      </c>
      <c r="G652" t="s">
        <v>6570</v>
      </c>
      <c r="H652" t="s">
        <v>9346</v>
      </c>
      <c r="I652">
        <v>0</v>
      </c>
    </row>
    <row r="653" spans="4:9" customFormat="1" ht="13.95" customHeight="1">
      <c r="D653" t="s">
        <v>6535</v>
      </c>
      <c r="E653" t="s">
        <v>9325</v>
      </c>
      <c r="F653">
        <v>0</v>
      </c>
      <c r="G653" t="s">
        <v>6570</v>
      </c>
      <c r="H653" t="s">
        <v>9347</v>
      </c>
      <c r="I653">
        <v>0</v>
      </c>
    </row>
    <row r="654" spans="4:9" customFormat="1" ht="13.95" customHeight="1">
      <c r="D654" t="s">
        <v>6535</v>
      </c>
      <c r="E654" t="s">
        <v>9326</v>
      </c>
      <c r="F654">
        <v>52.7</v>
      </c>
      <c r="G654" t="s">
        <v>6570</v>
      </c>
      <c r="H654" t="s">
        <v>9348</v>
      </c>
      <c r="I654">
        <v>0</v>
      </c>
    </row>
    <row r="655" spans="4:9" customFormat="1" ht="13.95" customHeight="1">
      <c r="D655" t="s">
        <v>6535</v>
      </c>
      <c r="E655" t="s">
        <v>9327</v>
      </c>
      <c r="F655">
        <v>135.6</v>
      </c>
      <c r="G655" t="s">
        <v>6570</v>
      </c>
      <c r="H655" t="s">
        <v>9367</v>
      </c>
      <c r="I655">
        <v>0</v>
      </c>
    </row>
    <row r="656" spans="4:9" customFormat="1" ht="13.95" customHeight="1">
      <c r="D656" t="s">
        <v>6535</v>
      </c>
      <c r="E656" t="s">
        <v>9411</v>
      </c>
      <c r="F656">
        <v>0</v>
      </c>
      <c r="G656" t="s">
        <v>6570</v>
      </c>
      <c r="H656" t="s">
        <v>9369</v>
      </c>
      <c r="I656">
        <v>0</v>
      </c>
    </row>
    <row r="657" spans="4:9" customFormat="1" ht="13.95" customHeight="1">
      <c r="D657" t="s">
        <v>6535</v>
      </c>
      <c r="E657" t="s">
        <v>9412</v>
      </c>
      <c r="F657">
        <v>0</v>
      </c>
      <c r="G657" t="s">
        <v>6570</v>
      </c>
      <c r="H657" t="s">
        <v>9372</v>
      </c>
      <c r="I657">
        <v>0</v>
      </c>
    </row>
    <row r="658" spans="4:9" customFormat="1" ht="13.95" customHeight="1">
      <c r="D658" t="s">
        <v>6535</v>
      </c>
      <c r="E658" t="s">
        <v>9413</v>
      </c>
      <c r="F658">
        <v>0</v>
      </c>
      <c r="G658" t="s">
        <v>6570</v>
      </c>
      <c r="H658" t="s">
        <v>9374</v>
      </c>
      <c r="I658">
        <v>0</v>
      </c>
    </row>
    <row r="659" spans="4:9" customFormat="1" ht="13.95" customHeight="1">
      <c r="D659" t="s">
        <v>6535</v>
      </c>
      <c r="E659" t="s">
        <v>9414</v>
      </c>
      <c r="F659">
        <v>0</v>
      </c>
      <c r="G659" t="s">
        <v>6570</v>
      </c>
      <c r="H659" t="s">
        <v>9376</v>
      </c>
      <c r="I659">
        <v>0</v>
      </c>
    </row>
    <row r="660" spans="4:9" customFormat="1" ht="13.95" customHeight="1">
      <c r="D660" t="s">
        <v>6535</v>
      </c>
      <c r="E660" t="s">
        <v>9415</v>
      </c>
      <c r="F660">
        <v>0</v>
      </c>
      <c r="G660" t="s">
        <v>6570</v>
      </c>
      <c r="H660" t="s">
        <v>9378</v>
      </c>
      <c r="I660">
        <v>0</v>
      </c>
    </row>
    <row r="661" spans="4:9" customFormat="1" ht="13.95" customHeight="1">
      <c r="D661" t="s">
        <v>6535</v>
      </c>
      <c r="E661" t="s">
        <v>9416</v>
      </c>
      <c r="F661">
        <v>0</v>
      </c>
      <c r="G661" t="s">
        <v>6570</v>
      </c>
      <c r="H661" t="s">
        <v>9380</v>
      </c>
      <c r="I661">
        <v>0</v>
      </c>
    </row>
    <row r="662" spans="4:9" customFormat="1" ht="13.95" customHeight="1">
      <c r="D662" t="s">
        <v>6535</v>
      </c>
      <c r="E662" t="s">
        <v>9417</v>
      </c>
      <c r="F662">
        <v>0</v>
      </c>
      <c r="G662" t="s">
        <v>6570</v>
      </c>
      <c r="H662" t="s">
        <v>9382</v>
      </c>
      <c r="I662">
        <v>0</v>
      </c>
    </row>
    <row r="663" spans="4:9" customFormat="1" ht="13.95" customHeight="1">
      <c r="D663" t="s">
        <v>6535</v>
      </c>
      <c r="E663" t="s">
        <v>9418</v>
      </c>
      <c r="F663">
        <v>0</v>
      </c>
      <c r="G663" t="s">
        <v>6570</v>
      </c>
      <c r="H663" t="s">
        <v>9383</v>
      </c>
      <c r="I663">
        <v>0</v>
      </c>
    </row>
    <row r="664" spans="4:9" customFormat="1" ht="13.95" customHeight="1">
      <c r="D664" t="s">
        <v>6535</v>
      </c>
      <c r="E664" t="s">
        <v>9419</v>
      </c>
      <c r="F664">
        <v>0</v>
      </c>
      <c r="G664" t="s">
        <v>6570</v>
      </c>
      <c r="H664" t="s">
        <v>9384</v>
      </c>
      <c r="I664">
        <v>0</v>
      </c>
    </row>
    <row r="665" spans="4:9" customFormat="1" ht="13.95" customHeight="1">
      <c r="D665" t="s">
        <v>6535</v>
      </c>
      <c r="E665" t="s">
        <v>9420</v>
      </c>
      <c r="F665">
        <v>0</v>
      </c>
      <c r="G665" t="s">
        <v>6570</v>
      </c>
      <c r="H665" t="s">
        <v>9385</v>
      </c>
      <c r="I665">
        <v>0</v>
      </c>
    </row>
    <row r="666" spans="4:9" customFormat="1" ht="13.95" customHeight="1">
      <c r="D666" t="s">
        <v>6535</v>
      </c>
      <c r="E666" t="s">
        <v>9421</v>
      </c>
      <c r="F666">
        <v>0</v>
      </c>
      <c r="G666" t="s">
        <v>6570</v>
      </c>
      <c r="H666" t="s">
        <v>9386</v>
      </c>
      <c r="I666">
        <v>0</v>
      </c>
    </row>
    <row r="667" spans="4:9" customFormat="1" ht="13.95" customHeight="1">
      <c r="D667" t="s">
        <v>6535</v>
      </c>
      <c r="E667" t="s">
        <v>9422</v>
      </c>
      <c r="F667">
        <v>0</v>
      </c>
      <c r="G667" t="s">
        <v>6570</v>
      </c>
      <c r="H667" t="s">
        <v>9387</v>
      </c>
      <c r="I667">
        <v>0</v>
      </c>
    </row>
    <row r="668" spans="4:9" customFormat="1" ht="13.95" customHeight="1">
      <c r="D668" t="s">
        <v>6535</v>
      </c>
      <c r="E668" t="s">
        <v>9423</v>
      </c>
      <c r="F668">
        <v>74.8</v>
      </c>
      <c r="G668" t="s">
        <v>6570</v>
      </c>
      <c r="H668" t="s">
        <v>9388</v>
      </c>
      <c r="I668">
        <v>0</v>
      </c>
    </row>
    <row r="669" spans="4:9" customFormat="1" ht="13.95" customHeight="1">
      <c r="D669" t="s">
        <v>6535</v>
      </c>
      <c r="E669" t="s">
        <v>9424</v>
      </c>
      <c r="F669">
        <v>0</v>
      </c>
      <c r="G669" t="s">
        <v>6570</v>
      </c>
      <c r="H669" t="s">
        <v>9389</v>
      </c>
      <c r="I669">
        <v>0</v>
      </c>
    </row>
    <row r="670" spans="4:9" customFormat="1" ht="13.95" customHeight="1">
      <c r="D670" t="s">
        <v>6535</v>
      </c>
      <c r="E670" t="s">
        <v>9425</v>
      </c>
      <c r="F670">
        <v>0</v>
      </c>
      <c r="G670" t="s">
        <v>6570</v>
      </c>
      <c r="H670" t="s">
        <v>9390</v>
      </c>
      <c r="I670">
        <v>0</v>
      </c>
    </row>
    <row r="671" spans="4:9" customFormat="1" ht="13.95" customHeight="1">
      <c r="D671" t="s">
        <v>6535</v>
      </c>
      <c r="E671" t="s">
        <v>9426</v>
      </c>
      <c r="F671">
        <v>0</v>
      </c>
      <c r="G671" t="s">
        <v>6570</v>
      </c>
      <c r="H671" t="s">
        <v>9391</v>
      </c>
      <c r="I671">
        <v>0</v>
      </c>
    </row>
    <row r="672" spans="4:9" customFormat="1" ht="13.95" customHeight="1">
      <c r="D672" t="s">
        <v>6535</v>
      </c>
      <c r="E672" t="s">
        <v>9427</v>
      </c>
      <c r="F672">
        <v>0</v>
      </c>
      <c r="G672" t="s">
        <v>6570</v>
      </c>
      <c r="H672" t="s">
        <v>9392</v>
      </c>
      <c r="I672">
        <v>0</v>
      </c>
    </row>
    <row r="673" spans="4:9" customFormat="1" ht="13.95" customHeight="1">
      <c r="D673" t="s">
        <v>6535</v>
      </c>
      <c r="E673" t="s">
        <v>9428</v>
      </c>
      <c r="F673">
        <v>0</v>
      </c>
      <c r="G673" t="s">
        <v>6570</v>
      </c>
      <c r="H673" t="s">
        <v>9393</v>
      </c>
      <c r="I673">
        <v>0</v>
      </c>
    </row>
    <row r="674" spans="4:9" customFormat="1" ht="13.95" customHeight="1">
      <c r="D674" t="s">
        <v>6535</v>
      </c>
      <c r="E674" t="s">
        <v>9429</v>
      </c>
      <c r="F674">
        <v>0</v>
      </c>
      <c r="G674" t="s">
        <v>6570</v>
      </c>
      <c r="H674" t="s">
        <v>9394</v>
      </c>
      <c r="I674">
        <v>0</v>
      </c>
    </row>
    <row r="675" spans="4:9" customFormat="1" ht="13.95" customHeight="1">
      <c r="D675" t="s">
        <v>6535</v>
      </c>
      <c r="E675" t="s">
        <v>9430</v>
      </c>
      <c r="F675">
        <v>0</v>
      </c>
      <c r="G675" t="s">
        <v>6570</v>
      </c>
      <c r="H675" t="s">
        <v>9395</v>
      </c>
      <c r="I675">
        <v>0</v>
      </c>
    </row>
    <row r="676" spans="4:9" customFormat="1" ht="13.95" customHeight="1">
      <c r="D676" t="s">
        <v>6535</v>
      </c>
      <c r="E676" t="s">
        <v>9431</v>
      </c>
      <c r="F676">
        <v>0</v>
      </c>
      <c r="G676" t="s">
        <v>6570</v>
      </c>
      <c r="H676" t="s">
        <v>9396</v>
      </c>
      <c r="I676">
        <v>0</v>
      </c>
    </row>
    <row r="677" spans="4:9" customFormat="1" ht="13.95" customHeight="1">
      <c r="D677" t="s">
        <v>6535</v>
      </c>
      <c r="E677" t="s">
        <v>9432</v>
      </c>
      <c r="F677">
        <v>0</v>
      </c>
      <c r="G677" t="s">
        <v>6570</v>
      </c>
      <c r="H677" t="s">
        <v>9397</v>
      </c>
      <c r="I677">
        <v>0</v>
      </c>
    </row>
    <row r="678" spans="4:9" customFormat="1" ht="13.95" customHeight="1">
      <c r="D678" t="s">
        <v>6536</v>
      </c>
      <c r="E678" t="s">
        <v>9314</v>
      </c>
      <c r="F678">
        <v>501.6</v>
      </c>
      <c r="G678" t="s">
        <v>6570</v>
      </c>
      <c r="H678" t="s">
        <v>9398</v>
      </c>
      <c r="I678">
        <v>0</v>
      </c>
    </row>
    <row r="679" spans="4:9" customFormat="1" ht="13.95" customHeight="1">
      <c r="D679" t="s">
        <v>6536</v>
      </c>
      <c r="E679" t="s">
        <v>9315</v>
      </c>
      <c r="F679">
        <v>817.9</v>
      </c>
      <c r="G679" t="s">
        <v>6570</v>
      </c>
      <c r="H679" t="s">
        <v>9399</v>
      </c>
      <c r="I679">
        <v>0</v>
      </c>
    </row>
    <row r="680" spans="4:9" customFormat="1" ht="13.95" customHeight="1">
      <c r="D680" t="s">
        <v>6536</v>
      </c>
      <c r="E680" t="s">
        <v>9316</v>
      </c>
      <c r="F680">
        <v>678.2</v>
      </c>
      <c r="G680" t="s">
        <v>6570</v>
      </c>
      <c r="H680" t="s">
        <v>9400</v>
      </c>
      <c r="I680">
        <v>0</v>
      </c>
    </row>
    <row r="681" spans="4:9" customFormat="1" ht="13.95" customHeight="1">
      <c r="D681" t="s">
        <v>6536</v>
      </c>
      <c r="E681" t="s">
        <v>9317</v>
      </c>
      <c r="F681">
        <v>529.4</v>
      </c>
      <c r="G681" t="s">
        <v>6570</v>
      </c>
      <c r="H681" t="s">
        <v>9401</v>
      </c>
      <c r="I681">
        <v>0</v>
      </c>
    </row>
    <row r="682" spans="4:9" customFormat="1" ht="13.95" customHeight="1">
      <c r="D682" t="s">
        <v>6536</v>
      </c>
      <c r="E682" t="s">
        <v>9320</v>
      </c>
      <c r="F682">
        <v>0</v>
      </c>
      <c r="G682" t="s">
        <v>6570</v>
      </c>
      <c r="H682" t="s">
        <v>9402</v>
      </c>
      <c r="I682">
        <v>0</v>
      </c>
    </row>
    <row r="683" spans="4:9" customFormat="1" ht="13.95" customHeight="1">
      <c r="D683" t="s">
        <v>6536</v>
      </c>
      <c r="E683" t="s">
        <v>9321</v>
      </c>
      <c r="F683">
        <v>456.3</v>
      </c>
      <c r="G683" t="s">
        <v>6570</v>
      </c>
      <c r="H683" t="s">
        <v>9403</v>
      </c>
      <c r="I683">
        <v>0</v>
      </c>
    </row>
    <row r="684" spans="4:9" customFormat="1" ht="13.95" customHeight="1">
      <c r="D684" t="s">
        <v>6536</v>
      </c>
      <c r="E684" t="s">
        <v>9322</v>
      </c>
      <c r="F684">
        <v>829.6</v>
      </c>
      <c r="G684" t="s">
        <v>6570</v>
      </c>
      <c r="H684" t="s">
        <v>9404</v>
      </c>
      <c r="I684">
        <v>0</v>
      </c>
    </row>
    <row r="685" spans="4:9" customFormat="1" ht="13.95" customHeight="1">
      <c r="D685" t="s">
        <v>6536</v>
      </c>
      <c r="E685" t="s">
        <v>9323</v>
      </c>
      <c r="F685">
        <v>770.1</v>
      </c>
      <c r="G685" t="s">
        <v>6570</v>
      </c>
      <c r="H685" t="s">
        <v>9405</v>
      </c>
      <c r="I685">
        <v>0</v>
      </c>
    </row>
    <row r="686" spans="4:9" customFormat="1" ht="13.95" customHeight="1">
      <c r="D686" t="s">
        <v>6536</v>
      </c>
      <c r="E686" t="s">
        <v>9324</v>
      </c>
      <c r="F686">
        <v>756.2</v>
      </c>
      <c r="G686" t="s">
        <v>6570</v>
      </c>
      <c r="H686" t="s">
        <v>9406</v>
      </c>
      <c r="I686">
        <v>0</v>
      </c>
    </row>
    <row r="687" spans="4:9" customFormat="1" ht="13.95" customHeight="1">
      <c r="D687" t="s">
        <v>6536</v>
      </c>
      <c r="E687" t="s">
        <v>9325</v>
      </c>
      <c r="F687">
        <v>790.6</v>
      </c>
      <c r="G687" t="s">
        <v>6570</v>
      </c>
      <c r="H687" t="s">
        <v>9407</v>
      </c>
      <c r="I687">
        <v>0</v>
      </c>
    </row>
    <row r="688" spans="4:9" customFormat="1" ht="13.95" customHeight="1">
      <c r="D688" t="s">
        <v>6536</v>
      </c>
      <c r="E688" t="s">
        <v>9326</v>
      </c>
      <c r="F688">
        <v>804.3</v>
      </c>
      <c r="G688" t="s">
        <v>6570</v>
      </c>
      <c r="H688" t="s">
        <v>9408</v>
      </c>
      <c r="I688">
        <v>0</v>
      </c>
    </row>
    <row r="689" spans="4:9" customFormat="1" ht="13.95" customHeight="1">
      <c r="D689" t="s">
        <v>6536</v>
      </c>
      <c r="E689" t="s">
        <v>9327</v>
      </c>
      <c r="F689">
        <v>562.70000000000005</v>
      </c>
      <c r="G689" t="s">
        <v>6570</v>
      </c>
      <c r="H689" t="s">
        <v>9409</v>
      </c>
      <c r="I689">
        <v>0</v>
      </c>
    </row>
    <row r="690" spans="4:9" customFormat="1" ht="13.95" customHeight="1">
      <c r="D690" t="s">
        <v>6536</v>
      </c>
      <c r="E690" t="s">
        <v>9411</v>
      </c>
      <c r="F690">
        <v>851.2</v>
      </c>
      <c r="G690" t="s">
        <v>6570</v>
      </c>
      <c r="H690" t="s">
        <v>9410</v>
      </c>
      <c r="I690">
        <v>0</v>
      </c>
    </row>
    <row r="691" spans="4:9" customFormat="1" ht="13.95" customHeight="1">
      <c r="D691" t="s">
        <v>6536</v>
      </c>
      <c r="E691" t="s">
        <v>9412</v>
      </c>
      <c r="F691">
        <v>224.7</v>
      </c>
      <c r="G691" t="s">
        <v>6571</v>
      </c>
      <c r="H691" t="s">
        <v>9328</v>
      </c>
      <c r="I691">
        <v>0</v>
      </c>
    </row>
    <row r="692" spans="4:9" customFormat="1" ht="13.95" customHeight="1">
      <c r="D692" t="s">
        <v>6536</v>
      </c>
      <c r="E692" t="s">
        <v>9413</v>
      </c>
      <c r="F692">
        <v>1208.2</v>
      </c>
      <c r="G692" t="s">
        <v>6571</v>
      </c>
      <c r="H692" t="s">
        <v>9329</v>
      </c>
      <c r="I692">
        <v>0</v>
      </c>
    </row>
    <row r="693" spans="4:9" customFormat="1" ht="13.95" customHeight="1">
      <c r="D693" t="s">
        <v>6536</v>
      </c>
      <c r="E693" t="s">
        <v>9414</v>
      </c>
      <c r="F693">
        <v>1135.5999999999999</v>
      </c>
      <c r="G693" t="s">
        <v>6571</v>
      </c>
      <c r="H693" t="s">
        <v>9330</v>
      </c>
      <c r="I693">
        <v>0</v>
      </c>
    </row>
    <row r="694" spans="4:9" customFormat="1" ht="13.95" customHeight="1">
      <c r="D694" t="s">
        <v>6536</v>
      </c>
      <c r="E694" t="s">
        <v>9415</v>
      </c>
      <c r="F694">
        <v>569.70000000000005</v>
      </c>
      <c r="G694" t="s">
        <v>6571</v>
      </c>
      <c r="H694" t="s">
        <v>9331</v>
      </c>
      <c r="I694">
        <v>0</v>
      </c>
    </row>
    <row r="695" spans="4:9" customFormat="1" ht="13.95" customHeight="1">
      <c r="D695" t="s">
        <v>6536</v>
      </c>
      <c r="E695" t="s">
        <v>9416</v>
      </c>
      <c r="F695">
        <v>875.6</v>
      </c>
      <c r="G695" t="s">
        <v>6571</v>
      </c>
      <c r="H695" t="s">
        <v>9332</v>
      </c>
      <c r="I695">
        <v>0</v>
      </c>
    </row>
    <row r="696" spans="4:9" customFormat="1" ht="13.95" customHeight="1">
      <c r="D696" t="s">
        <v>6536</v>
      </c>
      <c r="E696" t="s">
        <v>9417</v>
      </c>
      <c r="F696">
        <v>598.70000000000005</v>
      </c>
      <c r="G696" t="s">
        <v>6571</v>
      </c>
      <c r="H696" t="s">
        <v>9333</v>
      </c>
      <c r="I696">
        <v>0</v>
      </c>
    </row>
    <row r="697" spans="4:9" customFormat="1" ht="13.95" customHeight="1">
      <c r="D697" t="s">
        <v>6536</v>
      </c>
      <c r="E697" t="s">
        <v>9418</v>
      </c>
      <c r="F697">
        <v>1257.9000000000001</v>
      </c>
      <c r="G697" t="s">
        <v>6571</v>
      </c>
      <c r="H697" t="s">
        <v>9334</v>
      </c>
      <c r="I697">
        <v>0</v>
      </c>
    </row>
    <row r="698" spans="4:9" customFormat="1" ht="13.95" customHeight="1">
      <c r="D698" t="s">
        <v>6536</v>
      </c>
      <c r="E698" t="s">
        <v>9419</v>
      </c>
      <c r="F698">
        <v>0</v>
      </c>
      <c r="G698" t="s">
        <v>6571</v>
      </c>
      <c r="H698" t="s">
        <v>9335</v>
      </c>
      <c r="I698">
        <v>0</v>
      </c>
    </row>
    <row r="699" spans="4:9" customFormat="1" ht="13.95" customHeight="1">
      <c r="D699" t="s">
        <v>6536</v>
      </c>
      <c r="E699" t="s">
        <v>9420</v>
      </c>
      <c r="F699">
        <v>1218.7</v>
      </c>
      <c r="G699" t="s">
        <v>6571</v>
      </c>
      <c r="H699" t="s">
        <v>9336</v>
      </c>
      <c r="I699">
        <v>0</v>
      </c>
    </row>
    <row r="700" spans="4:9" customFormat="1" ht="13.95" customHeight="1">
      <c r="D700" t="s">
        <v>6536</v>
      </c>
      <c r="E700" t="s">
        <v>9421</v>
      </c>
      <c r="F700">
        <v>510.3</v>
      </c>
      <c r="G700" t="s">
        <v>6571</v>
      </c>
      <c r="H700" t="s">
        <v>9337</v>
      </c>
      <c r="I700">
        <v>0</v>
      </c>
    </row>
    <row r="701" spans="4:9" customFormat="1" ht="13.95" customHeight="1">
      <c r="D701" t="s">
        <v>6536</v>
      </c>
      <c r="E701" t="s">
        <v>9422</v>
      </c>
      <c r="F701">
        <v>0</v>
      </c>
      <c r="G701" t="s">
        <v>6571</v>
      </c>
      <c r="H701" t="s">
        <v>9338</v>
      </c>
      <c r="I701">
        <v>0</v>
      </c>
    </row>
    <row r="702" spans="4:9" customFormat="1" ht="13.95" customHeight="1">
      <c r="D702" t="s">
        <v>6537</v>
      </c>
      <c r="E702" t="s">
        <v>9314</v>
      </c>
      <c r="F702">
        <v>675.7</v>
      </c>
      <c r="G702" t="s">
        <v>6571</v>
      </c>
      <c r="H702" t="s">
        <v>9339</v>
      </c>
      <c r="I702">
        <v>0</v>
      </c>
    </row>
    <row r="703" spans="4:9" customFormat="1" ht="13.95" customHeight="1">
      <c r="D703" t="s">
        <v>6537</v>
      </c>
      <c r="E703" t="s">
        <v>9315</v>
      </c>
      <c r="F703">
        <v>863.7</v>
      </c>
      <c r="G703" t="s">
        <v>6571</v>
      </c>
      <c r="H703" t="s">
        <v>9343</v>
      </c>
      <c r="I703">
        <v>0</v>
      </c>
    </row>
    <row r="704" spans="4:9" customFormat="1" ht="13.95" customHeight="1">
      <c r="D704" t="s">
        <v>6537</v>
      </c>
      <c r="E704" t="s">
        <v>9316</v>
      </c>
      <c r="F704">
        <v>678.5</v>
      </c>
      <c r="G704" t="s">
        <v>6571</v>
      </c>
      <c r="H704" t="s">
        <v>9344</v>
      </c>
      <c r="I704">
        <v>0</v>
      </c>
    </row>
    <row r="705" spans="4:9" customFormat="1" ht="13.95" customHeight="1">
      <c r="D705" t="s">
        <v>6537</v>
      </c>
      <c r="E705" t="s">
        <v>9317</v>
      </c>
      <c r="F705">
        <v>503.3</v>
      </c>
      <c r="G705" t="s">
        <v>6571</v>
      </c>
      <c r="H705" t="s">
        <v>9345</v>
      </c>
      <c r="I705">
        <v>0</v>
      </c>
    </row>
    <row r="706" spans="4:9" customFormat="1" ht="13.95" customHeight="1">
      <c r="D706" t="s">
        <v>6537</v>
      </c>
      <c r="E706" t="s">
        <v>9320</v>
      </c>
      <c r="F706">
        <v>0</v>
      </c>
      <c r="G706" t="s">
        <v>6571</v>
      </c>
      <c r="H706" t="s">
        <v>9346</v>
      </c>
      <c r="I706">
        <v>0</v>
      </c>
    </row>
    <row r="707" spans="4:9" customFormat="1" ht="13.95" customHeight="1">
      <c r="D707" t="s">
        <v>6537</v>
      </c>
      <c r="E707" t="s">
        <v>9321</v>
      </c>
      <c r="F707">
        <v>265.5</v>
      </c>
      <c r="G707" t="s">
        <v>6571</v>
      </c>
      <c r="H707" t="s">
        <v>9347</v>
      </c>
      <c r="I707">
        <v>0</v>
      </c>
    </row>
    <row r="708" spans="4:9" customFormat="1" ht="13.95" customHeight="1">
      <c r="D708" t="s">
        <v>6537</v>
      </c>
      <c r="E708" t="s">
        <v>9322</v>
      </c>
      <c r="F708">
        <v>917.4</v>
      </c>
      <c r="G708" t="s">
        <v>6571</v>
      </c>
      <c r="H708" t="s">
        <v>9348</v>
      </c>
      <c r="I708">
        <v>0</v>
      </c>
    </row>
    <row r="709" spans="4:9" customFormat="1" ht="13.95" customHeight="1">
      <c r="D709" t="s">
        <v>6537</v>
      </c>
      <c r="E709" t="s">
        <v>9323</v>
      </c>
      <c r="F709">
        <v>786.6</v>
      </c>
      <c r="G709" t="s">
        <v>6571</v>
      </c>
      <c r="H709" t="s">
        <v>9367</v>
      </c>
      <c r="I709">
        <v>0</v>
      </c>
    </row>
    <row r="710" spans="4:9" customFormat="1" ht="13.95" customHeight="1">
      <c r="D710" t="s">
        <v>6537</v>
      </c>
      <c r="E710" t="s">
        <v>9324</v>
      </c>
      <c r="F710">
        <v>741.6</v>
      </c>
      <c r="G710" t="s">
        <v>6571</v>
      </c>
      <c r="H710" t="s">
        <v>9369</v>
      </c>
      <c r="I710">
        <v>0</v>
      </c>
    </row>
    <row r="711" spans="4:9" customFormat="1" ht="13.95" customHeight="1">
      <c r="D711" t="s">
        <v>6537</v>
      </c>
      <c r="E711" t="s">
        <v>9325</v>
      </c>
      <c r="F711">
        <v>775.8</v>
      </c>
      <c r="G711" t="s">
        <v>6571</v>
      </c>
      <c r="H711" t="s">
        <v>9372</v>
      </c>
      <c r="I711">
        <v>0</v>
      </c>
    </row>
    <row r="712" spans="4:9" customFormat="1" ht="13.95" customHeight="1">
      <c r="D712" t="s">
        <v>6537</v>
      </c>
      <c r="E712" t="s">
        <v>9326</v>
      </c>
      <c r="F712">
        <v>705.6</v>
      </c>
      <c r="G712" t="s">
        <v>6571</v>
      </c>
      <c r="H712" t="s">
        <v>9374</v>
      </c>
      <c r="I712">
        <v>0</v>
      </c>
    </row>
    <row r="713" spans="4:9" customFormat="1" ht="13.95" customHeight="1">
      <c r="D713" t="s">
        <v>6537</v>
      </c>
      <c r="E713" t="s">
        <v>9327</v>
      </c>
      <c r="F713">
        <v>541</v>
      </c>
      <c r="G713" t="s">
        <v>6571</v>
      </c>
      <c r="H713" t="s">
        <v>9376</v>
      </c>
      <c r="I713">
        <v>0</v>
      </c>
    </row>
    <row r="714" spans="4:9" customFormat="1" ht="13.95" customHeight="1">
      <c r="D714" t="s">
        <v>6537</v>
      </c>
      <c r="E714" t="s">
        <v>9411</v>
      </c>
      <c r="F714">
        <v>786.6</v>
      </c>
      <c r="G714" t="s">
        <v>6571</v>
      </c>
      <c r="H714" t="s">
        <v>9378</v>
      </c>
      <c r="I714">
        <v>0</v>
      </c>
    </row>
    <row r="715" spans="4:9" customFormat="1" ht="13.95" customHeight="1">
      <c r="D715" t="s">
        <v>6537</v>
      </c>
      <c r="E715" t="s">
        <v>9412</v>
      </c>
      <c r="F715">
        <v>206.5</v>
      </c>
      <c r="G715" t="s">
        <v>6571</v>
      </c>
      <c r="H715" t="s">
        <v>9380</v>
      </c>
      <c r="I715">
        <v>0</v>
      </c>
    </row>
    <row r="716" spans="4:9" customFormat="1" ht="13.95" customHeight="1">
      <c r="D716" t="s">
        <v>6537</v>
      </c>
      <c r="E716" t="s">
        <v>9413</v>
      </c>
      <c r="F716">
        <v>1403.5</v>
      </c>
      <c r="G716" t="s">
        <v>6571</v>
      </c>
      <c r="H716" t="s">
        <v>9382</v>
      </c>
      <c r="I716">
        <v>0</v>
      </c>
    </row>
    <row r="717" spans="4:9" customFormat="1" ht="13.95" customHeight="1">
      <c r="D717" t="s">
        <v>6537</v>
      </c>
      <c r="E717" t="s">
        <v>9414</v>
      </c>
      <c r="F717">
        <v>1152.9000000000001</v>
      </c>
      <c r="G717" t="s">
        <v>6571</v>
      </c>
      <c r="H717" t="s">
        <v>9383</v>
      </c>
      <c r="I717">
        <v>0</v>
      </c>
    </row>
    <row r="718" spans="4:9" customFormat="1" ht="13.95" customHeight="1">
      <c r="D718" t="s">
        <v>6537</v>
      </c>
      <c r="E718" t="s">
        <v>9415</v>
      </c>
      <c r="F718">
        <v>635</v>
      </c>
      <c r="G718" t="s">
        <v>6571</v>
      </c>
      <c r="H718" t="s">
        <v>9384</v>
      </c>
      <c r="I718">
        <v>0</v>
      </c>
    </row>
    <row r="719" spans="4:9" customFormat="1" ht="13.95" customHeight="1">
      <c r="D719" t="s">
        <v>6537</v>
      </c>
      <c r="E719" t="s">
        <v>9416</v>
      </c>
      <c r="F719">
        <v>838.9</v>
      </c>
      <c r="G719" t="s">
        <v>6571</v>
      </c>
      <c r="H719" t="s">
        <v>9385</v>
      </c>
      <c r="I719">
        <v>0</v>
      </c>
    </row>
    <row r="720" spans="4:9" customFormat="1" ht="13.95" customHeight="1">
      <c r="D720" t="s">
        <v>6537</v>
      </c>
      <c r="E720" t="s">
        <v>9417</v>
      </c>
      <c r="F720">
        <v>641.5</v>
      </c>
      <c r="G720" t="s">
        <v>6571</v>
      </c>
      <c r="H720" t="s">
        <v>9386</v>
      </c>
      <c r="I720">
        <v>0</v>
      </c>
    </row>
    <row r="721" spans="4:9" customFormat="1" ht="13.95" customHeight="1">
      <c r="D721" t="s">
        <v>6537</v>
      </c>
      <c r="E721" t="s">
        <v>9418</v>
      </c>
      <c r="F721">
        <v>282.3</v>
      </c>
      <c r="G721" t="s">
        <v>6571</v>
      </c>
      <c r="H721" t="s">
        <v>9387</v>
      </c>
      <c r="I721">
        <v>0</v>
      </c>
    </row>
    <row r="722" spans="4:9" customFormat="1" ht="13.95" customHeight="1">
      <c r="D722" t="s">
        <v>6537</v>
      </c>
      <c r="E722" t="s">
        <v>9419</v>
      </c>
      <c r="F722">
        <v>0</v>
      </c>
      <c r="G722" t="s">
        <v>6571</v>
      </c>
      <c r="H722" t="s">
        <v>9388</v>
      </c>
      <c r="I722">
        <v>0</v>
      </c>
    </row>
    <row r="723" spans="4:9" customFormat="1" ht="13.95" customHeight="1">
      <c r="D723" t="s">
        <v>6537</v>
      </c>
      <c r="E723" t="s">
        <v>9420</v>
      </c>
      <c r="F723">
        <v>70</v>
      </c>
      <c r="G723" t="s">
        <v>6571</v>
      </c>
      <c r="H723" t="s">
        <v>9389</v>
      </c>
      <c r="I723">
        <v>0</v>
      </c>
    </row>
    <row r="724" spans="4:9" customFormat="1" ht="13.95" customHeight="1">
      <c r="D724" t="s">
        <v>6537</v>
      </c>
      <c r="E724" t="s">
        <v>9421</v>
      </c>
      <c r="F724">
        <v>531.5</v>
      </c>
      <c r="G724" t="s">
        <v>6571</v>
      </c>
      <c r="H724" t="s">
        <v>9390</v>
      </c>
      <c r="I724">
        <v>0</v>
      </c>
    </row>
    <row r="725" spans="4:9" customFormat="1" ht="13.95" customHeight="1">
      <c r="D725" t="s">
        <v>6537</v>
      </c>
      <c r="E725" t="s">
        <v>9422</v>
      </c>
      <c r="F725">
        <v>0</v>
      </c>
      <c r="G725" t="s">
        <v>6571</v>
      </c>
      <c r="H725" t="s">
        <v>9391</v>
      </c>
      <c r="I725">
        <v>0</v>
      </c>
    </row>
    <row r="726" spans="4:9" customFormat="1" ht="13.95" customHeight="1">
      <c r="D726" t="s">
        <v>6538</v>
      </c>
      <c r="E726" t="s">
        <v>9314</v>
      </c>
      <c r="F726">
        <v>874.7</v>
      </c>
      <c r="G726" t="s">
        <v>6571</v>
      </c>
      <c r="H726" t="s">
        <v>9392</v>
      </c>
      <c r="I726">
        <v>0</v>
      </c>
    </row>
    <row r="727" spans="4:9" customFormat="1" ht="13.95" customHeight="1">
      <c r="D727" t="s">
        <v>6538</v>
      </c>
      <c r="E727" t="s">
        <v>9315</v>
      </c>
      <c r="F727">
        <v>618.29999999999995</v>
      </c>
      <c r="G727" t="s">
        <v>6571</v>
      </c>
      <c r="H727" t="s">
        <v>9393</v>
      </c>
      <c r="I727">
        <v>0</v>
      </c>
    </row>
    <row r="728" spans="4:9" customFormat="1" ht="13.95" customHeight="1">
      <c r="D728" t="s">
        <v>6538</v>
      </c>
      <c r="E728" t="s">
        <v>9316</v>
      </c>
      <c r="F728">
        <v>878.4</v>
      </c>
      <c r="G728" t="s">
        <v>6571</v>
      </c>
      <c r="H728" t="s">
        <v>9394</v>
      </c>
      <c r="I728">
        <v>0</v>
      </c>
    </row>
    <row r="729" spans="4:9" customFormat="1" ht="13.95" customHeight="1">
      <c r="D729" t="s">
        <v>6538</v>
      </c>
      <c r="E729" t="s">
        <v>9317</v>
      </c>
      <c r="F729">
        <v>569.70000000000005</v>
      </c>
      <c r="G729" t="s">
        <v>6571</v>
      </c>
      <c r="H729" t="s">
        <v>9395</v>
      </c>
      <c r="I729">
        <v>0</v>
      </c>
    </row>
    <row r="730" spans="4:9" customFormat="1" ht="13.95" customHeight="1">
      <c r="D730" t="s">
        <v>6538</v>
      </c>
      <c r="E730" t="s">
        <v>9320</v>
      </c>
      <c r="F730">
        <v>216.8</v>
      </c>
      <c r="G730" t="s">
        <v>6571</v>
      </c>
      <c r="H730" t="s">
        <v>9396</v>
      </c>
      <c r="I730">
        <v>0</v>
      </c>
    </row>
    <row r="731" spans="4:9" customFormat="1" ht="13.95" customHeight="1">
      <c r="D731" t="s">
        <v>6538</v>
      </c>
      <c r="E731" t="s">
        <v>9321</v>
      </c>
      <c r="F731">
        <v>673.7</v>
      </c>
      <c r="G731" t="s">
        <v>6571</v>
      </c>
      <c r="H731" t="s">
        <v>9397</v>
      </c>
      <c r="I731">
        <v>0</v>
      </c>
    </row>
    <row r="732" spans="4:9" customFormat="1" ht="13.95" customHeight="1">
      <c r="D732" t="s">
        <v>6538</v>
      </c>
      <c r="E732" t="s">
        <v>9322</v>
      </c>
      <c r="F732">
        <v>550.79999999999995</v>
      </c>
      <c r="G732" t="s">
        <v>6571</v>
      </c>
      <c r="H732" t="s">
        <v>9398</v>
      </c>
      <c r="I732">
        <v>0</v>
      </c>
    </row>
    <row r="733" spans="4:9" customFormat="1" ht="13.95" customHeight="1">
      <c r="D733" t="s">
        <v>6538</v>
      </c>
      <c r="E733" t="s">
        <v>9323</v>
      </c>
      <c r="F733">
        <v>840.5</v>
      </c>
      <c r="G733" t="s">
        <v>6571</v>
      </c>
      <c r="H733" t="s">
        <v>9399</v>
      </c>
      <c r="I733">
        <v>0</v>
      </c>
    </row>
    <row r="734" spans="4:9" customFormat="1" ht="13.95" customHeight="1">
      <c r="D734" t="s">
        <v>6538</v>
      </c>
      <c r="E734" t="s">
        <v>9324</v>
      </c>
      <c r="F734">
        <v>1289.0999999999999</v>
      </c>
      <c r="G734" t="s">
        <v>6571</v>
      </c>
      <c r="H734" t="s">
        <v>9400</v>
      </c>
      <c r="I734">
        <v>0</v>
      </c>
    </row>
    <row r="735" spans="4:9" customFormat="1" ht="13.95" customHeight="1">
      <c r="D735" t="s">
        <v>6538</v>
      </c>
      <c r="E735" t="s">
        <v>9325</v>
      </c>
      <c r="F735">
        <v>1099.9000000000001</v>
      </c>
      <c r="G735" t="s">
        <v>6571</v>
      </c>
      <c r="H735" t="s">
        <v>9401</v>
      </c>
      <c r="I735">
        <v>0</v>
      </c>
    </row>
    <row r="736" spans="4:9" customFormat="1" ht="13.95" customHeight="1">
      <c r="D736" t="s">
        <v>6538</v>
      </c>
      <c r="E736" t="s">
        <v>9326</v>
      </c>
      <c r="F736">
        <v>645</v>
      </c>
      <c r="G736" t="s">
        <v>6571</v>
      </c>
      <c r="H736" t="s">
        <v>9402</v>
      </c>
      <c r="I736">
        <v>0</v>
      </c>
    </row>
    <row r="737" spans="4:9" customFormat="1" ht="13.95" customHeight="1">
      <c r="D737" t="s">
        <v>6538</v>
      </c>
      <c r="E737" t="s">
        <v>9327</v>
      </c>
      <c r="F737">
        <v>187.4</v>
      </c>
      <c r="G737" t="s">
        <v>6571</v>
      </c>
      <c r="H737" t="s">
        <v>9403</v>
      </c>
      <c r="I737">
        <v>0</v>
      </c>
    </row>
    <row r="738" spans="4:9" customFormat="1" ht="13.95" customHeight="1">
      <c r="D738" t="s">
        <v>6538</v>
      </c>
      <c r="E738" t="s">
        <v>9411</v>
      </c>
      <c r="F738">
        <v>949.1</v>
      </c>
      <c r="G738" t="s">
        <v>6571</v>
      </c>
      <c r="H738" t="s">
        <v>9404</v>
      </c>
      <c r="I738">
        <v>0</v>
      </c>
    </row>
    <row r="739" spans="4:9" customFormat="1" ht="13.95" customHeight="1">
      <c r="D739" t="s">
        <v>6538</v>
      </c>
      <c r="E739" t="s">
        <v>9412</v>
      </c>
      <c r="F739">
        <v>272.39999999999998</v>
      </c>
      <c r="G739" t="s">
        <v>6571</v>
      </c>
      <c r="H739" t="s">
        <v>9405</v>
      </c>
      <c r="I739">
        <v>0</v>
      </c>
    </row>
    <row r="740" spans="4:9" customFormat="1" ht="13.95" customHeight="1">
      <c r="D740" t="s">
        <v>6538</v>
      </c>
      <c r="E740" t="s">
        <v>9413</v>
      </c>
      <c r="F740">
        <v>519.70000000000005</v>
      </c>
      <c r="G740" t="s">
        <v>6571</v>
      </c>
      <c r="H740" t="s">
        <v>9406</v>
      </c>
      <c r="I740">
        <v>0</v>
      </c>
    </row>
    <row r="741" spans="4:9" customFormat="1" ht="13.95" customHeight="1">
      <c r="D741" t="s">
        <v>6538</v>
      </c>
      <c r="E741" t="s">
        <v>9414</v>
      </c>
      <c r="F741">
        <v>1211.2</v>
      </c>
      <c r="G741" t="s">
        <v>6571</v>
      </c>
      <c r="H741" t="s">
        <v>9407</v>
      </c>
      <c r="I741">
        <v>0</v>
      </c>
    </row>
    <row r="742" spans="4:9" customFormat="1" ht="13.95" customHeight="1">
      <c r="D742" t="s">
        <v>6538</v>
      </c>
      <c r="E742" t="s">
        <v>9415</v>
      </c>
      <c r="F742">
        <v>601</v>
      </c>
      <c r="G742" t="s">
        <v>6571</v>
      </c>
      <c r="H742" t="s">
        <v>9408</v>
      </c>
      <c r="I742">
        <v>0</v>
      </c>
    </row>
    <row r="743" spans="4:9" customFormat="1" ht="13.95" customHeight="1">
      <c r="D743" t="s">
        <v>6538</v>
      </c>
      <c r="E743" t="s">
        <v>9416</v>
      </c>
      <c r="F743">
        <v>774</v>
      </c>
      <c r="G743" t="s">
        <v>6571</v>
      </c>
      <c r="H743" t="s">
        <v>9409</v>
      </c>
      <c r="I743">
        <v>0</v>
      </c>
    </row>
    <row r="744" spans="4:9" customFormat="1" ht="13.95" customHeight="1">
      <c r="D744" t="s">
        <v>6538</v>
      </c>
      <c r="E744" t="s">
        <v>9417</v>
      </c>
      <c r="F744">
        <v>560.1</v>
      </c>
      <c r="G744" t="s">
        <v>6571</v>
      </c>
      <c r="H744" t="s">
        <v>9410</v>
      </c>
      <c r="I744">
        <v>0</v>
      </c>
    </row>
    <row r="745" spans="4:9" customFormat="1" ht="13.95" customHeight="1">
      <c r="D745" t="s">
        <v>6538</v>
      </c>
      <c r="E745" t="s">
        <v>9418</v>
      </c>
      <c r="F745">
        <v>1212.2</v>
      </c>
    </row>
    <row r="746" spans="4:9" customFormat="1" ht="13.95" customHeight="1">
      <c r="D746" t="s">
        <v>6538</v>
      </c>
      <c r="E746" t="s">
        <v>9419</v>
      </c>
      <c r="F746">
        <v>0</v>
      </c>
    </row>
    <row r="747" spans="4:9" customFormat="1" ht="13.95" customHeight="1">
      <c r="D747" t="s">
        <v>6538</v>
      </c>
      <c r="E747" t="s">
        <v>9420</v>
      </c>
      <c r="F747">
        <v>1064</v>
      </c>
    </row>
    <row r="748" spans="4:9" customFormat="1" ht="13.95" customHeight="1">
      <c r="D748" t="s">
        <v>6538</v>
      </c>
      <c r="E748" t="s">
        <v>9421</v>
      </c>
      <c r="F748">
        <v>509.1</v>
      </c>
    </row>
    <row r="749" spans="4:9" customFormat="1" ht="13.95" customHeight="1">
      <c r="D749" t="s">
        <v>6538</v>
      </c>
      <c r="E749" t="s">
        <v>9422</v>
      </c>
      <c r="F749">
        <v>0</v>
      </c>
    </row>
    <row r="750" spans="4:9" customFormat="1" ht="13.95" customHeight="1">
      <c r="D750" t="s">
        <v>6539</v>
      </c>
      <c r="E750" t="s">
        <v>9314</v>
      </c>
      <c r="F750">
        <v>903.3</v>
      </c>
    </row>
    <row r="751" spans="4:9" customFormat="1" ht="13.95" customHeight="1">
      <c r="D751" t="s">
        <v>6539</v>
      </c>
      <c r="E751" t="s">
        <v>9315</v>
      </c>
      <c r="F751">
        <v>603.9</v>
      </c>
    </row>
    <row r="752" spans="4:9" customFormat="1" ht="13.95" customHeight="1">
      <c r="D752" t="s">
        <v>6539</v>
      </c>
      <c r="E752" t="s">
        <v>9316</v>
      </c>
      <c r="F752">
        <v>896.7</v>
      </c>
    </row>
    <row r="753" spans="4:6" customFormat="1" ht="13.95" customHeight="1">
      <c r="D753" t="s">
        <v>6539</v>
      </c>
      <c r="E753" t="s">
        <v>9317</v>
      </c>
      <c r="F753">
        <v>550.20000000000005</v>
      </c>
    </row>
    <row r="754" spans="4:6" customFormat="1" ht="13.95" customHeight="1">
      <c r="D754" t="s">
        <v>6539</v>
      </c>
      <c r="E754" t="s">
        <v>9320</v>
      </c>
      <c r="F754">
        <v>206.3</v>
      </c>
    </row>
    <row r="755" spans="4:6" customFormat="1" ht="13.95" customHeight="1">
      <c r="D755" t="s">
        <v>6539</v>
      </c>
      <c r="E755" t="s">
        <v>9321</v>
      </c>
      <c r="F755">
        <v>356</v>
      </c>
    </row>
    <row r="756" spans="4:6" customFormat="1" ht="13.95" customHeight="1">
      <c r="D756" t="s">
        <v>6539</v>
      </c>
      <c r="E756" t="s">
        <v>9322</v>
      </c>
      <c r="F756">
        <v>528</v>
      </c>
    </row>
    <row r="757" spans="4:6" customFormat="1" ht="13.95" customHeight="1">
      <c r="D757" t="s">
        <v>6539</v>
      </c>
      <c r="E757" t="s">
        <v>9323</v>
      </c>
      <c r="F757">
        <v>895</v>
      </c>
    </row>
    <row r="758" spans="4:6" customFormat="1" ht="13.95" customHeight="1">
      <c r="D758" t="s">
        <v>6539</v>
      </c>
      <c r="E758" t="s">
        <v>9324</v>
      </c>
      <c r="F758">
        <v>1265.5999999999999</v>
      </c>
    </row>
    <row r="759" spans="4:6" customFormat="1" ht="13.95" customHeight="1">
      <c r="D759" t="s">
        <v>6539</v>
      </c>
      <c r="E759" t="s">
        <v>9325</v>
      </c>
      <c r="F759">
        <v>1150.9000000000001</v>
      </c>
    </row>
    <row r="760" spans="4:6" customFormat="1" ht="13.95" customHeight="1">
      <c r="D760" t="s">
        <v>6539</v>
      </c>
      <c r="E760" t="s">
        <v>9326</v>
      </c>
      <c r="F760">
        <v>687</v>
      </c>
    </row>
    <row r="761" spans="4:6" customFormat="1" ht="13.95" customHeight="1">
      <c r="D761" t="s">
        <v>6539</v>
      </c>
      <c r="E761" t="s">
        <v>9327</v>
      </c>
      <c r="F761">
        <v>198.3</v>
      </c>
    </row>
    <row r="762" spans="4:6" customFormat="1" ht="13.95" customHeight="1">
      <c r="D762" t="s">
        <v>6539</v>
      </c>
      <c r="E762" t="s">
        <v>9411</v>
      </c>
      <c r="F762">
        <v>870.6</v>
      </c>
    </row>
    <row r="763" spans="4:6" customFormat="1" ht="13.95" customHeight="1">
      <c r="D763" t="s">
        <v>6539</v>
      </c>
      <c r="E763" t="s">
        <v>9412</v>
      </c>
      <c r="F763">
        <v>276</v>
      </c>
    </row>
    <row r="764" spans="4:6" customFormat="1" ht="13.95" customHeight="1">
      <c r="D764" t="s">
        <v>6539</v>
      </c>
      <c r="E764" t="s">
        <v>9413</v>
      </c>
      <c r="F764">
        <v>645.1</v>
      </c>
    </row>
    <row r="765" spans="4:6" customFormat="1" ht="13.95" customHeight="1">
      <c r="D765" t="s">
        <v>6539</v>
      </c>
      <c r="E765" t="s">
        <v>9414</v>
      </c>
      <c r="F765">
        <v>1265.4000000000001</v>
      </c>
    </row>
    <row r="766" spans="4:6" customFormat="1" ht="13.95" customHeight="1">
      <c r="D766" t="s">
        <v>6539</v>
      </c>
      <c r="E766" t="s">
        <v>9415</v>
      </c>
      <c r="F766">
        <v>608.9</v>
      </c>
    </row>
    <row r="767" spans="4:6" customFormat="1" ht="13.95" customHeight="1">
      <c r="D767" t="s">
        <v>6539</v>
      </c>
      <c r="E767" t="s">
        <v>9416</v>
      </c>
      <c r="F767">
        <v>731.6</v>
      </c>
    </row>
    <row r="768" spans="4:6" customFormat="1" ht="13.95" customHeight="1">
      <c r="D768" t="s">
        <v>6539</v>
      </c>
      <c r="E768" t="s">
        <v>9417</v>
      </c>
      <c r="F768">
        <v>637.9</v>
      </c>
    </row>
    <row r="769" spans="4:6" customFormat="1" ht="13.95" customHeight="1">
      <c r="D769" t="s">
        <v>6539</v>
      </c>
      <c r="E769" t="s">
        <v>9418</v>
      </c>
      <c r="F769">
        <v>248.8</v>
      </c>
    </row>
    <row r="770" spans="4:6" customFormat="1" ht="13.95" customHeight="1">
      <c r="D770" t="s">
        <v>6539</v>
      </c>
      <c r="E770" t="s">
        <v>9419</v>
      </c>
      <c r="F770">
        <v>0</v>
      </c>
    </row>
    <row r="771" spans="4:6" customFormat="1" ht="13.95" customHeight="1">
      <c r="D771" t="s">
        <v>6539</v>
      </c>
      <c r="E771" t="s">
        <v>9420</v>
      </c>
      <c r="F771">
        <v>43.4</v>
      </c>
    </row>
    <row r="772" spans="4:6" customFormat="1" ht="13.95" customHeight="1">
      <c r="D772" t="s">
        <v>6539</v>
      </c>
      <c r="E772" t="s">
        <v>9421</v>
      </c>
      <c r="F772">
        <v>656.7</v>
      </c>
    </row>
    <row r="773" spans="4:6" customFormat="1" ht="13.95" customHeight="1">
      <c r="D773" t="s">
        <v>6539</v>
      </c>
      <c r="E773" t="s">
        <v>9422</v>
      </c>
      <c r="F773">
        <v>0</v>
      </c>
    </row>
    <row r="774" spans="4:6" customFormat="1"/>
    <row r="775" spans="4:6" customFormat="1"/>
    <row r="776" spans="4:6" customFormat="1"/>
    <row r="777" spans="4:6" customFormat="1"/>
    <row r="778" spans="4:6" customFormat="1"/>
    <row r="779" spans="4:6" customFormat="1"/>
    <row r="780" spans="4:6" customFormat="1"/>
    <row r="781" spans="4:6" customFormat="1"/>
    <row r="782" spans="4:6" customFormat="1"/>
    <row r="783" spans="4:6" customFormat="1"/>
    <row r="784" spans="4:6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4133</v>
      </c>
    </row>
    <row r="3" spans="1:18">
      <c r="I3" s="3816" t="s">
        <v>4134</v>
      </c>
      <c r="J3" s="3817"/>
    </row>
    <row r="4" spans="1:18">
      <c r="A4" s="53" t="s">
        <v>4135</v>
      </c>
    </row>
    <row r="6" spans="1:18" ht="21.6">
      <c r="K6" s="1345" t="s">
        <v>4136</v>
      </c>
      <c r="L6" s="1342">
        <v>3.1</v>
      </c>
      <c r="M6" s="1343">
        <v>2.7</v>
      </c>
      <c r="N6" s="1344">
        <v>7.7</v>
      </c>
      <c r="O6" s="502" t="s">
        <v>4137</v>
      </c>
    </row>
    <row r="7" spans="1:18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7.399999999999999">
      <c r="A8" s="263" t="s">
        <v>4147</v>
      </c>
      <c r="B8" s="141" t="s">
        <v>4148</v>
      </c>
      <c r="C8" s="281" t="s">
        <v>4149</v>
      </c>
      <c r="D8" s="2312">
        <v>1.5</v>
      </c>
      <c r="E8" s="143"/>
      <c r="F8" s="143"/>
      <c r="G8" s="143"/>
      <c r="H8" s="141" t="s">
        <v>4150</v>
      </c>
      <c r="I8" s="2307" t="s">
        <v>4151</v>
      </c>
      <c r="J8" s="2308" t="s">
        <v>4152</v>
      </c>
      <c r="K8" s="141" t="s">
        <v>4150</v>
      </c>
      <c r="L8" s="2312">
        <v>1.6</v>
      </c>
      <c r="M8" s="143"/>
      <c r="N8" s="143"/>
      <c r="O8" s="143"/>
      <c r="P8" s="141" t="s">
        <v>4153</v>
      </c>
      <c r="Q8" s="281" t="s">
        <v>4149</v>
      </c>
      <c r="R8" s="2320" t="s">
        <v>4154</v>
      </c>
    </row>
    <row r="9" spans="1:18" ht="17.399999999999999">
      <c r="A9" s="263" t="s">
        <v>4155</v>
      </c>
      <c r="B9" s="142" t="s">
        <v>4148</v>
      </c>
      <c r="C9" s="281" t="s">
        <v>4149</v>
      </c>
      <c r="D9" s="148"/>
      <c r="E9" s="2313">
        <v>1.2</v>
      </c>
      <c r="F9" s="148"/>
      <c r="G9" s="148"/>
      <c r="H9" s="142" t="s">
        <v>4150</v>
      </c>
      <c r="I9" s="2309" t="s">
        <v>4156</v>
      </c>
      <c r="J9" s="2310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21" t="s">
        <v>4159</v>
      </c>
    </row>
    <row r="10" spans="1:18" ht="17.399999999999999">
      <c r="A10" s="263" t="s">
        <v>4160</v>
      </c>
      <c r="B10" s="142" t="s">
        <v>4148</v>
      </c>
      <c r="C10" s="281" t="s">
        <v>4149</v>
      </c>
      <c r="D10" s="156"/>
      <c r="E10" s="156"/>
      <c r="F10" s="2314">
        <v>2.2000000000000002</v>
      </c>
      <c r="G10" s="156"/>
      <c r="H10" s="142" t="s">
        <v>4150</v>
      </c>
      <c r="I10" s="2309" t="s">
        <v>4161</v>
      </c>
      <c r="J10" s="2310" t="s">
        <v>4162</v>
      </c>
      <c r="K10" s="142" t="s">
        <v>4150</v>
      </c>
      <c r="L10" s="156"/>
      <c r="M10" s="156"/>
      <c r="N10" s="2314">
        <v>3</v>
      </c>
      <c r="O10" s="156"/>
      <c r="P10" s="142" t="s">
        <v>4153</v>
      </c>
      <c r="Q10" s="281" t="s">
        <v>4149</v>
      </c>
      <c r="R10" s="2321" t="s">
        <v>4163</v>
      </c>
    </row>
    <row r="11" spans="1:18" ht="17.399999999999999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309" t="s">
        <v>4166</v>
      </c>
      <c r="J11" s="2310" t="s">
        <v>4167</v>
      </c>
      <c r="K11" s="142" t="s">
        <v>4150</v>
      </c>
      <c r="L11" s="2314">
        <v>0</v>
      </c>
      <c r="M11" s="156"/>
      <c r="N11" s="156"/>
      <c r="O11" s="156"/>
      <c r="P11" s="142" t="s">
        <v>4148</v>
      </c>
      <c r="Q11" s="281" t="s">
        <v>4149</v>
      </c>
      <c r="R11" s="2321" t="s">
        <v>4168</v>
      </c>
    </row>
    <row r="12" spans="1:18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309" t="s">
        <v>4169</v>
      </c>
      <c r="J12" s="2310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21"/>
    </row>
    <row r="13" spans="1:18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309" t="s">
        <v>4172</v>
      </c>
      <c r="J13" s="2310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21"/>
    </row>
    <row r="14" spans="1:18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309" t="s">
        <v>4174</v>
      </c>
      <c r="J14" s="2310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21"/>
    </row>
    <row r="15" spans="1:18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309" t="s">
        <v>4176</v>
      </c>
      <c r="J15" s="2310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21"/>
    </row>
    <row r="16" spans="1:18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309" t="s">
        <v>4178</v>
      </c>
      <c r="J16" s="2310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21" t="s">
        <v>4180</v>
      </c>
    </row>
    <row r="17" spans="1:18" ht="17.399999999999999">
      <c r="A17" s="256" t="s">
        <v>4181</v>
      </c>
      <c r="B17" s="142" t="s">
        <v>4148</v>
      </c>
      <c r="C17" s="281" t="s">
        <v>4149</v>
      </c>
      <c r="D17" s="2313">
        <v>0</v>
      </c>
      <c r="E17" s="148"/>
      <c r="F17" s="148"/>
      <c r="G17" s="156"/>
      <c r="H17" s="142" t="s">
        <v>4171</v>
      </c>
      <c r="I17" s="2309" t="s">
        <v>4182</v>
      </c>
      <c r="J17" s="2311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21" t="s">
        <v>4184</v>
      </c>
    </row>
    <row r="18" spans="1:18" ht="17.399999999999999">
      <c r="A18" s="256" t="s">
        <v>4185</v>
      </c>
      <c r="B18" s="142" t="s">
        <v>4148</v>
      </c>
      <c r="C18" s="281" t="s">
        <v>4149</v>
      </c>
      <c r="D18" s="156"/>
      <c r="E18" s="2314">
        <v>1.7</v>
      </c>
      <c r="F18" s="156"/>
      <c r="G18" s="156"/>
      <c r="H18" s="142" t="s">
        <v>4171</v>
      </c>
      <c r="I18" s="2309" t="s">
        <v>4186</v>
      </c>
      <c r="J18" s="2311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21" t="s">
        <v>4188</v>
      </c>
    </row>
    <row r="19" spans="1:18" ht="17.399999999999999">
      <c r="A19" s="256" t="s">
        <v>4189</v>
      </c>
      <c r="B19" s="142" t="s">
        <v>4148</v>
      </c>
      <c r="C19" s="281" t="s">
        <v>4149</v>
      </c>
      <c r="D19" s="156"/>
      <c r="E19" s="156"/>
      <c r="F19" s="2314">
        <v>2.6</v>
      </c>
      <c r="G19" s="156"/>
      <c r="H19" s="142" t="s">
        <v>4171</v>
      </c>
      <c r="I19" s="2309" t="s">
        <v>4186</v>
      </c>
      <c r="J19" s="2311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21" t="s">
        <v>4190</v>
      </c>
    </row>
    <row r="20" spans="1:18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816" t="s">
        <v>4134</v>
      </c>
      <c r="J25" s="3817"/>
    </row>
    <row r="26" spans="1:18">
      <c r="A26" s="53" t="s">
        <v>4192</v>
      </c>
    </row>
    <row r="28" spans="1:18" ht="21.6">
      <c r="K28" s="1345" t="s">
        <v>4136</v>
      </c>
      <c r="L28" s="1342">
        <v>2.2999999999999998</v>
      </c>
      <c r="M28" s="1343">
        <v>2.2000000000000002</v>
      </c>
      <c r="N28" s="1344">
        <v>7.3</v>
      </c>
      <c r="O28" s="502" t="s">
        <v>4137</v>
      </c>
    </row>
    <row r="29" spans="1:18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7.399999999999999">
      <c r="A30" s="2315" t="s">
        <v>4193</v>
      </c>
      <c r="B30" s="141" t="s">
        <v>4148</v>
      </c>
      <c r="C30" s="281" t="s">
        <v>4149</v>
      </c>
      <c r="D30" s="2312">
        <v>0.3</v>
      </c>
      <c r="E30" s="2312">
        <v>0.3</v>
      </c>
      <c r="F30" s="2312">
        <v>0.3</v>
      </c>
      <c r="G30" s="2312">
        <v>0.1</v>
      </c>
      <c r="H30" s="141" t="s">
        <v>4194</v>
      </c>
      <c r="I30" s="2307" t="s">
        <v>4151</v>
      </c>
      <c r="J30" s="2308" t="s">
        <v>4152</v>
      </c>
      <c r="K30" s="141" t="s">
        <v>4194</v>
      </c>
      <c r="L30" s="2312">
        <v>2.6</v>
      </c>
      <c r="M30" s="2312">
        <v>2.6</v>
      </c>
      <c r="N30" s="2312">
        <v>2.7</v>
      </c>
      <c r="O30" s="2312">
        <v>0.1</v>
      </c>
      <c r="P30" s="141" t="s">
        <v>4153</v>
      </c>
      <c r="Q30" s="281" t="s">
        <v>4149</v>
      </c>
      <c r="R30" s="2318" t="s">
        <v>4195</v>
      </c>
    </row>
    <row r="31" spans="1:18" ht="17.399999999999999">
      <c r="A31" s="2316" t="s">
        <v>4196</v>
      </c>
      <c r="B31" s="142" t="s">
        <v>4148</v>
      </c>
      <c r="C31" s="281" t="s">
        <v>4149</v>
      </c>
      <c r="D31" s="2313">
        <v>0.2</v>
      </c>
      <c r="E31" s="148"/>
      <c r="F31" s="148"/>
      <c r="G31" s="148"/>
      <c r="H31" s="142" t="s">
        <v>4150</v>
      </c>
      <c r="I31" s="2309" t="s">
        <v>4156</v>
      </c>
      <c r="J31" s="2310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19"/>
    </row>
    <row r="32" spans="1:18" ht="17.399999999999999">
      <c r="A32" s="2316" t="s">
        <v>4197</v>
      </c>
      <c r="B32" s="142" t="s">
        <v>4148</v>
      </c>
      <c r="C32" s="281" t="s">
        <v>4149</v>
      </c>
      <c r="D32" s="156"/>
      <c r="E32" s="2314">
        <v>0</v>
      </c>
      <c r="F32" s="156"/>
      <c r="G32" s="156"/>
      <c r="H32" s="142" t="s">
        <v>4150</v>
      </c>
      <c r="I32" s="2309" t="s">
        <v>4161</v>
      </c>
      <c r="J32" s="2310" t="s">
        <v>4162</v>
      </c>
      <c r="K32" s="142" t="s">
        <v>4150</v>
      </c>
      <c r="L32" s="156"/>
      <c r="M32" s="2314">
        <v>0.3</v>
      </c>
      <c r="N32" s="156"/>
      <c r="O32" s="156"/>
      <c r="P32" s="142" t="s">
        <v>4153</v>
      </c>
      <c r="Q32" s="281" t="s">
        <v>4149</v>
      </c>
      <c r="R32" s="2319" t="s">
        <v>4198</v>
      </c>
    </row>
    <row r="33" spans="1:18" ht="17.399999999999999">
      <c r="A33" s="2317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309" t="s">
        <v>4166</v>
      </c>
      <c r="J33" s="2310" t="s">
        <v>4167</v>
      </c>
      <c r="K33" s="142" t="s">
        <v>4150</v>
      </c>
      <c r="L33" s="156"/>
      <c r="M33" s="156"/>
      <c r="N33" s="2314">
        <v>5.4</v>
      </c>
      <c r="O33" s="156"/>
      <c r="P33" s="142" t="s">
        <v>4148</v>
      </c>
      <c r="Q33" s="281" t="s">
        <v>4149</v>
      </c>
      <c r="R33" s="2319" t="s">
        <v>4199</v>
      </c>
    </row>
    <row r="34" spans="1:18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84" t="s">
        <v>9312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6591</v>
      </c>
      <c r="D3" s="3818" t="s">
        <v>8552</v>
      </c>
      <c r="E3" s="3818"/>
      <c r="F3" s="3818"/>
      <c r="G3" s="3818"/>
      <c r="H3" s="489"/>
      <c r="I3" s="123"/>
      <c r="J3" s="3819" t="s">
        <v>4201</v>
      </c>
      <c r="K3" s="382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4136</v>
      </c>
      <c r="N4" s="1342">
        <v>26</v>
      </c>
      <c r="O4" s="1343">
        <v>14</v>
      </c>
      <c r="P4" s="1344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4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4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5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5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6" cm="1">
        <f t="array" ref="F8">INDEX('7층_부하량'!E3:E3000,MATCH(1,("7-DaHall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6" cm="1">
        <f t="array" ref="P8">INDEX('7층_부하량'!E3:E3000,MATCH(1,("7-DaHall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6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6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6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6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6" cm="1">
        <f t="array" ref="F11">INDEX('7층_부하량'!E3:E3000,MATCH(1,("7-DaHall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6" cm="1">
        <f t="array" ref="P11">INDEX('7층_부하량'!E3:E3000,MATCH(1,("7-DaHall 1-RPP-01"='7층_부하량'!A3:A3000)*(12='7층_부하량'!B3:B3000),0))</f>
        <v>3.4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6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6" cm="1">
        <f t="array" ref="N12">INDEX('7층_부하량'!C3:C3000,MATCH(1,("7-DaHall 1-RPP-01"='7층_부하량'!A3:A3000)*(14='7층_부하량'!B3:B3000),0))</f>
        <v>6.27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6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6" cm="1">
        <f t="array" ref="O13">INDEX('7층_부하량'!D3:D3000,MATCH(1,("7-DaHall 1-RPP-01"='7층_부하량'!A3:A3000)*(16='7층_부하량'!B3:B3000),0))</f>
        <v>2.56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7" cm="1">
        <f t="array" ref="F14">INDEX('7층_부하량'!E3:E3000,MATCH(1,("7-DaHall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9" t="s">
        <v>4240</v>
      </c>
      <c r="L14" s="475" t="s">
        <v>4179</v>
      </c>
      <c r="M14" s="535" t="s">
        <v>4171</v>
      </c>
      <c r="N14" s="156"/>
      <c r="O14" s="156"/>
      <c r="P14" s="2546" cm="1">
        <f t="array" ref="P14">INDEX('7층_부하량'!E3:E3000,MATCH(1,("7-DaHall 1-RPP-01"='7층_부하량'!A3:A3000)*(18='7층_부하량'!B3:B3000),0))</f>
        <v>1.27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6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6" cm="1">
        <f t="array" ref="N15">INDEX('7층_부하량'!C3:C3000,MATCH(1,("7-DaHall 1-RPP-01"='7층_부하량'!A3:A3000)*(20='7층_부하량'!B3:B3000),0))</f>
        <v>1.49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6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6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6" cm="1">
        <f t="array" ref="F17">INDEX('7층_부하량'!E3:E3000,MATCH(1,("7-DaHall 1-RPP-01"='7층_부하량'!A3:A3000)*(23='7층_부하량'!B3:B3000),0))</f>
        <v>1.44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6" cm="1">
        <f t="array" ref="P17">INDEX('7층_부하량'!E3:E3000,MATCH(1,("7-DaHall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6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6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6" cm="1">
        <f t="array" ref="E19">INDEX('7층_부하량'!D3:D3000,MATCH(1,("7-DaHall 1-RPP-01"='7층_부하량'!A3:A3000)*(27='7층_부하량'!B3:B3000),0))</f>
        <v>3.1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6" cm="1">
        <f t="array" ref="O19">INDEX('7층_부하량'!D3:D3000,MATCH(1,("7-DaHall 1-RPP-01"='7층_부하량'!A3:A3000)*(28='7층_부하량'!B3:B3000),0))</f>
        <v>0.86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8" cm="1">
        <f t="array" ref="F20">INDEX('7층_부하량'!E3:E3000,MATCH(1,("7-DaHall 1-RPP-01"='7층_부하량'!A3:A3000)*(29='7층_부하량'!B3:B3000),0))</f>
        <v>4.04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8" cm="1">
        <f t="array" ref="P20">INDEX('7층_부하량'!E3:E3000,MATCH(1,("7-DaHall 1-RPP-01"='7층_부하량'!A3:A3000)*(30='7층_부하량'!B3:B3000),0))</f>
        <v>3.69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6" cm="1">
        <f t="array" ref="D21">INDEX('7층_부하량'!C3:C3000,MATCH(1,("7-DaHall 1-RPP-01"='7층_부하량'!A3:A3000)*(31='7층_부하량'!B3:B3000),0))</f>
        <v>5.16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6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6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6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6" cm="1">
        <f t="array" ref="F23">INDEX('7층_부하량'!E3:E3000,MATCH(1,("7-DaHall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6" cm="1">
        <f t="array" ref="P23">INDEX('7층_부하량'!E3:E3000,MATCH(1,("7-DaHall 1-RPP-01"='7층_부하량'!A3:A3000)*(36='7층_부하량'!B3:B3000),0))</f>
        <v>2.2200000000000002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6" cm="1">
        <f t="array" ref="D24">INDEX('7층_부하량'!C3:C3000,MATCH(1,("7-DaHall 1-RPP-01"='7층_부하량'!A3:A3000)*(37='7층_부하량'!B3:B3000),0))</f>
        <v>4.53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6" cm="1">
        <f t="array" ref="N24">INDEX('7층_부하량'!C3:C3000,MATCH(1,("7-DaHall 1-RPP-01"='7층_부하량'!A3:A3000)*(38='7층_부하량'!B3:B3000),0))</f>
        <v>0.82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9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9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23.139999999999997</v>
      </c>
      <c r="O26" s="130">
        <f>SUM(E6:E25,O6:O25)</f>
        <v>12.89</v>
      </c>
      <c r="P26" s="130">
        <f>SUM(F6:F25,P6:P25)</f>
        <v>16.059999999999999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818" t="s">
        <v>8553</v>
      </c>
      <c r="E28" s="3818"/>
      <c r="F28" s="3818"/>
      <c r="G28" s="3818"/>
      <c r="H28" s="498"/>
      <c r="I28" s="132"/>
      <c r="J28" s="3821" t="s">
        <v>4288</v>
      </c>
      <c r="K28" s="382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4136</v>
      </c>
      <c r="N29" s="1342">
        <v>30.2</v>
      </c>
      <c r="O29" s="1343">
        <v>45.2</v>
      </c>
      <c r="P29" s="1344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4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4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50" cm="1">
        <f t="array" ref="F32">INDEX('7층_부하량'!E3:E3000,MATCH(1,("7-DaHall 1-PDU-02"='7층_부하량'!A3:A3000)*(3='7층_부하량'!B3:B3000),0))</f>
        <v>5.19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5" cm="1">
        <f t="array" ref="P32">INDEX('7층_부하량'!E3:E3000,MATCH(1,("7-DaHall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6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6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6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6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6" cm="1">
        <f t="array" ref="F35">INDEX('7층_부하량'!E3:E3000,MATCH(1,("7-DaHall 1-PDU-02"='7층_부하량'!A3:A3000)*(9='7층_부하량'!B3:B3000),0))</f>
        <v>4.46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6" cm="1">
        <f t="array" ref="P35">INDEX('7층_부하량'!E3:E3000,MATCH(1,("7-DaHall 1-PDU-02"='7층_부하량'!A3:A3000)*(10='7층_부하량'!B3:B3000),0))</f>
        <v>3.2800000000000002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6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6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6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6" cm="1">
        <f t="array" ref="O37">INDEX('7층_부하량'!D3:D3000,MATCH(1,("7-DaHall 1-PDU-02"='7층_부하량'!A3:A3000)*(14='7층_부하량'!B3:B3000),0))</f>
        <v>2.99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6" cm="1">
        <f t="array" ref="F38">INDEX('7층_부하량'!E3:E3000,MATCH(1,("7-DaHall 1-PDU-02"='7층_부하량'!A3:A3000)*(15='7층_부하량'!B3:B3000),0))</f>
        <v>1.08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6" cm="1">
        <f t="array" ref="P38">INDEX('7층_부하량'!E3:E3000,MATCH(1,("7-DaHall 1-PDU-02"='7층_부하량'!A3:A3000)*(16='7층_부하량'!B3:B3000),0))</f>
        <v>2.92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6" cm="1">
        <f t="array" ref="D39">INDEX('7층_부하량'!C3:C3000,MATCH(1,("7-DaHall 1-PDU-02"='7층_부하량'!A3:A3000)*(17='7층_부하량'!B3:B3000),0))</f>
        <v>3.2800000000000002</v>
      </c>
      <c r="E39" s="156"/>
      <c r="F39" s="156"/>
      <c r="G39" s="156"/>
      <c r="H39" s="535" t="s">
        <v>4171</v>
      </c>
      <c r="I39" s="475" t="s">
        <v>4238</v>
      </c>
      <c r="J39" s="153"/>
      <c r="K39" s="1199" t="s">
        <v>4313</v>
      </c>
      <c r="L39" s="482" t="s">
        <v>4179</v>
      </c>
      <c r="M39" s="535" t="s">
        <v>4171</v>
      </c>
      <c r="N39" s="2546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4204</v>
      </c>
      <c r="S39" s="163" t="s">
        <v>4149</v>
      </c>
      <c r="T39" s="1201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6" cm="1">
        <f t="array" ref="E40">INDEX('7층_부하량'!D3:D3000,MATCH(1,("7-DaHall 1-PDU-02"='7층_부하량'!A3:A3000)*(19='7층_부하량'!B3:B3000),0))</f>
        <v>8.66</v>
      </c>
      <c r="F40" s="156"/>
      <c r="G40" s="156"/>
      <c r="H40" s="535" t="s">
        <v>4171</v>
      </c>
      <c r="I40" s="475" t="s">
        <v>4243</v>
      </c>
      <c r="J40" s="153"/>
      <c r="K40" s="1199" t="s">
        <v>4316</v>
      </c>
      <c r="L40" s="482" t="s">
        <v>4183</v>
      </c>
      <c r="M40" s="535" t="s">
        <v>4171</v>
      </c>
      <c r="N40" s="156"/>
      <c r="O40" s="2546" cm="1">
        <f t="array" ref="O40">INDEX('7층_부하량'!D3:D3000,MATCH(1,("7-DaHall 1-PDU-02"='7층_부하량'!A3:A3000)*(20='7층_부하량'!B3:B3000),0))</f>
        <v>1.96</v>
      </c>
      <c r="P40" s="156"/>
      <c r="Q40" s="156"/>
      <c r="R40" s="156" t="s">
        <v>4204</v>
      </c>
      <c r="S40" s="281" t="s">
        <v>4149</v>
      </c>
      <c r="T40" s="1201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6" cm="1">
        <f t="array" ref="F41">INDEX('7층_부하량'!E3:E3000,MATCH(1,("7-DaHall 1-PDU-02"='7층_부하량'!A3:A3000)*(21='7층_부하량'!B3:B3000),0))</f>
        <v>3.86</v>
      </c>
      <c r="G41" s="156"/>
      <c r="H41" s="535" t="s">
        <v>4171</v>
      </c>
      <c r="I41" s="475" t="s">
        <v>4247</v>
      </c>
      <c r="J41" s="153"/>
      <c r="K41" s="1199" t="s">
        <v>4319</v>
      </c>
      <c r="L41" s="482" t="s">
        <v>4187</v>
      </c>
      <c r="M41" s="535" t="s">
        <v>4171</v>
      </c>
      <c r="N41" s="156"/>
      <c r="O41" s="156"/>
      <c r="P41" s="2546" cm="1">
        <f t="array" ref="P41">INDEX('7층_부하량'!E3:E3000,MATCH(1,("7-DaHall 1-PDU-02"='7층_부하량'!A3:A3000)*(22='7층_부하량'!B3:B3000),0))</f>
        <v>1.95</v>
      </c>
      <c r="Q41" s="156"/>
      <c r="R41" s="156" t="s">
        <v>4204</v>
      </c>
      <c r="S41" s="281" t="s">
        <v>4149</v>
      </c>
      <c r="T41" s="1201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6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4171</v>
      </c>
      <c r="I42" s="475" t="s">
        <v>4251</v>
      </c>
      <c r="J42" s="153"/>
      <c r="K42" s="1199" t="s">
        <v>4322</v>
      </c>
      <c r="L42" s="482" t="s">
        <v>4253</v>
      </c>
      <c r="M42" s="535" t="s">
        <v>4171</v>
      </c>
      <c r="N42" s="2546" cm="1">
        <f t="array" ref="N42">INDEX('7층_부하량'!C3:C3000,MATCH(1,("7-DaHall 1-PDU-02"='7층_부하량'!A3:A3000)*(24='7층_부하량'!B3:B3000),0))</f>
        <v>2.2000000000000002</v>
      </c>
      <c r="O42" s="156"/>
      <c r="P42" s="156"/>
      <c r="Q42" s="156"/>
      <c r="R42" s="156" t="s">
        <v>4204</v>
      </c>
      <c r="S42" s="281" t="s">
        <v>4149</v>
      </c>
      <c r="T42" s="1201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6" cm="1">
        <f t="array" ref="E43">INDEX('7층_부하량'!D3:D3000,MATCH(1,("7-DaHall 1-PDU-02"='7층_부하량'!A3:A3000)*(25='7층_부하량'!B3:B3000),0))</f>
        <v>1.46</v>
      </c>
      <c r="F43" s="156"/>
      <c r="G43" s="156"/>
      <c r="H43" s="535" t="s">
        <v>4171</v>
      </c>
      <c r="I43" s="475" t="s">
        <v>4256</v>
      </c>
      <c r="J43" s="153"/>
      <c r="K43" s="1199" t="s">
        <v>4325</v>
      </c>
      <c r="L43" s="482" t="s">
        <v>4258</v>
      </c>
      <c r="M43" s="535" t="s">
        <v>4171</v>
      </c>
      <c r="N43" s="156"/>
      <c r="O43" s="2546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4204</v>
      </c>
      <c r="S43" s="281" t="s">
        <v>4149</v>
      </c>
      <c r="T43" s="1201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51" cm="1">
        <f t="array" ref="F44">INDEX('7층_부하량'!E3:E3000,MATCH(1,("7-DaHall 1-PDU-02"='7층_부하량'!A3:A3000)*(27='7층_부하량'!B3:B3000),0))</f>
        <v>3.58</v>
      </c>
      <c r="G44" s="176"/>
      <c r="H44" s="538" t="s">
        <v>4171</v>
      </c>
      <c r="I44" s="478" t="s">
        <v>4261</v>
      </c>
      <c r="J44" s="177"/>
      <c r="K44" s="1200" t="s">
        <v>4328</v>
      </c>
      <c r="L44" s="483" t="s">
        <v>4262</v>
      </c>
      <c r="M44" s="538" t="s">
        <v>4171</v>
      </c>
      <c r="N44" s="176"/>
      <c r="O44" s="176"/>
      <c r="P44" s="2551" cm="1">
        <f t="array" ref="P44">INDEX('7층_부하량'!E3:E3000,MATCH(1,("7-DaHall 1-PDU-02"='7층_부하량'!A3:A3000)*(28='7층_부하량'!B3:B3000),0))</f>
        <v>5.72</v>
      </c>
      <c r="Q44" s="176"/>
      <c r="R44" s="176" t="s">
        <v>4204</v>
      </c>
      <c r="S44" s="470" t="s">
        <v>4149</v>
      </c>
      <c r="T44" s="1202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7" t="s">
        <v>4149</v>
      </c>
      <c r="D45" s="2546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4171</v>
      </c>
      <c r="I45" s="476" t="s">
        <v>4264</v>
      </c>
      <c r="J45" s="2338" t="s">
        <v>4240</v>
      </c>
      <c r="K45" s="518" t="s">
        <v>4331</v>
      </c>
      <c r="L45" s="484" t="s">
        <v>4265</v>
      </c>
      <c r="M45" s="536" t="s">
        <v>4171</v>
      </c>
      <c r="N45" s="2546" cm="1">
        <f t="array" ref="N45">INDEX('7층_부하량'!C3:C3000,MATCH(1,("7-DaHall 1-PDU-02"='7층_부하량'!A3:A3000)*(30='7층_부하량'!B3:B3000),0))</f>
        <v>0.52</v>
      </c>
      <c r="O45" s="178"/>
      <c r="P45" s="178"/>
      <c r="Q45" s="178"/>
      <c r="R45" s="156" t="s">
        <v>4204</v>
      </c>
      <c r="S45" s="281" t="s">
        <v>4149</v>
      </c>
      <c r="T45" s="1352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6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6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6" cm="1">
        <f t="array" ref="F47">INDEX('7층_부하량'!E3:E3000,MATCH(1,("7-DaHall 1-PDU-02"='7층_부하량'!A3:A3000)*(33='7층_부하량'!B3:B3000),0))</f>
        <v>8.1999999999999993</v>
      </c>
      <c r="G47" s="156"/>
      <c r="H47" s="535" t="s">
        <v>4171</v>
      </c>
      <c r="I47" s="475" t="s">
        <v>4270</v>
      </c>
      <c r="J47" s="651" t="s">
        <v>4334</v>
      </c>
      <c r="K47" s="1363" t="s">
        <v>4339</v>
      </c>
      <c r="L47" s="482" t="s">
        <v>4271</v>
      </c>
      <c r="M47" s="535" t="s">
        <v>4171</v>
      </c>
      <c r="N47" s="156"/>
      <c r="O47" s="156"/>
      <c r="P47" s="2546" cm="1">
        <f t="array" ref="P47">INDEX('7층_부하량'!E3:E3000,MATCH(1,("7-DaHall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6" cm="1">
        <f t="array" ref="D48">INDEX('7층_부하량'!C3:C3000,MATCH(1,("7-DaHall 1-PDU-02"='7층_부하량'!A3:A3000)*(35='7층_부하량'!B3:B3000),0))</f>
        <v>6.43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6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6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6" cm="1">
        <f t="array" ref="O49">INDEX('7층_부하량'!D3:D3000,MATCH(1,("7-DaHall 1-PDU-02"='7층_부하량'!A3:A3000)*(38='7층_부하량'!B3:B3000),0))</f>
        <v>3.83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6" cm="1">
        <f t="array" ref="F50">INDEX('7층_부하량'!E3:E3000,MATCH(1,("7-DaHall 1-PDU-02"='7층_부하량'!A3:A3000)*(39='7층_부하량'!B3:B3000),0))</f>
        <v>1.83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6" cm="1">
        <f t="array" ref="P50">INDEX('7층_부하량'!E3:E3000,MATCH(1,("7-DaHall 1-PDU-02"='7층_부하량'!A3:A3000)*(40='7층_부하량'!B3:B3000),0))</f>
        <v>2.91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6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6" cm="1">
        <f t="array" ref="N51">INDEX('7층_부하량'!C3:C3000,MATCH(1,("7-DaHall 1-PDU-02"='7층_부하량'!A3:A3000)*(42='7층_부하량'!B3:B3000),0))</f>
        <v>3.68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6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6" cm="1">
        <f t="array" ref="O52">INDEX('7층_부하량'!D3:D3000,MATCH(1,("7-DaHall 1-PDU-02"='7층_부하량'!A3:A3000)*(44='7층_부하량'!B3:B3000),0))</f>
        <v>1.26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8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6" cm="1">
        <f t="array" ref="F53">INDEX('7층_부하량'!E3:E3000,MATCH(1,("7-DaHall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6" cm="1">
        <f t="array" ref="P53">INDEX('7층_부하량'!E3:E3000,MATCH(1,("7-DaHall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6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6" cm="1">
        <f t="array" ref="N54">INDEX('7층_부하량'!C3:C3000,MATCH(1,("7-DaHall 1-PDU-02"='7층_부하량'!A3:A3000)*(48='7층_부하량'!B3:B3000),0))</f>
        <v>1.1599999999999999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4" t="s">
        <v>1116</v>
      </c>
      <c r="B55" s="156" t="s">
        <v>4153</v>
      </c>
      <c r="C55" s="281" t="s">
        <v>4149</v>
      </c>
      <c r="D55" s="156"/>
      <c r="E55" s="2546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4171</v>
      </c>
      <c r="I55" s="475" t="s">
        <v>4360</v>
      </c>
      <c r="J55" s="2245" t="s">
        <v>4361</v>
      </c>
      <c r="K55" s="517"/>
      <c r="L55" s="482" t="s">
        <v>4362</v>
      </c>
      <c r="M55" s="535" t="s">
        <v>4171</v>
      </c>
      <c r="N55" s="156"/>
      <c r="O55" s="2545" cm="1">
        <f t="array" ref="O55">INDEX('7층_부하량'!D3:D3000,MATCH(1,("7-DaHall 1-PDU-02"='7층_부하량'!A3:A3000)*(50='7층_부하량'!B3:B3000),0))</f>
        <v>3.21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4" t="s">
        <v>1118</v>
      </c>
      <c r="B56" s="156" t="s">
        <v>4153</v>
      </c>
      <c r="C56" s="281" t="s">
        <v>4149</v>
      </c>
      <c r="D56" s="156"/>
      <c r="E56" s="156"/>
      <c r="F56" s="2546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4171</v>
      </c>
      <c r="I56" s="475" t="s">
        <v>4364</v>
      </c>
      <c r="J56" s="2245" t="s">
        <v>4365</v>
      </c>
      <c r="K56" s="517"/>
      <c r="L56" s="482" t="s">
        <v>4366</v>
      </c>
      <c r="M56" s="535" t="s">
        <v>4171</v>
      </c>
      <c r="N56" s="156"/>
      <c r="O56" s="156"/>
      <c r="P56" s="2545" cm="1">
        <f t="array" ref="P56">INDEX('7층_부하량'!E3:E3000,MATCH(1,("7-DaHall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9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9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28.919999999999998</v>
      </c>
      <c r="O58" s="130">
        <f>SUM(E31:E57,O31:O57)</f>
        <v>44.279999999999994</v>
      </c>
      <c r="P58" s="130">
        <f>SUM(P31:P57,F31:F57)</f>
        <v>45.53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818" t="s">
        <v>8554</v>
      </c>
      <c r="E60" s="3818"/>
      <c r="F60" s="3818"/>
      <c r="G60" s="3818"/>
      <c r="H60" s="498"/>
      <c r="I60" s="132"/>
      <c r="J60" s="3821" t="s">
        <v>4288</v>
      </c>
      <c r="K60" s="382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4136</v>
      </c>
      <c r="N61" s="1342">
        <v>33.4</v>
      </c>
      <c r="O61" s="1343">
        <v>43.4</v>
      </c>
      <c r="P61" s="1344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4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4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50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5" cm="1">
        <f t="array" ref="P64">INDEX('7층_부하량'!E3:E3000,MATCH(1,("7-DaHall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6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6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6" cm="1">
        <f t="array" ref="E66">INDEX('7층_부하량'!D3:D3000,MATCH(1,("7-DaHall 1-PDU-01"='7층_부하량'!A3:A3000)*(7='7층_부하량'!B3:B3000),0))</f>
        <v>5.93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6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6" cm="1">
        <f t="array" ref="F67">INDEX('7층_부하량'!E3:E3000,MATCH(1,("7-DaHall 1-PDU-01"='7층_부하량'!A3:A3000)*(9='7층_부하량'!B3:B3000),0))</f>
        <v>5.65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6" cm="1">
        <f t="array" ref="P67">INDEX('7층_부하량'!E3:E3000,MATCH(1,("7-DaHall 1-PDU-01"='7층_부하량'!A3:A3000)*(10='7층_부하량'!B3:B3000),0))</f>
        <v>2.52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6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6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6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6" cm="1">
        <f t="array" ref="O69">INDEX('7층_부하량'!D3:D3000,MATCH(1,("7-DaHall 1-PDU-01"='7층_부하량'!A3:A3000)*(14='7층_부하량'!B3:B3000),0))</f>
        <v>3.69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6" cm="1">
        <f t="array" ref="F70">INDEX('7층_부하량'!E3:E3000,MATCH(1,("7-DaHall 1-PDU-01"='7층_부하량'!A3:A3000)*(15='7층_부하량'!B3:B3000),0))</f>
        <v>0.75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6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6" cm="1">
        <f t="array" ref="D71">INDEX('7층_부하량'!C3:C3000,MATCH(1,("7-DaHall 1-PDU-01"='7층_부하량'!A3:A3000)*(17='7층_부하량'!B3:B3000),0))</f>
        <v>2.75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9" t="s">
        <v>4313</v>
      </c>
      <c r="L71" s="482" t="s">
        <v>4179</v>
      </c>
      <c r="M71" s="535" t="s">
        <v>4171</v>
      </c>
      <c r="N71" s="2546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4204</v>
      </c>
      <c r="S71" s="163" t="s">
        <v>4149</v>
      </c>
      <c r="T71" s="1201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6" cm="1">
        <f t="array" ref="E72">INDEX('7층_부하량'!D3:D3000,MATCH(1,("7-DaHall 1-PDU-01"='7층_부하량'!A3:A3000)*(19='7층_부하량'!B3:B3000),0))</f>
        <v>3.86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9" t="s">
        <v>4316</v>
      </c>
      <c r="L72" s="482" t="s">
        <v>4183</v>
      </c>
      <c r="M72" s="535" t="s">
        <v>4171</v>
      </c>
      <c r="N72" s="156"/>
      <c r="O72" s="2546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4204</v>
      </c>
      <c r="S72" s="281" t="s">
        <v>4149</v>
      </c>
      <c r="T72" s="1201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6" cm="1">
        <f t="array" ref="F73">INDEX('7층_부하량'!E3:E3000,MATCH(1,("7-DaHall 1-PDU-01"='7층_부하량'!A3:A3000)*(21='7층_부하량'!B3:B3000),0))</f>
        <v>3.87</v>
      </c>
      <c r="G73" s="156"/>
      <c r="H73" s="535" t="s">
        <v>4171</v>
      </c>
      <c r="I73" s="475" t="s">
        <v>4247</v>
      </c>
      <c r="J73" s="153" t="s">
        <v>4294</v>
      </c>
      <c r="K73" s="1199" t="s">
        <v>4319</v>
      </c>
      <c r="L73" s="482" t="s">
        <v>4187</v>
      </c>
      <c r="M73" s="535" t="s">
        <v>4171</v>
      </c>
      <c r="N73" s="156"/>
      <c r="O73" s="156"/>
      <c r="P73" s="2546" cm="1">
        <f t="array" ref="P73">INDEX('7층_부하량'!E3:E3000,MATCH(1,("7-DaHall 1-PDU-01"='7층_부하량'!A3:A3000)*(22='7층_부하량'!B3:B3000),0))</f>
        <v>1.71</v>
      </c>
      <c r="Q73" s="156"/>
      <c r="R73" s="156" t="s">
        <v>4204</v>
      </c>
      <c r="S73" s="281" t="s">
        <v>4149</v>
      </c>
      <c r="T73" s="1201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6" cm="1">
        <f t="array" ref="D74">INDEX('7층_부하량'!C3:C3000,MATCH(1,("7-DaHall 1-PDU-01"='7층_부하량'!A3:A3000)*(23='7층_부하량'!B3:B3000),0))</f>
        <v>1.75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9" t="s">
        <v>4322</v>
      </c>
      <c r="L74" s="482" t="s">
        <v>4253</v>
      </c>
      <c r="M74" s="535" t="s">
        <v>4171</v>
      </c>
      <c r="N74" s="2546" cm="1">
        <f t="array" ref="N74">INDEX('7층_부하량'!C3:C3000,MATCH(1,("7-DaHall 1-PDU-01"='7층_부하량'!A3:A3000)*(24='7층_부하량'!B3:B3000),0))</f>
        <v>2.57</v>
      </c>
      <c r="O74" s="156"/>
      <c r="P74" s="156"/>
      <c r="Q74" s="156"/>
      <c r="R74" s="156" t="s">
        <v>4204</v>
      </c>
      <c r="S74" s="281" t="s">
        <v>4149</v>
      </c>
      <c r="T74" s="1201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6" cm="1">
        <f t="array" ref="E75">INDEX('7층_부하량'!D3:D3000,MATCH(1,("7-DaHall 1-PDU-01"='7층_부하량'!A3:A3000)*(25='7층_부하량'!B3:B3000),0))</f>
        <v>1.46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9" t="s">
        <v>4325</v>
      </c>
      <c r="L75" s="482" t="s">
        <v>4258</v>
      </c>
      <c r="M75" s="535" t="s">
        <v>4171</v>
      </c>
      <c r="N75" s="156"/>
      <c r="O75" s="2546" cm="1">
        <f t="array" ref="O75">INDEX('7층_부하량'!D3:D3000,MATCH(1,("7-DaHall 1-PDU-01"='7층_부하량'!A3:A3000)*(26='7층_부하량'!B3:B3000),0))</f>
        <v>3.39</v>
      </c>
      <c r="P75" s="156"/>
      <c r="Q75" s="156"/>
      <c r="R75" s="156" t="s">
        <v>4204</v>
      </c>
      <c r="S75" s="281" t="s">
        <v>4149</v>
      </c>
      <c r="T75" s="1201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51" cm="1">
        <f t="array" ref="F76">INDEX('7층_부하량'!E3:E3000,MATCH(1,("7-DaHall 1-PDU-01"='7층_부하량'!A3:A3000)*(27='7층_부하량'!B3:B3000),0))</f>
        <v>3.2</v>
      </c>
      <c r="G76" s="176"/>
      <c r="H76" s="538" t="s">
        <v>4171</v>
      </c>
      <c r="I76" s="478" t="s">
        <v>4261</v>
      </c>
      <c r="J76" s="177" t="s">
        <v>4294</v>
      </c>
      <c r="K76" s="1200" t="s">
        <v>4328</v>
      </c>
      <c r="L76" s="483" t="s">
        <v>4262</v>
      </c>
      <c r="M76" s="538" t="s">
        <v>4171</v>
      </c>
      <c r="N76" s="176"/>
      <c r="O76" s="176"/>
      <c r="P76" s="2551" cm="1">
        <f t="array" ref="P76">INDEX('7층_부하량'!E3:E3000,MATCH(1,("7-DaHall 1-PDU-01"='7층_부하량'!A3:A3000)*(28='7층_부하량'!B3:B3000),0))</f>
        <v>5.51</v>
      </c>
      <c r="Q76" s="176"/>
      <c r="R76" s="176" t="s">
        <v>4204</v>
      </c>
      <c r="S76" s="470" t="s">
        <v>4149</v>
      </c>
      <c r="T76" s="1202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6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6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4204</v>
      </c>
      <c r="S77" s="281" t="s">
        <v>4149</v>
      </c>
      <c r="T77" s="1352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6" cm="1">
        <f t="array" ref="E78">INDEX('7층_부하량'!D3:D3000,MATCH(1,("7-DaHall 1-PDU-01"='7층_부하량'!A3:A3000)*(31='7층_부하량'!B3:B3000),0))</f>
        <v>4.42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6" cm="1">
        <f t="array" ref="O78">INDEX('7층_부하량'!D3:D3000,MATCH(1,("7-DaHall 1-PDU-01"='7층_부하량'!A3:A3000)*(32='7층_부하량'!B3:B3000),0))</f>
        <v>1.69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6" cm="1">
        <f t="array" ref="F79">INDEX('7층_부하량'!E3:E3000,MATCH(1,("7-DaHall 1-PDU-01"='7층_부하량'!A3:A3000)*(33='7층_부하량'!B3:B3000),0))</f>
        <v>8.4700000000000006</v>
      </c>
      <c r="G79" s="156"/>
      <c r="H79" s="535" t="s">
        <v>4171</v>
      </c>
      <c r="I79" s="475" t="s">
        <v>4270</v>
      </c>
      <c r="J79" s="651" t="s">
        <v>4334</v>
      </c>
      <c r="K79" s="1363" t="s">
        <v>4339</v>
      </c>
      <c r="L79" s="482" t="s">
        <v>4271</v>
      </c>
      <c r="M79" s="535" t="s">
        <v>4171</v>
      </c>
      <c r="N79" s="156"/>
      <c r="O79" s="156"/>
      <c r="P79" s="2546" cm="1">
        <f t="array" ref="P79">INDEX('7층_부하량'!E3:E3000,MATCH(1,("7-DaHall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6" cm="1">
        <f t="array" ref="D80">INDEX('7층_부하량'!C3:C3000,MATCH(1,("7-DaHall 1-PDU-01"='7층_부하량'!A3:A3000)*(35='7층_부하량'!B3:B3000),0))</f>
        <v>6.5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6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6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6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6" cm="1">
        <f t="array" ref="F82">INDEX('7층_부하량'!E3:E3000,MATCH(1,("7-DaHall 1-PDU-01"='7층_부하량'!A3:A3000)*(39='7층_부하량'!B3:B3000),0))</f>
        <v>1.03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6" cm="1">
        <f t="array" ref="P82">INDEX('7층_부하량'!E3:E3000,MATCH(1,("7-DaHall 1-PDU-01"='7층_부하량'!A3:A3000)*(40='7층_부하량'!B3:B3000),0))</f>
        <v>3.2800000000000002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6" cm="1">
        <f t="array" ref="D83">INDEX('7층_부하량'!C3:C3000,MATCH(1,("7-DaHall 1-PDU-01"='7층_부하량'!A3:A3000)*(41='7층_부하량'!B3:B3000),0))</f>
        <v>1.06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6" cm="1">
        <f t="array" ref="N83">INDEX('7층_부하량'!C3:C3000,MATCH(1,("7-DaHall 1-PDU-01"='7층_부하량'!A3:A3000)*(42='7층_부하량'!B3:B3000),0))</f>
        <v>3.23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6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6" cm="1">
        <f t="array" ref="O84">INDEX('7층_부하량'!D3:D3000,MATCH(1,("7-DaHall 1-PDU-01"='7층_부하량'!A3:A3000)*(44='7층_부하량'!B3:B3000),0))</f>
        <v>4.96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8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6" cm="1">
        <f t="array" ref="F85">INDEX('7층_부하량'!E3:E3000,MATCH(1,("7-DaHall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6" cm="1">
        <f t="array" ref="P85">INDEX('7층_부하량'!E3:E3000,MATCH(1,("7-DaHall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6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6" cm="1">
        <f t="array" ref="N86">INDEX('7층_부하량'!C3:C3000,MATCH(1,("7-DaHall 1-PDU-01"='7층_부하량'!A3:A3000)*(48='7층_부하량'!B3:B3000),0))</f>
        <v>1.1100000000000001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6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5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6" cm="1">
        <f t="array" ref="F88">INDEX('7층_부하량'!E3:E3000,MATCH(1,("7-DaHall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5" cm="1">
        <f t="array" ref="P88">INDEX('7층_부하량'!E3:E3000,MATCH(1,("7-DaHall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9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9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33.1</v>
      </c>
      <c r="O90" s="130">
        <f>SUM(E63:E89,O63:O89)</f>
        <v>41.160000000000004</v>
      </c>
      <c r="P90" s="130">
        <f>SUM(F63:F89,P63:P89)</f>
        <v>40.340000000000003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818" t="s">
        <v>8555</v>
      </c>
      <c r="E92" s="3818"/>
      <c r="F92" s="3818"/>
      <c r="G92" s="3818"/>
      <c r="H92" s="489"/>
      <c r="I92" s="123"/>
      <c r="J92" s="3819" t="s">
        <v>4201</v>
      </c>
      <c r="K92" s="382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4136</v>
      </c>
      <c r="N93" s="1342">
        <v>39</v>
      </c>
      <c r="O93" s="1343">
        <v>12.5</v>
      </c>
      <c r="P93" s="1344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4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4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5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5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6" cm="1">
        <f t="array" ref="F97">INDEX('7층_부하량'!E3:E3000,MATCH(1,("7-DaHall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6" cm="1">
        <f t="array" ref="P97">INDEX('7층_부하량'!E3:E3000,MATCH(1,("7-DaHall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6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6" cm="1">
        <f t="array" ref="N98">INDEX('7층_부하량'!C3:C3000,MATCH(1,("7-DaHall 1-RPP-02"='7층_부하량'!A3:A3000)*(8='7층_부하량'!B3:B3000),0))</f>
        <v>4.05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6" cm="1">
        <f t="array" ref="E99">INDEX('7층_부하량'!D3:D3000,MATCH(1,("7-DaHall 1-RPP-02"='7층_부하량'!A3:A3000)*(9='7층_부하량'!B3:B3000),0))</f>
        <v>0.83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6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6" cm="1">
        <f t="array" ref="F100">INDEX('7층_부하량'!E3:E3000,MATCH(1,("7-DaHall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6" cm="1">
        <f t="array" ref="P100">INDEX('7층_부하량'!E3:E3000,MATCH(1,("7-DaHall 1-RPP-02"='7층_부하량'!A3:A3000)*(12='7층_부하량'!B3:B3000),0))</f>
        <v>4.41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6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6" cm="1">
        <f t="array" ref="N101">INDEX('7층_부하량'!C3:C3000,MATCH(1,("7-DaHall 1-RPP-02"='7층_부하량'!A3:A3000)*(14='7층_부하량'!B3:B3000),0))</f>
        <v>13.91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6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6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6" cm="1">
        <f t="array" ref="F103">INDEX('7층_부하량'!E3:E3000,MATCH(1,("7-DaHall 1-RPP-02"='7층_부하량'!A3:A3000)*(17='7층_부하량'!B3:B3000),0))</f>
        <v>2.4300000000000002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6" cm="1">
        <f t="array" ref="P103">INDEX('7층_부하량'!E3:E3000,MATCH(1,("7-DaHall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6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6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6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6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6" cm="1">
        <f t="array" ref="F106">INDEX('7층_부하량'!E3:E3000,MATCH(1,("7-DaHall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6" cm="1">
        <f t="array" ref="P106">INDEX('7층_부하량'!E3:E3000,MATCH(1,("7-DaHall 1-RPP-02"='7층_부하량'!A3:A3000)*(24='7층_부하량'!B3:B3000),0))</f>
        <v>1.25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6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6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6" cm="1">
        <f t="array" ref="E108">INDEX('7층_부하량'!D3:D3000,MATCH(1,("7-DaHall 1-RPP-02"='7층_부하량'!A3:A3000)*(27='7층_부하량'!B3:B3000),0))</f>
        <v>5.62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6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8" cm="1">
        <f t="array" ref="F109">INDEX('7층_부하량'!E3:E3000,MATCH(1,("7-DaHall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8" cm="1">
        <f t="array" ref="P109">INDEX('7층_부하량'!E3:E3000,MATCH(1,("7-DaHall 1-RPP-02"='7층_부하량'!A3:A3000)*(30='7층_부하량'!B3:B3000),0))</f>
        <v>1.67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6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6" cm="1">
        <f t="array" ref="N110">INDEX('7층_부하량'!C3:C3000,MATCH(1,("7-DaHall 1-RPP-02"='7층_부하량'!A3:A3000)*(32='7층_부하량'!B3:B3000),0))</f>
        <v>3.12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6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6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6" cm="1">
        <f t="array" ref="F112">INDEX('7층_부하량'!E3:E3000,MATCH(1,("7-DaHall 1-RPP-02"='7층_부하량'!A3:A3000)*(35='7층_부하량'!B3:B3000),0))</f>
        <v>2.38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6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6" cm="1">
        <f t="array" ref="D113">INDEX('7층_부하량'!C3:C3000,MATCH(1,("7-DaHall 1-RPP-02"='7층_부하량'!A3:A3000)*(37='7층_부하량'!B3:B3000),0))</f>
        <v>5.4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6" cm="1">
        <f t="array" ref="N113">INDEX('7층_부하량'!C3:C3000,MATCH(1,("7-DaHall 1-RPP-02"='7층_부하량'!A3:A3000)*(38='7층_부하량'!B3:B3000),0))</f>
        <v>4.8100000000000005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9" cm="1">
        <f t="array" ref="E114">INDEX('7층_부하량'!D3:D3000,MATCH(1,("7-DaHall 1-RPP-02"='7층_부하량'!A3:A3000)*(39='7층_부하량'!B3:B3000),0))</f>
        <v>2.5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9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35.540000000000006</v>
      </c>
      <c r="O115" s="127">
        <f>SUM(E95:E114,O95:O114)</f>
        <v>11.91</v>
      </c>
      <c r="P115" s="127">
        <f>SUM(F95:F114,P95:P114)</f>
        <v>18.950000000000003</v>
      </c>
    </row>
    <row r="116" spans="1:20" ht="15" thickBot="1"/>
    <row r="117" spans="1:20" ht="15.6" thickTop="1" thickBot="1">
      <c r="A117" s="53" t="s">
        <v>6590</v>
      </c>
      <c r="D117" s="3818" t="s">
        <v>8556</v>
      </c>
      <c r="E117" s="3818"/>
      <c r="F117" s="3818"/>
      <c r="G117" s="3818"/>
      <c r="H117" s="489"/>
      <c r="I117" s="123"/>
      <c r="J117" s="3819" t="s">
        <v>4507</v>
      </c>
      <c r="K117" s="382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4136</v>
      </c>
      <c r="N118" s="1342">
        <v>6.8</v>
      </c>
      <c r="O118" s="1343">
        <v>8</v>
      </c>
      <c r="P118" s="1344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4" cm="1">
        <f t="array" ref="D120">INDEX('7층_부하량'!C3:C3000,MATCH(1,("7-DaHall 1-RPP-03"='7층_부하량'!A3:A3000)*(1='7층_부하량'!B3:B3000),0))</f>
        <v>1.1599999999999999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4" cm="1">
        <f t="array" ref="N120">INDEX('7층_부하량'!C3:C3000,MATCH(1,("7-DaHall 1-RPP-03"='7층_부하량'!A3:A3000)*(2='7층_부하량'!B3:B3000),0))</f>
        <v>0.8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5" cm="1">
        <f t="array" ref="E121">INDEX('7층_부하량'!D3:D3000,MATCH(1,("7-DaHall 1-RPP-03"='7층_부하량'!A3:A3000)*(3='7층_부하량'!B3:B3000),0))</f>
        <v>2.54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5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6" cm="1">
        <f t="array" ref="F122">INDEX('7층_부하량'!E3:E3000,MATCH(1,("7-DaHall 1-RPP-03"='7층_부하량'!A3:A3000)*(5='7층_부하량'!B3:B3000),0))</f>
        <v>3.21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6" cm="1">
        <f t="array" ref="P122">INDEX('7층_부하량'!E3:E3000,MATCH(1,("7-DaHall 1-RPP-03"='7층_부하량'!A3:A3000)*(6='7층_부하량'!B3:B3000),0))</f>
        <v>1.55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6" cm="1">
        <f t="array" ref="D123">INDEX('7층_부하량'!C3:C3000,MATCH(1,("7-DaHall 1-RPP-03"='7층_부하량'!A3:A3000)*(7='7층_부하량'!B3:B3000),0))</f>
        <v>2.42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6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6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6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6.32</v>
      </c>
      <c r="O125" s="130">
        <f>SUM(E120:E124,O120:O124)</f>
        <v>7.83</v>
      </c>
      <c r="P125" s="130">
        <f>SUM(F120:F124,P120:P124)</f>
        <v>4.76</v>
      </c>
      <c r="Q125" s="130"/>
      <c r="R125" s="130"/>
      <c r="S125" s="195"/>
      <c r="T125" s="531"/>
    </row>
    <row r="126" spans="1:20" ht="18" thickBot="1">
      <c r="A126" s="2446" t="s">
        <v>6588</v>
      </c>
      <c r="B126" s="132"/>
      <c r="C126" s="195"/>
      <c r="D126" s="3818" t="s">
        <v>8559</v>
      </c>
      <c r="E126" s="3818"/>
      <c r="F126" s="3818"/>
      <c r="G126" s="381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819" t="s">
        <v>4507</v>
      </c>
      <c r="K127" s="3820"/>
      <c r="L127" s="480"/>
      <c r="M127" s="1345" t="s">
        <v>4136</v>
      </c>
      <c r="N127" s="1342">
        <v>8.6</v>
      </c>
      <c r="O127" s="1343">
        <v>7.6</v>
      </c>
      <c r="P127" s="1344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4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4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5" cm="1">
        <f t="array" ref="E129">INDEX('7층_부하량'!D3:D3000,MATCH(1,("7-DaHall 1-RPP-04"='7층_부하량'!A3:A3000)*(3='7층_부하량'!B3:B3000),0))</f>
        <v>2.57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5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6" cm="1">
        <f t="array" ref="F130">INDEX('7층_부하량'!E3:E3000,MATCH(1,("7-DaHall 1-RPP-04"='7층_부하량'!A3:A3000)*(5='7층_부하량'!B3:B3000),0))</f>
        <v>3.15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6" cm="1">
        <f t="array" ref="P130">INDEX('7층_부하량'!E3:E3000,MATCH(1,("7-DaHall 1-RPP-04"='7층_부하량'!A3:A3000)*(6='7층_부하량'!B3:B3000),0))</f>
        <v>1.2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6" cm="1">
        <f t="array" ref="D131">INDEX('7층_부하량'!C3:C3000,MATCH(1,("7-DaHall 1-RPP-04"='7층_부하량'!A3:A3000)*(7='7층_부하량'!B3:B3000),0))</f>
        <v>4.0599999999999996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6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6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6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8.61</v>
      </c>
      <c r="O133" s="127">
        <f>SUM(E128:E132,O128:O132)</f>
        <v>6.97</v>
      </c>
      <c r="P133" s="127">
        <f>SUM(F128:F132,P128:P132)</f>
        <v>4.3499999999999996</v>
      </c>
    </row>
    <row r="134" spans="1:20" ht="15" thickBot="1"/>
    <row r="135" spans="1:20" ht="15.6" thickTop="1" thickBot="1">
      <c r="A135" s="53" t="s">
        <v>6589</v>
      </c>
      <c r="D135" s="3818" t="s">
        <v>8557</v>
      </c>
      <c r="E135" s="3818"/>
      <c r="F135" s="3818"/>
      <c r="G135" s="3818"/>
      <c r="H135" s="489"/>
      <c r="I135" s="123"/>
      <c r="J135" s="3819" t="s">
        <v>4201</v>
      </c>
      <c r="K135" s="382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4136</v>
      </c>
      <c r="N136" s="1342">
        <v>82.2</v>
      </c>
      <c r="O136" s="1343">
        <v>71.2</v>
      </c>
      <c r="P136" s="1344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2" cm="1">
        <f t="array" ref="D138">INDEX('7층_부하량'!C3:C3000,MATCH(1,("7-DaHall 1-PDU-03"='7층_부하량'!A3:A3000)*(1='7층_부하량'!B3:B3000),0))</f>
        <v>23.93</v>
      </c>
      <c r="E138" s="2552" cm="1">
        <f t="array" ref="E138">INDEX('7층_부하량'!D3:D3000,MATCH(1,("7-DaHall 1-PDU-03"='7층_부하량'!A3:A3000)*(1='7층_부하량'!B3:B3000),0))</f>
        <v>12.28</v>
      </c>
      <c r="F138" s="2552" cm="1">
        <f t="array" ref="F138">INDEX('7층_부하량'!E3:E3000,MATCH(1,("7-DaHall 1-PDU-03"='7층_부하량'!A3:A3000)*(1='7층_부하량'!B3:B3000),0))</f>
        <v>16.8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2" cm="1">
        <f t="array" ref="N138">INDEX('7층_부하량'!C3:C3000,MATCH(1,("7-DaHall 1-PDU-03"='7층_부하량'!A3:A3000)*(2='7층_부하량'!B3:B3000),0))</f>
        <v>2.71</v>
      </c>
      <c r="O138" s="2552" cm="1">
        <f t="array" ref="O138">INDEX('7층_부하량'!D3:D3000,MATCH(1,("7-DaHall 1-PDU-03"='7층_부하량'!A3:A3000)*(2='7층_부하량'!B3:B3000),0))</f>
        <v>2.1</v>
      </c>
      <c r="P138" s="2552" cm="1">
        <f t="array" ref="P138">INDEX('7층_부하량'!E3:E3000,MATCH(1,("7-DaHall 1-PDU-03"='7층_부하량'!A3:A3000)*(2='7층_부하량'!B3:B3000),0))</f>
        <v>7.23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5" cm="1">
        <f t="array" ref="D139">INDEX('7층_부하량'!C3:C3000,MATCH(1,("7-DaHall 1-PDU-03"='7층_부하량'!A3:A3000)*(3='7층_부하량'!B3:B3000),0))</f>
        <v>6.36</v>
      </c>
      <c r="E139" s="2545" cm="1">
        <f t="array" ref="E139">INDEX('7층_부하량'!D3:D3000,MATCH(1,("7-DaHall 1-PDU-03"='7층_부하량'!A3:A3000)*(3='7층_부하량'!B3:B3000),0))</f>
        <v>7.74</v>
      </c>
      <c r="F139" s="2545" cm="1">
        <f t="array" ref="F139">INDEX('7층_부하량'!E3:E3000,MATCH(1,("7-DaHall 1-PDU-03"='7층_부하량'!A3:A3000)*(3='7층_부하량'!B3:B3000),0))</f>
        <v>4.76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5" cm="1">
        <f t="array" ref="N139">INDEX('7층_부하량'!C3:C3000,MATCH(1,("7-DaHall 1-PDU-03"='7층_부하량'!A3:A3000)*(4='7층_부하량'!B3:B3000),0))</f>
        <v>0</v>
      </c>
      <c r="O139" s="2553" cm="1">
        <f t="array" ref="O139">INDEX('7층_부하량'!D3:D3000,MATCH(1,("7-DaHall 1-PDU-03"='7층_부하량'!A3:A3000)*(4='7층_부하량'!B3:B3000),0))</f>
        <v>0</v>
      </c>
      <c r="P139" s="2553" cm="1">
        <f t="array" ref="P139">INDEX('7층_부하량'!E3:E3000,MATCH(1,("7-DaHall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6" cm="1">
        <f t="array" ref="D140">INDEX('7층_부하량'!C3:C3000,MATCH(1,("7-DaHall 1-PDU-03"='7층_부하량'!A3:A3000)*(5='7층_부하량'!B3:B3000),0))</f>
        <v>0</v>
      </c>
      <c r="E140" s="2546" cm="1">
        <f t="array" ref="E140">INDEX('7층_부하량'!D3:D3000,MATCH(1,("7-DaHall 1-PDU-03"='7층_부하량'!A3:A3000)*(5='7층_부하량'!B3:B3000),0))</f>
        <v>0</v>
      </c>
      <c r="F140" s="2546" cm="1">
        <f t="array" ref="F140">INDEX('7층_부하량'!E3:E3000,MATCH(1,("7-DaHall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4" cm="1">
        <f t="array" ref="N140">INDEX('7층_부하량'!C3:C3000,MATCH(1,("7-DaHall 1-PDU-03"='7층_부하량'!A3:A3000)*(6='7층_부하량'!B3:B3000),0))</f>
        <v>51.2</v>
      </c>
      <c r="O140" s="2554" cm="1">
        <f t="array" ref="O140">INDEX('7층_부하량'!D3:D3000,MATCH(1,("7-DaHall 1-PDU-03"='7층_부하량'!A3:A3000)*(6='7층_부하량'!B3:B3000),0))</f>
        <v>51.69</v>
      </c>
      <c r="P140" s="2554" cm="1">
        <f t="array" ref="P140">INDEX('7층_부하량'!E3:E3000,MATCH(1,("7-DaHall 1-PDU-03"='7층_부하량'!A3:A3000)*(6='7층_부하량'!B3:B3000),0))</f>
        <v>53.81</v>
      </c>
      <c r="Q140" s="993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6" cm="1">
        <f t="array" ref="D141">INDEX('7층_부하량'!C3:C3000,MATCH(1,("7-DaHall 1-PDU-03"='7층_부하량'!A3:A3000)*(7='7층_부하량'!B3:B3000),0))</f>
        <v>0</v>
      </c>
      <c r="E141" s="2546" cm="1">
        <f t="array" ref="E141">INDEX('7층_부하량'!D3:D3000,MATCH(1,("7-DaHall 1-PDU-03"='7층_부하량'!A3:A3000)*(7='7층_부하량'!B3:B3000),0))</f>
        <v>0</v>
      </c>
      <c r="F141" s="2546" cm="1">
        <f t="array" ref="F141">INDEX('7층_부하량'!E3:E3000,MATCH(1,("7-DaHall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6" cm="1">
        <f t="array" ref="N141">INDEX('7층_부하량'!C3:C3000,MATCH(1,("7-DaHall 1-PDU-03"='7층_부하량'!A3:A3000)*(8='7층_부하량'!B3:B3000),0))</f>
        <v>0</v>
      </c>
      <c r="O141" s="2546" cm="1">
        <f t="array" ref="O141">INDEX('7층_부하량'!D3:D3000,MATCH(1,("7-DaHall 1-PDU-03"='7층_부하량'!A3:A3000)*(8='7층_부하량'!B3:B3000),0))</f>
        <v>0</v>
      </c>
      <c r="P141" s="2546" cm="1">
        <f t="array" ref="P141">INDEX('7층_부하량'!E3:E3000,MATCH(1,("7-DaHall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6" cm="1">
        <f t="array" ref="D142">INDEX('7층_부하량'!C3:C3000,MATCH(1,("7-DaHall 1-PDU-03"='7층_부하량'!A3:A3000)*(9='7층_부하량'!B3:B3000),0))</f>
        <v>0</v>
      </c>
      <c r="E142" s="2546" cm="1">
        <f t="array" ref="E142">INDEX('7층_부하량'!D3:D3000,MATCH(1,("7-DaHall 1-PDU-03"='7층_부하량'!A3:A3000)*(9='7층_부하량'!B3:B3000),0))</f>
        <v>0</v>
      </c>
      <c r="F142" s="2546" cm="1">
        <f t="array" ref="F142">INDEX('7층_부하량'!E3:E3000,MATCH(1,("7-DaHall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6" cm="1">
        <f t="array" ref="N142">INDEX('7층_부하량'!C3:C3000,MATCH(1,("7-DaHall 1-PDU-03"='7층_부하량'!A3:A3000)*(10='7층_부하량'!B3:B3000),0))</f>
        <v>0</v>
      </c>
      <c r="O142" s="2546" cm="1">
        <f t="array" ref="O142">INDEX('7층_부하량'!D3:D3000,MATCH(1,("7-DaHall 1-PDU-03"='7층_부하량'!A3:A3000)*(10='7층_부하량'!B3:B3000),0))</f>
        <v>0</v>
      </c>
      <c r="P142" s="2546" cm="1">
        <f t="array" ref="P142">INDEX('7층_부하량'!E3:E3000,MATCH(1,("7-DaHall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5" t="s">
        <v>4537</v>
      </c>
      <c r="I147" s="477" t="s">
        <v>4243</v>
      </c>
      <c r="J147" s="167"/>
      <c r="K147" s="519"/>
      <c r="L147" s="485" t="s">
        <v>4183</v>
      </c>
      <c r="M147" s="1155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84.2</v>
      </c>
      <c r="O148" s="127">
        <f>SUM(E138:E147,O138:O147)</f>
        <v>73.81</v>
      </c>
      <c r="P148" s="127">
        <f>SUM(F138:F147,P138:P147)</f>
        <v>82.600000000000009</v>
      </c>
    </row>
    <row r="149" spans="1:20" ht="15" thickBot="1"/>
    <row r="150" spans="1:20" ht="15.6" thickTop="1" thickBot="1">
      <c r="A150" s="53" t="s">
        <v>6586</v>
      </c>
      <c r="D150" s="3818" t="s">
        <v>8558</v>
      </c>
      <c r="E150" s="3818"/>
      <c r="F150" s="3818"/>
      <c r="G150" s="3818"/>
      <c r="H150" s="489"/>
      <c r="I150" s="123"/>
      <c r="J150" s="3819" t="s">
        <v>4201</v>
      </c>
      <c r="K150" s="382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4136</v>
      </c>
      <c r="N151" s="1342">
        <v>88.3</v>
      </c>
      <c r="O151" s="1343">
        <v>66</v>
      </c>
      <c r="P151" s="1344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4" cm="1">
        <f t="array" ref="D153">INDEX('7층_부하량'!C3:C3000,MATCH(1,("7-DaHall 1-PDU-04"='7층_부하량'!A3:A3000)*(1='7층_부하량'!B3:B3000),0))</f>
        <v>45.28</v>
      </c>
      <c r="E153" s="2544" cm="1">
        <f t="array" ref="E153">INDEX('7층_부하량'!D3:D3000,MATCH(1,("7-DaHall 1-PDU-04"='7층_부하량'!A3:A3000)*(1='7층_부하량'!B3:B3000),0))</f>
        <v>46.21</v>
      </c>
      <c r="F153" s="2544" cm="1">
        <f t="array" ref="F153">INDEX('7층_부하량'!E3:E3000,MATCH(1,("7-DaHall 1-PDU-04"='7층_부하량'!A3:A3000)*(1='7층_부하량'!B3:B3000),0))</f>
        <v>48.33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2" cm="1">
        <f t="array" ref="N153">INDEX('7층_부하량'!C3:C3000,MATCH(1,("7-DaHall 1-PDU-04"='7층_부하량'!A3:A3000)*(2='7층_부하량'!B3:B3000),0))</f>
        <v>37.64</v>
      </c>
      <c r="O153" s="2552" cm="1">
        <f t="array" ref="O153">INDEX('7층_부하량'!D3:D3000,MATCH(1,("7-DaHall 1-PDU-04"='7층_부하량'!A3:A3000)*(2='7층_부하량'!B3:B3000),0))</f>
        <v>11.36</v>
      </c>
      <c r="P153" s="2552" cm="1">
        <f t="array" ref="P153">INDEX('7층_부하량'!E3:E3000,MATCH(1,("7-DaHall 1-PDU-04"='7층_부하량'!A3:A3000)*(2='7층_부하량'!B3:B3000),0))</f>
        <v>19.239999999999998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3" cm="1">
        <f t="array" ref="D154">INDEX('7층_부하량'!C3:C3000,MATCH(1,("7-DaHall 1-PDU-04"='7층_부하량'!A3:A3000)*(3='7층_부하량'!B3:B3000),0))</f>
        <v>0</v>
      </c>
      <c r="E154" s="2553" cm="1">
        <f t="array" ref="E154">INDEX('7층_부하량'!D3:D3000,MATCH(1,("7-DaHall 1-PDU-04"='7층_부하량'!A3:A3000)*(3='7층_부하량'!B3:B3000),0))</f>
        <v>0</v>
      </c>
      <c r="F154" s="2553" cm="1">
        <f t="array" ref="F154">INDEX('7층_부하량'!E3:E3000,MATCH(1,("7-DaHall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3" cm="1">
        <f t="array" ref="N154">INDEX('7층_부하량'!C3:C3000,MATCH(1,("7-DaHall 1-PDU-04"='7층_부하량'!A3:A3000)*(4='7층_부하량'!B3:B3000),0))</f>
        <v>8.61</v>
      </c>
      <c r="O154" s="2553" cm="1">
        <f t="array" ref="O154">INDEX('7층_부하량'!D3:D3000,MATCH(1,("7-DaHall 1-PDU-04"='7층_부하량'!A3:A3000)*(4='7층_부하량'!B3:B3000),0))</f>
        <v>6.85</v>
      </c>
      <c r="P154" s="2545" cm="1">
        <f t="array" ref="P154">INDEX('7층_부하량'!E3:E3000,MATCH(1,("7-DaHall 1-PDU-04"='7층_부하량'!A3:A3000)*(4='7층_부하량'!B3:B3000),0))</f>
        <v>4.33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3" cm="1">
        <f t="array" ref="D155">INDEX('7층_부하량'!C3:C3000,MATCH(1,("7-DaHall 1-PDU-04"='7층_부하량'!A3:A3000)*(5='7층_부하량'!B3:B3000),0))</f>
        <v>0</v>
      </c>
      <c r="E155" s="2553" cm="1">
        <f t="array" ref="E155">INDEX('7층_부하량'!D3:D3000,MATCH(1,("7-DaHall 1-PDU-04"='7층_부하량'!A3:A3000)*(5='7층_부하량'!B3:B3000),0))</f>
        <v>0</v>
      </c>
      <c r="F155" s="2553" cm="1">
        <f t="array" ref="F155">INDEX('7층_부하량'!E3:E3000,MATCH(1,("7-DaHall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6" cm="1">
        <f t="array" ref="N155">INDEX('7층_부하량'!C3:C3000,MATCH(1,("7-DaHall 1-PDU-04"='7층_부하량'!A3:A3000)*(6='7층_부하량'!B3:B3000),0))</f>
        <v>0</v>
      </c>
      <c r="O155" s="2546" cm="1">
        <f t="array" ref="O155">INDEX('7층_부하량'!D3:D3000,MATCH(1,("7-DaHall 1-PDU-04"='7층_부하량'!A3:A3000)*(6='7층_부하량'!B3:B3000),0))</f>
        <v>0</v>
      </c>
      <c r="P155" s="2546" cm="1">
        <f t="array" ref="P155">INDEX('7층_부하량'!E3:E3000,MATCH(1,("7-DaHall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6" cm="1">
        <f t="array" ref="D156">INDEX('7층_부하량'!C3:C3000,MATCH(1,("7-DaHall 1-PDU-04"='7층_부하량'!A3:A3000)*(7='7층_부하량'!B3:B3000),0))</f>
        <v>0</v>
      </c>
      <c r="E156" s="2546" cm="1">
        <f t="array" ref="E156">INDEX('7층_부하량'!D3:D3000,MATCH(1,("7-DaHall 1-PDU-04"='7층_부하량'!A3:A3000)*(7='7층_부하량'!B3:B3000),0))</f>
        <v>0</v>
      </c>
      <c r="F156" s="2546" cm="1">
        <f t="array" ref="F156">INDEX('7층_부하량'!E3:E3000,MATCH(1,("7-DaHall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6" cm="1">
        <f t="array" ref="N156">INDEX('7층_부하량'!C3:C3000,MATCH(1,("7-DaHall 1-PDU-04"='7층_부하량'!A3:A3000)*(8='7층_부하량'!B3:B3000),0))</f>
        <v>0</v>
      </c>
      <c r="O156" s="2546" cm="1">
        <f t="array" ref="O156">INDEX('7층_부하량'!D3:D3000,MATCH(1,("7-DaHall 1-PDU-04"='7층_부하량'!A3:A3000)*(8='7층_부하량'!B3:B3000),0))</f>
        <v>0</v>
      </c>
      <c r="P156" s="2546" cm="1">
        <f t="array" ref="P156">INDEX('7층_부하량'!E3:E3000,MATCH(1,("7-DaHall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6" cm="1">
        <f t="array" ref="D157">INDEX('7층_부하량'!C3:C3000,MATCH(1,("7-DaHall 1-PDU-04"='7층_부하량'!A3:A3000)*(9='7층_부하량'!B3:B3000),0))</f>
        <v>0</v>
      </c>
      <c r="E157" s="2546" cm="1">
        <f t="array" ref="E157">INDEX('7층_부하량'!D3:D3000,MATCH(1,("7-DaHall 1-PDU-04"='7층_부하량'!A3:A3000)*(9='7층_부하량'!B3:B3000),0))</f>
        <v>0</v>
      </c>
      <c r="F157" s="2546" cm="1">
        <f t="array" ref="F157">INDEX('7층_부하량'!E3:E3000,MATCH(1,("7-DaHall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6" cm="1">
        <f t="array" ref="N157">INDEX('7층_부하량'!C3:C3000,MATCH(1,("7-DaHall 1-PDU-04"='7층_부하량'!A3:A3000)*(10='7층_부하량'!B3:B3000),0))</f>
        <v>0</v>
      </c>
      <c r="O157" s="2546" cm="1">
        <f t="array" ref="O157">INDEX('7층_부하량'!D3:D3000,MATCH(1,("7-DaHall 1-PDU-04"='7층_부하량'!A3:A3000)*(10='7층_부하량'!B3:B3000),0))</f>
        <v>0</v>
      </c>
      <c r="P157" s="2546" cm="1">
        <f t="array" ref="P157">INDEX('7층_부하량'!E3:E3000,MATCH(1,("7-DaHall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91.53</v>
      </c>
      <c r="O163" s="127">
        <f>SUM(E153:E162,O153:O162)</f>
        <v>64.42</v>
      </c>
      <c r="P163" s="127">
        <f>SUM(F153:F162,P153:P162)</f>
        <v>71.899999999999991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4">
        <f>N173-SUM(D166:D170)</f>
        <v>189.65000000000003</v>
      </c>
      <c r="E165" s="51">
        <f t="shared" ref="E165:E171" si="0">D165/$D$171</f>
        <v>0.27123080003432398</v>
      </c>
      <c r="M165" s="505" t="s">
        <v>4546</v>
      </c>
      <c r="N165" s="127">
        <f>N26</f>
        <v>23.139999999999997</v>
      </c>
      <c r="O165" s="127">
        <f>O26</f>
        <v>12.89</v>
      </c>
      <c r="P165" s="127">
        <f>P26</f>
        <v>16.059999999999999</v>
      </c>
    </row>
    <row r="166" spans="1:20">
      <c r="B166" s="50" t="s">
        <v>4547</v>
      </c>
      <c r="C166" s="50" t="s">
        <v>4548</v>
      </c>
      <c r="D166" s="2215">
        <f>SUM(D18:F18,N15:P15,N25:P25,D32:F32,D34:F37,D39:F44,D46:F48,D50:F50,N46:P46,D65:F69,D71:F76,D78:F80,D82:F82,N78:P78,N113:P113)</f>
        <v>152.98000000000002</v>
      </c>
      <c r="E166" s="51">
        <f t="shared" si="0"/>
        <v>0.21878664797917682</v>
      </c>
      <c r="M166" s="505" t="s">
        <v>4549</v>
      </c>
      <c r="N166" s="127">
        <f>N115</f>
        <v>35.540000000000006</v>
      </c>
      <c r="O166" s="127">
        <f>O115</f>
        <v>11.91</v>
      </c>
      <c r="P166" s="127">
        <f>P115</f>
        <v>18.950000000000003</v>
      </c>
    </row>
    <row r="167" spans="1:20">
      <c r="B167" s="50" t="s">
        <v>4207</v>
      </c>
      <c r="C167" s="50" t="s">
        <v>4207</v>
      </c>
      <c r="D167" s="2216">
        <f>SUM(D6:F9,D12:F12,D19:F21,N9:P11,N21:P21,N34:P34,D49:F49,N45:P45,N66:P66,N77:P77,D77:F77,D81:F81,D98:F103,D112:F114,N95:P95,N97:P97,N107:P107)</f>
        <v>41.69</v>
      </c>
      <c r="E167" s="51">
        <f t="shared" si="0"/>
        <v>5.9623580561196758E-2</v>
      </c>
      <c r="M167" s="505" t="s">
        <v>4550</v>
      </c>
      <c r="N167" s="127">
        <f>N125</f>
        <v>6.32</v>
      </c>
      <c r="O167" s="127">
        <f>O125</f>
        <v>7.83</v>
      </c>
      <c r="P167" s="127">
        <f>P125</f>
        <v>4.76</v>
      </c>
    </row>
    <row r="168" spans="1:20">
      <c r="B168" s="50" t="s">
        <v>4207</v>
      </c>
      <c r="C168" s="50" t="s">
        <v>4551</v>
      </c>
      <c r="D168" s="2217">
        <f>SUM(,N140:P140,D153:F153)</f>
        <v>296.52</v>
      </c>
      <c r="E168" s="51">
        <f t="shared" si="0"/>
        <v>0.42407253797088179</v>
      </c>
      <c r="G168" s="127"/>
      <c r="M168" s="505" t="s">
        <v>4552</v>
      </c>
      <c r="N168" s="127">
        <f>N133</f>
        <v>8.61</v>
      </c>
      <c r="O168" s="127">
        <f>O133</f>
        <v>6.97</v>
      </c>
      <c r="P168" s="127">
        <f>P133</f>
        <v>4.3499999999999996</v>
      </c>
    </row>
    <row r="169" spans="1:20">
      <c r="B169" s="985" t="s">
        <v>4553</v>
      </c>
      <c r="C169" s="50" t="s">
        <v>4554</v>
      </c>
      <c r="D169" s="2218">
        <f>SUM(D14:F14,N19:P20,D95:F96,N95:P95,N97:P97,N105:P106)</f>
        <v>6.34</v>
      </c>
      <c r="E169" s="51">
        <f t="shared" si="0"/>
        <v>9.0672463602299701E-3</v>
      </c>
      <c r="M169" s="505" t="s">
        <v>4555</v>
      </c>
      <c r="N169" s="127">
        <f>N90</f>
        <v>33.1</v>
      </c>
      <c r="O169" s="127">
        <f>O90</f>
        <v>41.160000000000004</v>
      </c>
      <c r="P169" s="127">
        <f>P90</f>
        <v>40.340000000000003</v>
      </c>
    </row>
    <row r="170" spans="1:20">
      <c r="B170" s="985" t="s">
        <v>4556</v>
      </c>
      <c r="C170" s="50"/>
      <c r="D170" s="2218">
        <f>SUM(N138:P138)</f>
        <v>12.040000000000001</v>
      </c>
      <c r="E170" s="51">
        <f t="shared" si="0"/>
        <v>1.721918709419067E-2</v>
      </c>
      <c r="M170" s="505" t="s">
        <v>4557</v>
      </c>
      <c r="N170" s="127">
        <f>N58</f>
        <v>28.919999999999998</v>
      </c>
      <c r="O170" s="127">
        <f>O58</f>
        <v>44.279999999999994</v>
      </c>
      <c r="P170" s="127">
        <f>P58</f>
        <v>45.53</v>
      </c>
    </row>
    <row r="171" spans="1:20">
      <c r="B171" s="50"/>
      <c r="C171" s="50" t="s">
        <v>4558</v>
      </c>
      <c r="D171" s="2360">
        <f>SUM(D165:D170)</f>
        <v>699.22</v>
      </c>
      <c r="E171" s="2359">
        <f t="shared" si="0"/>
        <v>1</v>
      </c>
      <c r="M171" s="505" t="s">
        <v>4559</v>
      </c>
      <c r="N171" s="127">
        <f>D153+N140</f>
        <v>96.48</v>
      </c>
      <c r="O171" s="127">
        <f t="shared" ref="O171:P171" si="1">E153+O140</f>
        <v>97.9</v>
      </c>
      <c r="P171" s="127">
        <f t="shared" si="1"/>
        <v>102.14</v>
      </c>
    </row>
    <row r="172" spans="1:20">
      <c r="D172" s="127"/>
      <c r="M172" s="505" t="s">
        <v>4560</v>
      </c>
      <c r="N172" s="127">
        <f>N138</f>
        <v>2.71</v>
      </c>
      <c r="O172" s="127">
        <f t="shared" ref="O172:P172" si="2">O138</f>
        <v>2.1</v>
      </c>
      <c r="P172" s="127">
        <f t="shared" si="2"/>
        <v>7.23</v>
      </c>
    </row>
    <row r="173" spans="1:20">
      <c r="M173" s="505" t="s">
        <v>4561</v>
      </c>
      <c r="N173" s="2360">
        <f>SUM(N165:P172)</f>
        <v>699.22</v>
      </c>
    </row>
    <row r="175" spans="1:20">
      <c r="N175">
        <f>N173*220/1000</f>
        <v>153.82839999999999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84" t="s">
        <v>9312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6591</v>
      </c>
      <c r="D3" s="3818" t="s">
        <v>8552</v>
      </c>
      <c r="E3" s="3818"/>
      <c r="F3" s="3818"/>
      <c r="G3" s="3818"/>
      <c r="H3" s="489"/>
      <c r="I3" s="123"/>
      <c r="J3" s="3819" t="s">
        <v>4201</v>
      </c>
      <c r="K3" s="382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4136</v>
      </c>
      <c r="N4" s="1342">
        <v>26</v>
      </c>
      <c r="O4" s="1343">
        <v>14</v>
      </c>
      <c r="P4" s="1344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4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4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5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5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6" cm="1">
        <f t="array" ref="F8">INDEX('7층_부하량'!H3:H3000,MATCH(1,("7-DaHall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6" cm="1">
        <f t="array" ref="P8">INDEX('7층_부하량'!H3:H3000,MATCH(1,("7-DaHall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6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6" cm="1">
        <f t="array" ref="N9">INDEX('7층_부하량'!F3:F3000,MATCH(1,("7-DaHall 1-RPP-01"='7층_부하량'!A3:A3000)*(8='7층_부하량'!B3:B3000),0))</f>
        <v>2.39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6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6" cm="1">
        <f t="array" ref="O10">INDEX('7층_부하량'!G3:G3000,MATCH(1,("7-DaHall 1-RPP-01"='7층_부하량'!A3:A3000)*(10='7층_부하량'!B3:B3000),0))</f>
        <v>2.02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6" cm="1">
        <f t="array" ref="F11">INDEX('7층_부하량'!H3:H3000,MATCH(1,("7-DaHall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6" cm="1">
        <f t="array" ref="P11">INDEX('7층_부하량'!H3:H3000,MATCH(1,("7-DaHall 1-RPP-01"='7층_부하량'!A3:A3000)*(12='7층_부하량'!B3:B3000),0))</f>
        <v>5.54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6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6" cm="1">
        <f t="array" ref="N12">INDEX('7층_부하량'!F3:F3000,MATCH(1,("7-DaHall 1-RPP-01"='7층_부하량'!A3:A3000)*(14='7층_부하량'!B3:B3000),0))</f>
        <v>7.23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6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6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7" cm="1">
        <f t="array" ref="F14">INDEX('7층_부하량'!H3:H3000,MATCH(1,("7-DaHall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9" t="s">
        <v>4240</v>
      </c>
      <c r="L14" s="475" t="s">
        <v>4179</v>
      </c>
      <c r="M14" s="535" t="s">
        <v>4171</v>
      </c>
      <c r="N14" s="156"/>
      <c r="O14" s="156"/>
      <c r="P14" s="2546" cm="1">
        <f t="array" ref="P14">INDEX('7층_부하량'!H3:H3000,MATCH(1,("7-DaHall 1-RPP-01"='7층_부하량'!A3:A3000)*(18='7층_부하량'!B3:B3000),0))</f>
        <v>2.15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6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6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6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6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6" cm="1">
        <f t="array" ref="F17">INDEX('7층_부하량'!H3:H3000,MATCH(1,("7-DaHall 1-RPP-01"='7층_부하량'!A3:A3000)*(23='7층_부하량'!B3:B3000),0))</f>
        <v>3.04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6" cm="1">
        <f t="array" ref="P17">INDEX('7층_부하량'!H3:H3000,MATCH(1,("7-DaHall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6" cm="1">
        <f t="array" ref="D18">INDEX('7층_부하량'!F3:F3000,MATCH(1,("7-DaHall 1-RPP-01"='7층_부하량'!A3:A3000)*(25='7층_부하량'!B3:B3000),0))</f>
        <v>1.52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6" cm="1">
        <f t="array" ref="N18">INDEX('7층_부하량'!F3:F3000,MATCH(1,("7-DaHall 1-RPP-01"='7층_부하량'!A3:A3000)*(26='7층_부하량'!B3:B3000),0))</f>
        <v>3.45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6" cm="1">
        <f t="array" ref="E19">INDEX('7층_부하량'!G3:G3000,MATCH(1,("7-DaHall 1-RPP-01"='7층_부하량'!A3:A3000)*(27='7층_부하량'!B3:B3000),0))</f>
        <v>3.62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6" cm="1">
        <f t="array" ref="O19">INDEX('7층_부하량'!G3:G3000,MATCH(1,("7-DaHall 1-RPP-01"='7층_부하량'!A3:A3000)*(28='7층_부하량'!B3:B3000),0))</f>
        <v>4.34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8" cm="1">
        <f t="array" ref="F20">INDEX('7층_부하량'!H3:H3000,MATCH(1,("7-DaHall 1-RPP-01"='7층_부하량'!A3:A3000)*(29='7층_부하량'!B3:B3000),0))</f>
        <v>4.62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8" cm="1">
        <f t="array" ref="P20">INDEX('7층_부하량'!H3:H3000,MATCH(1,("7-DaHall 1-RPP-01"='7층_부하량'!A3:A3000)*(30='7층_부하량'!B3:B3000),0))</f>
        <v>6.02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6" cm="1">
        <f t="array" ref="D21">INDEX('7층_부하량'!F3:F3000,MATCH(1,("7-DaHall 1-RPP-01"='7층_부하량'!A3:A3000)*(31='7층_부하량'!B3:B3000),0))</f>
        <v>6.42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6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6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6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6" cm="1">
        <f t="array" ref="F23">INDEX('7층_부하량'!H3:H3000,MATCH(1,("7-DaHall 1-RPP-01"='7층_부하량'!A3:A3000)*(35='7층_부하량'!B3:B3000),0))</f>
        <v>6.72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6" cm="1">
        <f t="array" ref="P23">INDEX('7층_부하량'!H3:H3000,MATCH(1,("7-DaHall 1-RPP-01"='7층_부하량'!A3:A3000)*(36='7층_부하량'!B3:B3000),0))</f>
        <v>4.1399999999999997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6" cm="1">
        <f t="array" ref="D24">INDEX('7층_부하량'!F3:F3000,MATCH(1,("7-DaHall 1-RPP-01"='7층_부하량'!A3:A3000)*(37='7층_부하량'!B3:B3000),0))</f>
        <v>6.51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6" cm="1">
        <f t="array" ref="N24">INDEX('7층_부하량'!F3:F3000,MATCH(1,("7-DaHall 1-RPP-01"='7층_부하량'!A3:A3000)*(38='7층_부하량'!B3:B3000),0))</f>
        <v>2.3199999999999998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9" cm="1">
        <f t="array" ref="E25">INDEX('7층_부하량'!G3:G3000,MATCH(1,("7-DaHall 1-RPP-01"='7층_부하량'!A3:A3000)*(39='7층_부하량'!B3:B3000),0))</f>
        <v>4.17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9" cm="1">
        <f t="array" ref="O25">INDEX('7층_부하량'!G3:G3000,MATCH(1,("7-DaHall 1-RPP-01"='7층_부하량'!A3:A3000)*(40='7층_부하량'!B3:B3000),0))</f>
        <v>5.01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32.39</v>
      </c>
      <c r="O26" s="130">
        <f>SUM(E6:E25,O6:O25)</f>
        <v>21.82</v>
      </c>
      <c r="P26" s="130">
        <f>SUM(F6:F25,P6:P25)</f>
        <v>32.229999999999997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818" t="s">
        <v>8553</v>
      </c>
      <c r="E28" s="3818"/>
      <c r="F28" s="3818"/>
      <c r="G28" s="3818"/>
      <c r="H28" s="498"/>
      <c r="I28" s="132"/>
      <c r="J28" s="3821" t="s">
        <v>4288</v>
      </c>
      <c r="K28" s="382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4136</v>
      </c>
      <c r="N29" s="1342">
        <v>30.2</v>
      </c>
      <c r="O29" s="1343">
        <v>45.2</v>
      </c>
      <c r="P29" s="1344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4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4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50" cm="1">
        <f t="array" ref="F32">INDEX('7층_부하량'!H3:H3000,MATCH(1,("7-DaHall 1-PDU-02"='7층_부하량'!A3:A3000)*(3='7층_부하량'!B3:B3000),0))</f>
        <v>5.88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5" cm="1">
        <f t="array" ref="P32">INDEX('7층_부하량'!H3:H3000,MATCH(1,("7-DaHall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6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6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6" cm="1">
        <f t="array" ref="E34">INDEX('7층_부하량'!G3:G3000,MATCH(1,("7-DaHall 1-PDU-02"='7층_부하량'!A3:A3000)*(7='7층_부하량'!B3:B3000),0))</f>
        <v>5.77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6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6" cm="1">
        <f t="array" ref="F35">INDEX('7층_부하량'!H3:H3000,MATCH(1,("7-DaHall 1-PDU-02"='7층_부하량'!A3:A3000)*(9='7층_부하량'!B3:B3000),0))</f>
        <v>6.06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6" cm="1">
        <f t="array" ref="P35">INDEX('7층_부하량'!H3:H3000,MATCH(1,("7-DaHall 1-PDU-02"='7층_부하량'!A3:A3000)*(10='7층_부하량'!B3:B3000),0))</f>
        <v>4.6899999999999995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6" cm="1">
        <f t="array" ref="D36">INDEX('7층_부하량'!F3:F3000,MATCH(1,("7-DaHall 1-PDU-02"='7층_부하량'!A3:A3000)*(11='7층_부하량'!B3:B3000),0))</f>
        <v>5.7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6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6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6" cm="1">
        <f t="array" ref="O37">INDEX('7층_부하량'!G3:G3000,MATCH(1,("7-DaHall 1-PDU-02"='7층_부하량'!A3:A3000)*(14='7층_부하량'!B3:B3000),0))</f>
        <v>3.26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6" cm="1">
        <f t="array" ref="F38">INDEX('7층_부하량'!H3:H3000,MATCH(1,("7-DaHall 1-PDU-02"='7층_부하량'!A3:A3000)*(15='7층_부하량'!B3:B3000),0))</f>
        <v>1.1100000000000001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6" cm="1">
        <f t="array" ref="P38">INDEX('7층_부하량'!H3:H3000,MATCH(1,("7-DaHall 1-PDU-02"='7층_부하량'!A3:A3000)*(16='7층_부하량'!B3:B3000),0))</f>
        <v>3.17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6" cm="1">
        <f t="array" ref="D39">INDEX('7층_부하량'!F3:F3000,MATCH(1,("7-DaHall 1-PDU-02"='7층_부하량'!A3:A3000)*(17='7층_부하량'!B3:B3000),0))</f>
        <v>3.6</v>
      </c>
      <c r="E39" s="156"/>
      <c r="F39" s="156"/>
      <c r="G39" s="156"/>
      <c r="H39" s="535" t="s">
        <v>4171</v>
      </c>
      <c r="I39" s="475" t="s">
        <v>4238</v>
      </c>
      <c r="J39" s="153"/>
      <c r="K39" s="1199" t="s">
        <v>4313</v>
      </c>
      <c r="L39" s="482" t="s">
        <v>4179</v>
      </c>
      <c r="M39" s="535" t="s">
        <v>4171</v>
      </c>
      <c r="N39" s="2546" cm="1">
        <f t="array" ref="N39">INDEX('7층_부하량'!F3:F3000,MATCH(1,("7-DaHall 1-PDU-02"='7층_부하량'!A3:A3000)*(18='7층_부하량'!B3:B3000),0))</f>
        <v>1.78</v>
      </c>
      <c r="O39" s="156"/>
      <c r="P39" s="156"/>
      <c r="Q39" s="156"/>
      <c r="R39" s="156" t="s">
        <v>4204</v>
      </c>
      <c r="S39" s="163" t="s">
        <v>4149</v>
      </c>
      <c r="T39" s="1201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6" cm="1">
        <f t="array" ref="E40">INDEX('7층_부하량'!G3:G3000,MATCH(1,("7-DaHall 1-PDU-02"='7층_부하량'!A3:A3000)*(19='7층_부하량'!B3:B3000),0))</f>
        <v>9.2899999999999991</v>
      </c>
      <c r="F40" s="156"/>
      <c r="G40" s="156"/>
      <c r="H40" s="535" t="s">
        <v>4171</v>
      </c>
      <c r="I40" s="475" t="s">
        <v>4243</v>
      </c>
      <c r="J40" s="153"/>
      <c r="K40" s="1199" t="s">
        <v>4316</v>
      </c>
      <c r="L40" s="482" t="s">
        <v>4183</v>
      </c>
      <c r="M40" s="535" t="s">
        <v>4171</v>
      </c>
      <c r="N40" s="156"/>
      <c r="O40" s="2546" cm="1">
        <f t="array" ref="O40">INDEX('7층_부하량'!G3:G3000,MATCH(1,("7-DaHall 1-PDU-02"='7층_부하량'!A3:A3000)*(20='7층_부하량'!B3:B3000),0))</f>
        <v>3.04</v>
      </c>
      <c r="P40" s="156"/>
      <c r="Q40" s="156"/>
      <c r="R40" s="156" t="s">
        <v>4204</v>
      </c>
      <c r="S40" s="281" t="s">
        <v>4149</v>
      </c>
      <c r="T40" s="1201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6" cm="1">
        <f t="array" ref="F41">INDEX('7층_부하량'!H3:H3000,MATCH(1,("7-DaHall 1-PDU-02"='7층_부하량'!A3:A3000)*(21='7층_부하량'!B3:B3000),0))</f>
        <v>4.3899999999999997</v>
      </c>
      <c r="G41" s="156"/>
      <c r="H41" s="535" t="s">
        <v>4171</v>
      </c>
      <c r="I41" s="475" t="s">
        <v>4247</v>
      </c>
      <c r="J41" s="153"/>
      <c r="K41" s="1199" t="s">
        <v>4319</v>
      </c>
      <c r="L41" s="482" t="s">
        <v>4187</v>
      </c>
      <c r="M41" s="535" t="s">
        <v>4171</v>
      </c>
      <c r="N41" s="156"/>
      <c r="O41" s="156"/>
      <c r="P41" s="2546" cm="1">
        <f t="array" ref="P41">INDEX('7층_부하량'!H3:H3000,MATCH(1,("7-DaHall 1-PDU-02"='7층_부하량'!A3:A3000)*(22='7층_부하량'!B3:B3000),0))</f>
        <v>1.99</v>
      </c>
      <c r="Q41" s="156"/>
      <c r="R41" s="156" t="s">
        <v>4204</v>
      </c>
      <c r="S41" s="281" t="s">
        <v>4149</v>
      </c>
      <c r="T41" s="1201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6" cm="1">
        <f t="array" ref="D42">INDEX('7층_부하량'!F3:F3000,MATCH(1,("7-DaHall 1-PDU-02"='7층_부하량'!A3:A3000)*(23='7층_부하량'!B3:B3000),0))</f>
        <v>2.95</v>
      </c>
      <c r="E42" s="156"/>
      <c r="F42" s="156"/>
      <c r="G42" s="156"/>
      <c r="H42" s="535" t="s">
        <v>4171</v>
      </c>
      <c r="I42" s="475" t="s">
        <v>4251</v>
      </c>
      <c r="J42" s="153"/>
      <c r="K42" s="1199" t="s">
        <v>4322</v>
      </c>
      <c r="L42" s="482" t="s">
        <v>4253</v>
      </c>
      <c r="M42" s="535" t="s">
        <v>4171</v>
      </c>
      <c r="N42" s="2546" cm="1">
        <f t="array" ref="N42">INDEX('7층_부하량'!F3:F3000,MATCH(1,("7-DaHall 1-PDU-02"='7층_부하량'!A3:A3000)*(24='7층_부하량'!B3:B3000),0))</f>
        <v>2.42</v>
      </c>
      <c r="O42" s="156"/>
      <c r="P42" s="156"/>
      <c r="Q42" s="156"/>
      <c r="R42" s="156" t="s">
        <v>4204</v>
      </c>
      <c r="S42" s="281" t="s">
        <v>4149</v>
      </c>
      <c r="T42" s="1201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6" cm="1">
        <f t="array" ref="E43">INDEX('7층_부하량'!G3:G3000,MATCH(1,("7-DaHall 1-PDU-02"='7층_부하량'!A3:A3000)*(25='7층_부하량'!B3:B3000),0))</f>
        <v>2.34</v>
      </c>
      <c r="F43" s="156"/>
      <c r="G43" s="156"/>
      <c r="H43" s="535" t="s">
        <v>4171</v>
      </c>
      <c r="I43" s="475" t="s">
        <v>4256</v>
      </c>
      <c r="J43" s="153"/>
      <c r="K43" s="1199" t="s">
        <v>4325</v>
      </c>
      <c r="L43" s="482" t="s">
        <v>4258</v>
      </c>
      <c r="M43" s="535" t="s">
        <v>4171</v>
      </c>
      <c r="N43" s="156"/>
      <c r="O43" s="2546" cm="1">
        <f t="array" ref="O43">INDEX('7층_부하량'!G3:G3000,MATCH(1,("7-DaHall 1-PDU-02"='7층_부하량'!A3:A3000)*(26='7층_부하량'!B3:B3000),0))</f>
        <v>3.64</v>
      </c>
      <c r="P43" s="156"/>
      <c r="Q43" s="156"/>
      <c r="R43" s="156" t="s">
        <v>4204</v>
      </c>
      <c r="S43" s="281" t="s">
        <v>4149</v>
      </c>
      <c r="T43" s="1201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51" cm="1">
        <f t="array" ref="F44">INDEX('7층_부하량'!H3:H3000,MATCH(1,("7-DaHall 1-PDU-02"='7층_부하량'!A3:A3000)*(27='7층_부하량'!B3:B3000),0))</f>
        <v>4.3099999999999996</v>
      </c>
      <c r="G44" s="176"/>
      <c r="H44" s="538" t="s">
        <v>4171</v>
      </c>
      <c r="I44" s="478" t="s">
        <v>4261</v>
      </c>
      <c r="J44" s="177"/>
      <c r="K44" s="1200" t="s">
        <v>4328</v>
      </c>
      <c r="L44" s="483" t="s">
        <v>4262</v>
      </c>
      <c r="M44" s="538" t="s">
        <v>4171</v>
      </c>
      <c r="N44" s="176"/>
      <c r="O44" s="176"/>
      <c r="P44" s="2551" cm="1">
        <f t="array" ref="P44">INDEX('7층_부하량'!H3:H3000,MATCH(1,("7-DaHall 1-PDU-02"='7층_부하량'!A3:A3000)*(28='7층_부하량'!B3:B3000),0))</f>
        <v>5.83</v>
      </c>
      <c r="Q44" s="176"/>
      <c r="R44" s="176" t="s">
        <v>4204</v>
      </c>
      <c r="S44" s="470" t="s">
        <v>4149</v>
      </c>
      <c r="T44" s="1202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7" t="s">
        <v>4149</v>
      </c>
      <c r="D45" s="2546" cm="1">
        <f t="array" ref="D45">INDEX('7층_부하량'!F3:F3000,MATCH(1,("7-DaHall 1-PDU-02"='7층_부하량'!A3:A3000)*(29='7층_부하량'!B3:B3000),0))</f>
        <v>2.44</v>
      </c>
      <c r="E45" s="178"/>
      <c r="F45" s="178"/>
      <c r="G45" s="178"/>
      <c r="H45" s="536" t="s">
        <v>4171</v>
      </c>
      <c r="I45" s="476" t="s">
        <v>4264</v>
      </c>
      <c r="J45" s="2338" t="s">
        <v>4240</v>
      </c>
      <c r="K45" s="518" t="s">
        <v>4331</v>
      </c>
      <c r="L45" s="484" t="s">
        <v>4265</v>
      </c>
      <c r="M45" s="536" t="s">
        <v>4171</v>
      </c>
      <c r="N45" s="2546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4204</v>
      </c>
      <c r="S45" s="281" t="s">
        <v>4149</v>
      </c>
      <c r="T45" s="1352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6" cm="1">
        <f t="array" ref="E46">INDEX('7층_부하량'!G3:G3000,MATCH(1,("7-DaHall 1-PDU-02"='7층_부하량'!A3:A3000)*(31='7층_부하량'!B3:B3000),0))</f>
        <v>3.7800000000000002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6" cm="1">
        <f t="array" ref="O46">INDEX('7층_부하량'!G3:G3000,MATCH(1,("7-DaHall 1-PDU-02"='7층_부하량'!A3:A3000)*(32='7층_부하량'!B3:B3000),0))</f>
        <v>2.09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6" cm="1">
        <f t="array" ref="F47">INDEX('7층_부하량'!H3:H3000,MATCH(1,("7-DaHall 1-PDU-02"='7층_부하량'!A3:A3000)*(33='7층_부하량'!B3:B3000),0))</f>
        <v>8.58</v>
      </c>
      <c r="G47" s="156"/>
      <c r="H47" s="535" t="s">
        <v>4171</v>
      </c>
      <c r="I47" s="475" t="s">
        <v>4270</v>
      </c>
      <c r="J47" s="651" t="s">
        <v>4334</v>
      </c>
      <c r="K47" s="1363" t="s">
        <v>4339</v>
      </c>
      <c r="L47" s="482" t="s">
        <v>4271</v>
      </c>
      <c r="M47" s="535" t="s">
        <v>4171</v>
      </c>
      <c r="N47" s="156"/>
      <c r="O47" s="156"/>
      <c r="P47" s="2546" cm="1">
        <f t="array" ref="P47">INDEX('7층_부하량'!H3:H3000,MATCH(1,("7-DaHall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6" cm="1">
        <f t="array" ref="D48">INDEX('7층_부하량'!F3:F3000,MATCH(1,("7-DaHall 1-PDU-02"='7층_부하량'!A3:A3000)*(35='7층_부하량'!B3:B3000),0))</f>
        <v>6.77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6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6" cm="1">
        <f t="array" ref="E49">INDEX('7층_부하량'!G3:G3000,MATCH(1,("7-DaHall 1-PDU-02"='7층_부하량'!A3:A3000)*(37='7층_부하량'!B3:B3000),0))</f>
        <v>0.7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6" cm="1">
        <f t="array" ref="O49">INDEX('7층_부하량'!G3:G3000,MATCH(1,("7-DaHall 1-PDU-02"='7층_부하량'!A3:A3000)*(38='7층_부하량'!B3:B3000),0))</f>
        <v>4.0599999999999996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6" cm="1">
        <f t="array" ref="F50">INDEX('7층_부하량'!H3:H3000,MATCH(1,("7-DaHall 1-PDU-02"='7층_부하량'!A3:A3000)*(39='7층_부하량'!B3:B3000),0))</f>
        <v>1.88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6" cm="1">
        <f t="array" ref="P50">INDEX('7층_부하량'!H3:H3000,MATCH(1,("7-DaHall 1-PDU-02"='7층_부하량'!A3:A3000)*(40='7층_부하량'!B3:B3000),0))</f>
        <v>3.35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6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6" cm="1">
        <f t="array" ref="N51">INDEX('7층_부하량'!F3:F3000,MATCH(1,("7-DaHall 1-PDU-02"='7층_부하량'!A3:A3000)*(42='7층_부하량'!B3:B3000),0))</f>
        <v>5.33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6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6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8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6" cm="1">
        <f t="array" ref="F53">INDEX('7층_부하량'!H3:H3000,MATCH(1,("7-DaHall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6" cm="1">
        <f t="array" ref="P53">INDEX('7층_부하량'!H3:H3000,MATCH(1,("7-DaHall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6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6" cm="1">
        <f t="array" ref="N54">INDEX('7층_부하량'!F3:F3000,MATCH(1,("7-DaHall 1-PDU-02"='7층_부하량'!A3:A3000)*(48='7층_부하량'!B3:B3000),0))</f>
        <v>2.73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4" t="s">
        <v>1116</v>
      </c>
      <c r="B55" s="156" t="s">
        <v>4153</v>
      </c>
      <c r="C55" s="281" t="s">
        <v>4149</v>
      </c>
      <c r="D55" s="156"/>
      <c r="E55" s="2546" cm="1">
        <f t="array" ref="E55">INDEX('7층_부하량'!G3:G3000,MATCH(1,("7-DaHall 1-PDU-02"='7층_부하량'!A3:A3000)*(49='7층_부하량'!B3:B3000),0))</f>
        <v>0.94</v>
      </c>
      <c r="F55" s="156"/>
      <c r="G55" s="156"/>
      <c r="H55" s="535" t="s">
        <v>4171</v>
      </c>
      <c r="I55" s="475" t="s">
        <v>4360</v>
      </c>
      <c r="J55" s="2245" t="s">
        <v>4361</v>
      </c>
      <c r="K55" s="517"/>
      <c r="L55" s="482" t="s">
        <v>4362</v>
      </c>
      <c r="M55" s="535" t="s">
        <v>4171</v>
      </c>
      <c r="N55" s="156"/>
      <c r="O55" s="2545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4" t="s">
        <v>1118</v>
      </c>
      <c r="B56" s="156" t="s">
        <v>4153</v>
      </c>
      <c r="C56" s="281" t="s">
        <v>4149</v>
      </c>
      <c r="D56" s="156"/>
      <c r="E56" s="156"/>
      <c r="F56" s="2546" cm="1">
        <f t="array" ref="F56">INDEX('7층_부하량'!H3:H3000,MATCH(1,("7-DaHall 1-PDU-02"='7층_부하량'!A3:A3000)*(51='7층_부하량'!B3:B3000),0))</f>
        <v>0.56999999999999995</v>
      </c>
      <c r="G56" s="156"/>
      <c r="H56" s="535" t="s">
        <v>4171</v>
      </c>
      <c r="I56" s="475" t="s">
        <v>4364</v>
      </c>
      <c r="J56" s="2245" t="s">
        <v>4365</v>
      </c>
      <c r="K56" s="517"/>
      <c r="L56" s="482" t="s">
        <v>4366</v>
      </c>
      <c r="M56" s="535" t="s">
        <v>4171</v>
      </c>
      <c r="N56" s="156"/>
      <c r="O56" s="156"/>
      <c r="P56" s="2545" cm="1">
        <f t="array" ref="P56">INDEX('7층_부하량'!H3:H3000,MATCH(1,("7-DaHall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9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9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34.639999999999993</v>
      </c>
      <c r="O58" s="130">
        <f>SUM(E31:E57,O31:O57)</f>
        <v>51.410000000000004</v>
      </c>
      <c r="P58" s="130">
        <f>SUM(P31:P57,F31:F57)</f>
        <v>51.81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818" t="s">
        <v>8554</v>
      </c>
      <c r="E60" s="3818"/>
      <c r="F60" s="3818"/>
      <c r="G60" s="3818"/>
      <c r="H60" s="498"/>
      <c r="I60" s="132"/>
      <c r="J60" s="3821" t="s">
        <v>4288</v>
      </c>
      <c r="K60" s="382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4136</v>
      </c>
      <c r="N61" s="1342">
        <v>33.4</v>
      </c>
      <c r="O61" s="1343">
        <v>43.4</v>
      </c>
      <c r="P61" s="1344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4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4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50" cm="1">
        <f t="array" ref="F64">INDEX('7층_부하량'!H3:H3000,MATCH(1,("7-DaHall 1-PDU-01"='7층_부하량'!A3:A3000)*(3='7층_부하량'!B3:B3000),0))</f>
        <v>3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5" cm="1">
        <f t="array" ref="P64">INDEX('7층_부하량'!H3:H3000,MATCH(1,("7-DaHall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6" cm="1">
        <f t="array" ref="D65">INDEX('7층_부하량'!F3:F3000,MATCH(1,("7-DaHall 1-PDU-01"='7층_부하량'!A3:A3000)*(5='7층_부하량'!B3:B3000),0))</f>
        <v>5.39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6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6" cm="1">
        <f t="array" ref="E66">INDEX('7층_부하량'!G3:G3000,MATCH(1,("7-DaHall 1-PDU-01"='7층_부하량'!A3:A3000)*(7='7층_부하량'!B3:B3000),0))</f>
        <v>6.02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6" cm="1">
        <f t="array" ref="O66">INDEX('7층_부하량'!G3:G3000,MATCH(1,("7-DaHall 1-PDU-01"='7층_부하량'!A3:A3000)*(8='7층_부하량'!B3:B3000),0))</f>
        <v>2.31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6" cm="1">
        <f t="array" ref="F67">INDEX('7층_부하량'!H3:H3000,MATCH(1,("7-DaHall 1-PDU-01"='7층_부하량'!A3:A3000)*(9='7층_부하량'!B3:B3000),0))</f>
        <v>7.41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6" cm="1">
        <f t="array" ref="P67">INDEX('7층_부하량'!H3:H3000,MATCH(1,("7-DaHall 1-PDU-01"='7층_부하량'!A3:A3000)*(10='7층_부하량'!B3:B3000),0))</f>
        <v>2.89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6" cm="1">
        <f t="array" ref="D68">INDEX('7층_부하량'!F3:F3000,MATCH(1,("7-DaHall 1-PDU-01"='7층_부하량'!A3:A3000)*(11='7층_부하량'!B3:B3000),0))</f>
        <v>6.9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6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6" cm="1">
        <f t="array" ref="E69">INDEX('7층_부하량'!G3:G3000,MATCH(1,("7-DaHall 1-PDU-01"='7층_부하량'!A3:A3000)*(13='7층_부하량'!B3:B3000),0))</f>
        <v>6.7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6" cm="1">
        <f t="array" ref="O69">INDEX('7층_부하량'!G3:G3000,MATCH(1,("7-DaHall 1-PDU-01"='7층_부하량'!A3:A3000)*(14='7층_부하량'!B3:B3000),0))</f>
        <v>4.58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6" cm="1">
        <f t="array" ref="F70">INDEX('7층_부하량'!H3:H3000,MATCH(1,("7-DaHall 1-PDU-01"='7층_부하량'!A3:A3000)*(15='7층_부하량'!B3:B3000),0))</f>
        <v>0.79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6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6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9" t="s">
        <v>4313</v>
      </c>
      <c r="L71" s="482" t="s">
        <v>4179</v>
      </c>
      <c r="M71" s="535" t="s">
        <v>4171</v>
      </c>
      <c r="N71" s="2546" cm="1">
        <f t="array" ref="N71">INDEX('7층_부하량'!F3:F3000,MATCH(1,("7-DaHall 1-PDU-01"='7층_부하량'!A3:A3000)*(18='7층_부하량'!B3:B3000),0))</f>
        <v>1.78</v>
      </c>
      <c r="O71" s="156"/>
      <c r="P71" s="156"/>
      <c r="Q71" s="156"/>
      <c r="R71" s="156" t="s">
        <v>4204</v>
      </c>
      <c r="S71" s="163" t="s">
        <v>4149</v>
      </c>
      <c r="T71" s="1201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6" cm="1">
        <f t="array" ref="E72">INDEX('7층_부하량'!G3:G3000,MATCH(1,("7-DaHall 1-PDU-01"='7층_부하량'!A3:A3000)*(19='7층_부하량'!B3:B3000),0))</f>
        <v>4.2300000000000004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9" t="s">
        <v>4316</v>
      </c>
      <c r="L72" s="482" t="s">
        <v>4183</v>
      </c>
      <c r="M72" s="535" t="s">
        <v>4171</v>
      </c>
      <c r="N72" s="156"/>
      <c r="O72" s="2546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4204</v>
      </c>
      <c r="S72" s="281" t="s">
        <v>4149</v>
      </c>
      <c r="T72" s="1201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6" cm="1">
        <f t="array" ref="F73">INDEX('7층_부하량'!H3:H3000,MATCH(1,("7-DaHall 1-PDU-01"='7층_부하량'!A3:A3000)*(21='7층_부하량'!B3:B3000),0))</f>
        <v>4.1500000000000004</v>
      </c>
      <c r="G73" s="156"/>
      <c r="H73" s="535" t="s">
        <v>4171</v>
      </c>
      <c r="I73" s="475" t="s">
        <v>4247</v>
      </c>
      <c r="J73" s="153" t="s">
        <v>4294</v>
      </c>
      <c r="K73" s="1199" t="s">
        <v>4319</v>
      </c>
      <c r="L73" s="482" t="s">
        <v>4187</v>
      </c>
      <c r="M73" s="535" t="s">
        <v>4171</v>
      </c>
      <c r="N73" s="156"/>
      <c r="O73" s="156"/>
      <c r="P73" s="2546" cm="1">
        <f t="array" ref="P73">INDEX('7층_부하량'!H3:H3000,MATCH(1,("7-DaHall 1-PDU-01"='7층_부하량'!A3:A3000)*(22='7층_부하량'!B3:B3000),0))</f>
        <v>1.75</v>
      </c>
      <c r="Q73" s="156"/>
      <c r="R73" s="156" t="s">
        <v>4204</v>
      </c>
      <c r="S73" s="281" t="s">
        <v>4149</v>
      </c>
      <c r="T73" s="1201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6" cm="1">
        <f t="array" ref="D74">INDEX('7층_부하량'!F3:F3000,MATCH(1,("7-DaHall 1-PDU-01"='7층_부하량'!A3:A3000)*(23='7층_부하량'!B3:B3000),0))</f>
        <v>2.0499999999999998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9" t="s">
        <v>4322</v>
      </c>
      <c r="L74" s="482" t="s">
        <v>4253</v>
      </c>
      <c r="M74" s="535" t="s">
        <v>4171</v>
      </c>
      <c r="N74" s="2546" cm="1">
        <f t="array" ref="N74">INDEX('7층_부하량'!F3:F3000,MATCH(1,("7-DaHall 1-PDU-01"='7층_부하량'!A3:A3000)*(24='7층_부하량'!B3:B3000),0))</f>
        <v>2.77</v>
      </c>
      <c r="O74" s="156"/>
      <c r="P74" s="156"/>
      <c r="Q74" s="156"/>
      <c r="R74" s="156" t="s">
        <v>4204</v>
      </c>
      <c r="S74" s="281" t="s">
        <v>4149</v>
      </c>
      <c r="T74" s="1201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6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9" t="s">
        <v>4325</v>
      </c>
      <c r="L75" s="482" t="s">
        <v>4258</v>
      </c>
      <c r="M75" s="535" t="s">
        <v>4171</v>
      </c>
      <c r="N75" s="156"/>
      <c r="O75" s="2546" cm="1">
        <f t="array" ref="O75">INDEX('7층_부하량'!G3:G3000,MATCH(1,("7-DaHall 1-PDU-01"='7층_부하량'!A3:A3000)*(26='7층_부하량'!B3:B3000),0))</f>
        <v>3.45</v>
      </c>
      <c r="P75" s="156"/>
      <c r="Q75" s="156"/>
      <c r="R75" s="156" t="s">
        <v>4204</v>
      </c>
      <c r="S75" s="281" t="s">
        <v>4149</v>
      </c>
      <c r="T75" s="1201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51" cm="1">
        <f t="array" ref="F76">INDEX('7층_부하량'!H3:H3000,MATCH(1,("7-DaHall 1-PDU-01"='7층_부하량'!A3:A3000)*(27='7층_부하량'!B3:B3000),0))</f>
        <v>3.5</v>
      </c>
      <c r="G76" s="176"/>
      <c r="H76" s="538" t="s">
        <v>4171</v>
      </c>
      <c r="I76" s="478" t="s">
        <v>4261</v>
      </c>
      <c r="J76" s="177" t="s">
        <v>4294</v>
      </c>
      <c r="K76" s="1200" t="s">
        <v>4328</v>
      </c>
      <c r="L76" s="483" t="s">
        <v>4262</v>
      </c>
      <c r="M76" s="538" t="s">
        <v>4171</v>
      </c>
      <c r="N76" s="176"/>
      <c r="O76" s="176"/>
      <c r="P76" s="2551" cm="1">
        <f t="array" ref="P76">INDEX('7층_부하량'!H3:H3000,MATCH(1,("7-DaHall 1-PDU-01"='7층_부하량'!A3:A3000)*(28='7층_부하량'!B3:B3000),0))</f>
        <v>5.63</v>
      </c>
      <c r="Q76" s="176"/>
      <c r="R76" s="176" t="s">
        <v>4204</v>
      </c>
      <c r="S76" s="470" t="s">
        <v>4149</v>
      </c>
      <c r="T76" s="1202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6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6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4204</v>
      </c>
      <c r="S77" s="281" t="s">
        <v>4149</v>
      </c>
      <c r="T77" s="1352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6" cm="1">
        <f t="array" ref="E78">INDEX('7층_부하량'!G3:G3000,MATCH(1,("7-DaHall 1-PDU-01"='7층_부하량'!A3:A3000)*(31='7층_부하량'!B3:B3000),0))</f>
        <v>4.5999999999999996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6" cm="1">
        <f t="array" ref="O78">INDEX('7층_부하량'!G3:G3000,MATCH(1,("7-DaHall 1-PDU-01"='7층_부하량'!A3:A3000)*(32='7층_부하량'!B3:B3000),0))</f>
        <v>2.4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6" cm="1">
        <f t="array" ref="F79">INDEX('7층_부하량'!H3:H3000,MATCH(1,("7-DaHall 1-PDU-01"='7층_부하량'!A3:A3000)*(33='7층_부하량'!B3:B3000),0))</f>
        <v>8.89</v>
      </c>
      <c r="G79" s="156"/>
      <c r="H79" s="535" t="s">
        <v>4171</v>
      </c>
      <c r="I79" s="475" t="s">
        <v>4270</v>
      </c>
      <c r="J79" s="651" t="s">
        <v>4334</v>
      </c>
      <c r="K79" s="1363" t="s">
        <v>4339</v>
      </c>
      <c r="L79" s="482" t="s">
        <v>4271</v>
      </c>
      <c r="M79" s="535" t="s">
        <v>4171</v>
      </c>
      <c r="N79" s="156"/>
      <c r="O79" s="156"/>
      <c r="P79" s="2546" cm="1">
        <f t="array" ref="P79">INDEX('7층_부하량'!H3:H3000,MATCH(1,("7-DaHall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6" cm="1">
        <f t="array" ref="D80">INDEX('7층_부하량'!F3:F3000,MATCH(1,("7-DaHall 1-PDU-01"='7층_부하량'!A3:A3000)*(35='7층_부하량'!B3:B3000),0))</f>
        <v>7.06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6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6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6" cm="1">
        <f t="array" ref="O81">INDEX('7층_부하량'!G3:G3000,MATCH(1,("7-DaHall 1-PDU-01"='7층_부하량'!A3:A3000)*(38='7층_부하량'!B3:B3000),0))</f>
        <v>2.99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6" cm="1">
        <f t="array" ref="F82">INDEX('7층_부하량'!H3:H3000,MATCH(1,("7-DaHall 1-PDU-01"='7층_부하량'!A3:A3000)*(39='7층_부하량'!B3:B3000),0))</f>
        <v>1.06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6" cm="1">
        <f t="array" ref="P82">INDEX('7층_부하량'!H3:H3000,MATCH(1,("7-DaHall 1-PDU-01"='7층_부하량'!A3:A3000)*(40='7층_부하량'!B3:B3000),0))</f>
        <v>3.55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6" cm="1">
        <f t="array" ref="D83">INDEX('7층_부하량'!F3:F3000,MATCH(1,("7-DaHall 1-PDU-01"='7층_부하량'!A3:A3000)*(41='7층_부하량'!B3:B3000),0))</f>
        <v>1.08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6" cm="1">
        <f t="array" ref="N83">INDEX('7층_부하량'!F3:F3000,MATCH(1,("7-DaHall 1-PDU-01"='7층_부하량'!A3:A3000)*(42='7층_부하량'!B3:B3000),0))</f>
        <v>3.79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6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6" cm="1">
        <f t="array" ref="O84">INDEX('7층_부하량'!G3:G3000,MATCH(1,("7-DaHall 1-PDU-01"='7층_부하량'!A3:A3000)*(44='7층_부하량'!B3:B3000),0))</f>
        <v>7.96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8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6" cm="1">
        <f t="array" ref="F85">INDEX('7층_부하량'!H3:H3000,MATCH(1,("7-DaHall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6" cm="1">
        <f t="array" ref="P85">INDEX('7층_부하량'!H3:H3000,MATCH(1,("7-DaHall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6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6" cm="1">
        <f t="array" ref="N86">INDEX('7층_부하량'!F3:F3000,MATCH(1,("7-DaHall 1-PDU-01"='7층_부하량'!A3:A3000)*(48='7층_부하량'!B3:B3000),0))</f>
        <v>3.56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6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5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6" cm="1">
        <f t="array" ref="F88">INDEX('7층_부하량'!H3:H3000,MATCH(1,("7-DaHall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5" cm="1">
        <f t="array" ref="P88">INDEX('7층_부하량'!H3:H3000,MATCH(1,("7-DaHall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9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9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38.320000000000007</v>
      </c>
      <c r="O90" s="130">
        <f>SUM(E63:E89,O63:O89)</f>
        <v>49.370000000000005</v>
      </c>
      <c r="P90" s="130">
        <f>SUM(F63:F89,P63:P89)</f>
        <v>45.07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818" t="s">
        <v>8555</v>
      </c>
      <c r="E92" s="3818"/>
      <c r="F92" s="3818"/>
      <c r="G92" s="3818"/>
      <c r="H92" s="489"/>
      <c r="I92" s="123"/>
      <c r="J92" s="3819" t="s">
        <v>4201</v>
      </c>
      <c r="K92" s="382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4136</v>
      </c>
      <c r="N93" s="1342">
        <v>39</v>
      </c>
      <c r="O93" s="1343">
        <v>12.5</v>
      </c>
      <c r="P93" s="1344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4" cm="1">
        <f t="array" ref="D95">INDEX('7층_부하량'!F3:F3000,MATCH(1,("7-DaHall 1-RPP-02"='7층_부하량'!A3:A3000)*(1='7층_부하량'!B3:B3000),0))</f>
        <v>5.0599999999999996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4" cm="1">
        <f t="array" ref="N95">INDEX('7층_부하량'!F3:F3000,MATCH(1,("7-DaHall 1-RPP-02"='7층_부하량'!A3:A3000)*(2='7층_부하량'!B3:B3000),0))</f>
        <v>8.1999999999999993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5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5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6" cm="1">
        <f t="array" ref="F97">INDEX('7층_부하량'!H3:H3000,MATCH(1,("7-DaHall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6" cm="1">
        <f t="array" ref="P97">INDEX('7층_부하량'!H3:H3000,MATCH(1,("7-DaHall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6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6" cm="1">
        <f t="array" ref="N98">INDEX('7층_부하량'!F3:F3000,MATCH(1,("7-DaHall 1-RPP-02"='7층_부하량'!A3:A3000)*(8='7층_부하량'!B3:B3000),0))</f>
        <v>7.52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6" cm="1">
        <f t="array" ref="E99">INDEX('7층_부하량'!G3:G3000,MATCH(1,("7-DaHall 1-RPP-02"='7층_부하량'!A3:A3000)*(9='7층_부하량'!B3:B3000),0))</f>
        <v>1.5899999999999999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6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6" cm="1">
        <f t="array" ref="F100">INDEX('7층_부하량'!H3:H3000,MATCH(1,("7-DaHall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6" cm="1">
        <f t="array" ref="P100">INDEX('7층_부하량'!H3:H3000,MATCH(1,("7-DaHall 1-RPP-02"='7층_부하량'!A3:A3000)*(12='7층_부하량'!B3:B3000),0))</f>
        <v>4.71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6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6" cm="1">
        <f t="array" ref="N101">INDEX('7층_부하량'!F3:F3000,MATCH(1,("7-DaHall 1-RPP-02"='7층_부하량'!A3:A3000)*(14='7층_부하량'!B3:B3000),0))</f>
        <v>16.05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6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6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6" cm="1">
        <f t="array" ref="F103">INDEX('7층_부하량'!H3:H3000,MATCH(1,("7-DaHall 1-RPP-02"='7층_부하량'!A3:A3000)*(17='7층_부하량'!B3:B3000),0))</f>
        <v>4.55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6" cm="1">
        <f t="array" ref="P103">INDEX('7층_부하량'!H3:H3000,MATCH(1,("7-DaHall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6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6" cm="1">
        <f t="array" ref="N104">INDEX('7층_부하량'!F3:F3000,MATCH(1,("7-DaHall 1-RPP-02"='7층_부하량'!A3:A3000)*(20='7층_부하량'!B3:B3000),0))</f>
        <v>4.25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6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6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6" cm="1">
        <f t="array" ref="F106">INDEX('7층_부하량'!H3:H3000,MATCH(1,("7-DaHall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6" cm="1">
        <f t="array" ref="P106">INDEX('7층_부하량'!H3:H3000,MATCH(1,("7-DaHall 1-RPP-02"='7층_부하량'!A3:A3000)*(24='7층_부하량'!B3:B3000),0))</f>
        <v>4.58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6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6" cm="1">
        <f t="array" ref="N107">INDEX('7층_부하량'!F3:F3000,MATCH(1,("7-DaHall 1-RPP-02"='7층_부하량'!A3:A3000)*(26='7층_부하량'!B3:B3000),0))</f>
        <v>0.63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6" cm="1">
        <f t="array" ref="E108">INDEX('7층_부하량'!G3:G3000,MATCH(1,("7-DaHall 1-RPP-02"='7층_부하량'!A3:A3000)*(27='7층_부하량'!B3:B3000),0))</f>
        <v>6.27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6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8" cm="1">
        <f t="array" ref="F109">INDEX('7층_부하량'!H3:H3000,MATCH(1,("7-DaHall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8" cm="1">
        <f t="array" ref="P109">INDEX('7층_부하량'!H3:H3000,MATCH(1,("7-DaHall 1-RPP-02"='7층_부하량'!A3:A3000)*(30='7층_부하량'!B3:B3000),0))</f>
        <v>2.69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6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6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6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6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6" cm="1">
        <f t="array" ref="F112">INDEX('7층_부하량'!H3:H3000,MATCH(1,("7-DaHall 1-RPP-02"='7층_부하량'!A3:A3000)*(35='7층_부하량'!B3:B3000),0))</f>
        <v>2.92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6" cm="1">
        <f t="array" ref="P112">INDEX('7층_부하량'!H3:H3000,MATCH(1,("7-DaHall 1-RPP-02"='7층_부하량'!A3:A3000)*(36='7층_부하량'!B3:B3000),0))</f>
        <v>8.02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6" cm="1">
        <f t="array" ref="D113">INDEX('7층_부하량'!F3:F3000,MATCH(1,("7-DaHall 1-RPP-02"='7층_부하량'!A3:A3000)*(37='7층_부하량'!B3:B3000),0))</f>
        <v>6.7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6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9" cm="1">
        <f t="array" ref="E114">INDEX('7층_부하량'!G3:G3000,MATCH(1,("7-DaHall 1-RPP-02"='7층_부하량'!A3:A3000)*(39='7층_부하량'!B3:B3000),0))</f>
        <v>8.3699999999999992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9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61.249999999999993</v>
      </c>
      <c r="O115" s="127">
        <f>SUM(E95:E114,O95:O114)</f>
        <v>19.27</v>
      </c>
      <c r="P115" s="127">
        <f>SUM(F95:F114,P95:P114)</f>
        <v>27.47</v>
      </c>
    </row>
    <row r="116" spans="1:20" ht="15" thickBot="1"/>
    <row r="117" spans="1:20" ht="15.6" thickTop="1" thickBot="1">
      <c r="A117" s="53" t="s">
        <v>6590</v>
      </c>
      <c r="D117" s="3818" t="s">
        <v>8556</v>
      </c>
      <c r="E117" s="3818"/>
      <c r="F117" s="3818"/>
      <c r="G117" s="3818"/>
      <c r="H117" s="489"/>
      <c r="I117" s="123"/>
      <c r="J117" s="3819" t="s">
        <v>4507</v>
      </c>
      <c r="K117" s="382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4136</v>
      </c>
      <c r="N118" s="1342">
        <v>6.8</v>
      </c>
      <c r="O118" s="1343">
        <v>8</v>
      </c>
      <c r="P118" s="1344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4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4" cm="1">
        <f t="array" ref="N120">INDEX('7층_부하량'!F3:F3000,MATCH(1,("7-DaHall 1-RPP-03"='7층_부하량'!A3:A3000)*(2='7층_부하량'!B3:B3000),0))</f>
        <v>1.51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5" cm="1">
        <f t="array" ref="E121">INDEX('7층_부하량'!G3:G3000,MATCH(1,("7-DaHall 1-RPP-03"='7층_부하량'!A3:A3000)*(3='7층_부하량'!B3:B3000),0))</f>
        <v>2.93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5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6" cm="1">
        <f t="array" ref="F122">INDEX('7층_부하량'!H3:H3000,MATCH(1,("7-DaHall 1-RPP-03"='7층_부하량'!A3:A3000)*(5='7층_부하량'!B3:B3000),0))</f>
        <v>3.6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6" cm="1">
        <f t="array" ref="P122">INDEX('7층_부하량'!H3:H3000,MATCH(1,("7-DaHall 1-RPP-03"='7층_부하량'!A3:A3000)*(6='7층_부하량'!B3:B3000),0))</f>
        <v>1.75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6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6" cm="1">
        <f t="array" ref="N123">INDEX('7층_부하량'!F3:F3000,MATCH(1,("7-DaHall 1-RPP-03"='7층_부하량'!A3:A3000)*(8='7층_부하량'!B3:B3000),0))</f>
        <v>2.13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6" cm="1">
        <f t="array" ref="E124">INDEX('7층_부하량'!G3:G3000,MATCH(1,("7-DaHall 1-RPP-03"='7층_부하량'!A3:A3000)*(9='7층_부하량'!B3:B3000),0))</f>
        <v>2.9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6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7.4799999999999995</v>
      </c>
      <c r="O125" s="130">
        <f>SUM(E120:E124,O120:O124)</f>
        <v>8.620000000000001</v>
      </c>
      <c r="P125" s="130">
        <f>SUM(F120:F124,P120:P124)</f>
        <v>5.35</v>
      </c>
      <c r="Q125" s="130"/>
      <c r="R125" s="130"/>
      <c r="S125" s="195"/>
      <c r="T125" s="531"/>
    </row>
    <row r="126" spans="1:20" ht="18" thickBot="1">
      <c r="A126" s="2446" t="s">
        <v>6588</v>
      </c>
      <c r="B126" s="132"/>
      <c r="C126" s="195"/>
      <c r="D126" s="3818" t="s">
        <v>8559</v>
      </c>
      <c r="E126" s="3818"/>
      <c r="F126" s="3818"/>
      <c r="G126" s="381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819" t="s">
        <v>4507</v>
      </c>
      <c r="K127" s="3820"/>
      <c r="L127" s="480"/>
      <c r="M127" s="1345" t="s">
        <v>4136</v>
      </c>
      <c r="N127" s="1342">
        <v>8.6</v>
      </c>
      <c r="O127" s="1343">
        <v>7.6</v>
      </c>
      <c r="P127" s="1344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4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4" cm="1">
        <f t="array" ref="N128">INDEX('7층_부하량'!F3:F3000,MATCH(1,("7-DaHall 1-RPP-04"='7층_부하량'!A3:A3000)*(2='7층_부하량'!B3:B3000),0))</f>
        <v>2.0099999999999998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5" cm="1">
        <f t="array" ref="E129">INDEX('7층_부하량'!G3:G3000,MATCH(1,("7-DaHall 1-RPP-04"='7층_부하량'!A3:A3000)*(3='7층_부하량'!B3:B3000),0))</f>
        <v>3.64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5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6" cm="1">
        <f t="array" ref="F130">INDEX('7층_부하량'!H3:H3000,MATCH(1,("7-DaHall 1-RPP-04"='7층_부하량'!A3:A3000)*(5='7층_부하량'!B3:B3000),0))</f>
        <v>4.59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6" cm="1">
        <f t="array" ref="P130">INDEX('7층_부하량'!H3:H3000,MATCH(1,("7-DaHall 1-RPP-04"='7층_부하량'!A3:A3000)*(6='7층_부하량'!B3:B3000),0))</f>
        <v>1.3900000000000001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6" cm="1">
        <f t="array" ref="D131">INDEX('7층_부하량'!F3:F3000,MATCH(1,("7-DaHall 1-RPP-04"='7층_부하량'!A3:A3000)*(7='7층_부하량'!B3:B3000),0))</f>
        <v>4.33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6" cm="1">
        <f t="array" ref="N131">INDEX('7층_부하량'!F3:F3000,MATCH(1,("7-DaHall 1-RPP-04"='7층_부하량'!A3:A3000)*(8='7층_부하량'!B3:B3000),0))</f>
        <v>2.08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6" cm="1">
        <f t="array" ref="E132">INDEX('7층_부하량'!G3:G3000,MATCH(1,("7-DaHall 1-RPP-04"='7층_부하량'!A3:A3000)*(9='7층_부하량'!B3:B3000),0))</f>
        <v>1.97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6" cm="1">
        <f t="array" ref="O132">INDEX('7층_부하량'!G3:G3000,MATCH(1,("7-DaHall 1-RPP-04"='7층_부하량'!A3:A3000)*(10='7층_부하량'!B3:B3000),0))</f>
        <v>3.02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9.61</v>
      </c>
      <c r="O133" s="127">
        <f>SUM(E128:E132,O128:O132)</f>
        <v>8.6300000000000008</v>
      </c>
      <c r="P133" s="127">
        <f>SUM(F128:F132,P128:P132)</f>
        <v>5.98</v>
      </c>
    </row>
    <row r="134" spans="1:20" ht="15" thickBot="1"/>
    <row r="135" spans="1:20" ht="15.6" thickTop="1" thickBot="1">
      <c r="A135" s="53" t="s">
        <v>6589</v>
      </c>
      <c r="D135" s="3818" t="s">
        <v>8557</v>
      </c>
      <c r="E135" s="3818"/>
      <c r="F135" s="3818"/>
      <c r="G135" s="3818"/>
      <c r="H135" s="489"/>
      <c r="I135" s="123"/>
      <c r="J135" s="3819" t="s">
        <v>4201</v>
      </c>
      <c r="K135" s="382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4136</v>
      </c>
      <c r="N136" s="1342">
        <v>82.2</v>
      </c>
      <c r="O136" s="1343">
        <v>71.2</v>
      </c>
      <c r="P136" s="1344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2" cm="1">
        <f t="array" ref="D138">INDEX('7층_부하량'!F3:F3000,MATCH(1,("7-DaHall 1-PDU-03"='7층_부하량'!A3:A3000)*(1='7층_부하량'!B3:B3000),0))</f>
        <v>28.79</v>
      </c>
      <c r="E138" s="2552" cm="1">
        <f t="array" ref="E138">INDEX('7층_부하량'!G3:G3000,MATCH(1,("7-DaHall 1-PDU-03"='7층_부하량'!A3:A3000)*(1='7층_부하량'!B3:B3000),0))</f>
        <v>15.71</v>
      </c>
      <c r="F138" s="2552" cm="1">
        <f t="array" ref="F138">INDEX('7층_부하량'!H3:H3000,MATCH(1,("7-DaHall 1-PDU-03"='7층_부하량'!A3:A3000)*(1='7층_부하량'!B3:B3000),0))</f>
        <v>21.02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2" cm="1">
        <f t="array" ref="N138">INDEX('7층_부하량'!F3:F3000,MATCH(1,("7-DaHall 1-PDU-03"='7층_부하량'!A3:A3000)*(2='7층_부하량'!B3:B3000),0))</f>
        <v>4.1500000000000004</v>
      </c>
      <c r="O138" s="2552" cm="1">
        <f t="array" ref="O138">INDEX('7층_부하량'!G3:G3000,MATCH(1,("7-DaHall 1-PDU-03"='7층_부하량'!A3:A3000)*(2='7층_부하량'!B3:B3000),0))</f>
        <v>4.1100000000000003</v>
      </c>
      <c r="P138" s="2552" cm="1">
        <f t="array" ref="P138">INDEX('7층_부하량'!H3:H3000,MATCH(1,("7-DaHall 1-PDU-03"='7층_부하량'!A3:A3000)*(2='7층_부하량'!B3:B3000),0))</f>
        <v>10.199999999999999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5" cm="1">
        <f t="array" ref="D139">INDEX('7층_부하량'!F3:F3000,MATCH(1,("7-DaHall 1-PDU-03"='7층_부하량'!A3:A3000)*(3='7층_부하량'!B3:B3000),0))</f>
        <v>7.12</v>
      </c>
      <c r="E139" s="2545" cm="1">
        <f t="array" ref="E139">INDEX('7층_부하량'!G3:G3000,MATCH(1,("7-DaHall 1-PDU-03"='7층_부하량'!A3:A3000)*(3='7층_부하량'!B3:B3000),0))</f>
        <v>8.2200000000000006</v>
      </c>
      <c r="F139" s="2545" cm="1">
        <f t="array" ref="F139">INDEX('7층_부하량'!H3:H3000,MATCH(1,("7-DaHall 1-PDU-03"='7층_부하량'!A3:A3000)*(3='7층_부하량'!B3:B3000),0))</f>
        <v>5.2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5" cm="1">
        <f t="array" ref="N139">INDEX('7층_부하량'!F3:F3000,MATCH(1,("7-DaHall 1-PDU-03"='7층_부하량'!A3:A3000)*(4='7층_부하량'!B3:B3000),0))</f>
        <v>0</v>
      </c>
      <c r="O139" s="2553" cm="1">
        <f t="array" ref="O139">INDEX('7층_부하량'!G3:G3000,MATCH(1,("7-DaHall 1-PDU-03"='7층_부하량'!A3:A3000)*(4='7층_부하량'!B3:B3000),0))</f>
        <v>0</v>
      </c>
      <c r="P139" s="2553" cm="1">
        <f t="array" ref="P139">INDEX('7층_부하량'!H3:H3000,MATCH(1,("7-DaHall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6" cm="1">
        <f t="array" ref="D140">INDEX('7층_부하량'!F3:F3000,MATCH(1,("7-DaHall 1-PDU-03"='7층_부하량'!A3:A3000)*(5='7층_부하량'!B3:B3000),0))</f>
        <v>0</v>
      </c>
      <c r="E140" s="2546" cm="1">
        <f t="array" ref="E140">INDEX('7층_부하량'!G3:G3000,MATCH(1,("7-DaHall 1-PDU-03"='7층_부하량'!A3:A3000)*(5='7층_부하량'!B3:B3000),0))</f>
        <v>0</v>
      </c>
      <c r="F140" s="2546" cm="1">
        <f t="array" ref="F140">INDEX('7층_부하량'!H3:H3000,MATCH(1,("7-DaHall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4" cm="1">
        <f t="array" ref="N140">INDEX('7층_부하량'!F3:F3000,MATCH(1,("7-DaHall 1-PDU-03"='7층_부하량'!A3:A3000)*(6='7층_부하량'!B3:B3000),0))</f>
        <v>52.52</v>
      </c>
      <c r="O140" s="2554" cm="1">
        <f t="array" ref="O140">INDEX('7층_부하량'!G3:G3000,MATCH(1,("7-DaHall 1-PDU-03"='7층_부하량'!A3:A3000)*(6='7층_부하량'!B3:B3000),0))</f>
        <v>53</v>
      </c>
      <c r="P140" s="2554" cm="1">
        <f t="array" ref="P140">INDEX('7층_부하량'!H3:H3000,MATCH(1,("7-DaHall 1-PDU-03"='7층_부하량'!A3:A3000)*(6='7층_부하량'!B3:B3000),0))</f>
        <v>55.76</v>
      </c>
      <c r="Q140" s="993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6" cm="1">
        <f t="array" ref="D141">INDEX('7층_부하량'!F3:F3000,MATCH(1,("7-DaHall 1-PDU-03"='7층_부하량'!A3:A3000)*(7='7층_부하량'!B3:B3000),0))</f>
        <v>0</v>
      </c>
      <c r="E141" s="2546" cm="1">
        <f t="array" ref="E141">INDEX('7층_부하량'!G3:G3000,MATCH(1,("7-DaHall 1-PDU-03"='7층_부하량'!A3:A3000)*(7='7층_부하량'!B3:B3000),0))</f>
        <v>0</v>
      </c>
      <c r="F141" s="2546" cm="1">
        <f t="array" ref="F141">INDEX('7층_부하량'!H3:H3000,MATCH(1,("7-DaHall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6" cm="1">
        <f t="array" ref="N141">INDEX('7층_부하량'!F3:F3000,MATCH(1,("7-DaHall 1-PDU-03"='7층_부하량'!A3:A3000)*(8='7층_부하량'!B3:B3000),0))</f>
        <v>0</v>
      </c>
      <c r="O141" s="2546" cm="1">
        <f t="array" ref="O141">INDEX('7층_부하량'!G3:G3000,MATCH(1,("7-DaHall 1-PDU-03"='7층_부하량'!A3:A3000)*(8='7층_부하량'!B3:B3000),0))</f>
        <v>0</v>
      </c>
      <c r="P141" s="2546" cm="1">
        <f t="array" ref="P141">INDEX('7층_부하량'!H3:H3000,MATCH(1,("7-DaHall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6" cm="1">
        <f t="array" ref="D142">INDEX('7층_부하량'!F3:F3000,MATCH(1,("7-DaHall 1-PDU-03"='7층_부하량'!A3:A3000)*(9='7층_부하량'!B3:B3000),0))</f>
        <v>0</v>
      </c>
      <c r="E142" s="2546" cm="1">
        <f t="array" ref="E142">INDEX('7층_부하량'!G3:G3000,MATCH(1,("7-DaHall 1-PDU-03"='7층_부하량'!A3:A3000)*(9='7층_부하량'!B3:B3000),0))</f>
        <v>0</v>
      </c>
      <c r="F142" s="2546" cm="1">
        <f t="array" ref="F142">INDEX('7층_부하량'!H3:H3000,MATCH(1,("7-DaHall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6" cm="1">
        <f t="array" ref="N142">INDEX('7층_부하량'!F3:F3000,MATCH(1,("7-DaHall 1-PDU-03"='7층_부하량'!A3:A3000)*(10='7층_부하량'!B3:B3000),0))</f>
        <v>0</v>
      </c>
      <c r="O142" s="2546" cm="1">
        <f t="array" ref="O142">INDEX('7층_부하량'!G3:G3000,MATCH(1,("7-DaHall 1-PDU-03"='7층_부하량'!A3:A3000)*(10='7층_부하량'!B3:B3000),0))</f>
        <v>0</v>
      </c>
      <c r="P142" s="2546" cm="1">
        <f t="array" ref="P142">INDEX('7층_부하량'!H3:H3000,MATCH(1,("7-DaHall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5" t="s">
        <v>4537</v>
      </c>
      <c r="I147" s="477" t="s">
        <v>4243</v>
      </c>
      <c r="J147" s="167"/>
      <c r="K147" s="519"/>
      <c r="L147" s="485" t="s">
        <v>4183</v>
      </c>
      <c r="M147" s="1155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92.58</v>
      </c>
      <c r="O148" s="127">
        <f>SUM(E138:E147,O138:O147)</f>
        <v>81.039999999999992</v>
      </c>
      <c r="P148" s="127">
        <f>SUM(F138:F147,P138:P147)</f>
        <v>92.18</v>
      </c>
    </row>
    <row r="149" spans="1:20" ht="15" thickBot="1"/>
    <row r="150" spans="1:20" ht="15.6" thickTop="1" thickBot="1">
      <c r="A150" s="53" t="s">
        <v>6586</v>
      </c>
      <c r="D150" s="3818" t="s">
        <v>8558</v>
      </c>
      <c r="E150" s="3818"/>
      <c r="F150" s="3818"/>
      <c r="G150" s="3818"/>
      <c r="H150" s="489"/>
      <c r="I150" s="123"/>
      <c r="J150" s="3819" t="s">
        <v>4201</v>
      </c>
      <c r="K150" s="382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4136</v>
      </c>
      <c r="N151" s="1342">
        <v>88.3</v>
      </c>
      <c r="O151" s="1343">
        <v>66</v>
      </c>
      <c r="P151" s="1344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4" cm="1">
        <f t="array" ref="D153">INDEX('7층_부하량'!F3:F3000,MATCH(1,("7-DaHall 1-PDU-04"='7층_부하량'!A3:A3000)*(1='7층_부하량'!B3:B3000),0))</f>
        <v>46.85</v>
      </c>
      <c r="E153" s="2544" cm="1">
        <f t="array" ref="E153">INDEX('7층_부하량'!G3:G3000,MATCH(1,("7-DaHall 1-PDU-04"='7층_부하량'!A3:A3000)*(1='7층_부하량'!B3:B3000),0))</f>
        <v>47.53</v>
      </c>
      <c r="F153" s="2544" cm="1">
        <f t="array" ref="F153">INDEX('7층_부하량'!H3:H3000,MATCH(1,("7-DaHall 1-PDU-04"='7층_부하량'!A3:A3000)*(1='7층_부하량'!B3:B3000),0))</f>
        <v>50.13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2" cm="1">
        <f t="array" ref="N153">INDEX('7층_부하량'!F3:F3000,MATCH(1,("7-DaHall 1-PDU-04"='7층_부하량'!A3:A3000)*(2='7층_부하량'!B3:B3000),0))</f>
        <v>44.76</v>
      </c>
      <c r="O153" s="2552" cm="1">
        <f t="array" ref="O153">INDEX('7층_부하량'!G3:G3000,MATCH(1,("7-DaHall 1-PDU-04"='7층_부하량'!A3:A3000)*(2='7층_부하량'!B3:B3000),0))</f>
        <v>18.100000000000001</v>
      </c>
      <c r="P153" s="2552" cm="1">
        <f t="array" ref="P153">INDEX('7층_부하량'!H3:H3000,MATCH(1,("7-DaHall 1-PDU-04"='7층_부하량'!A3:A3000)*(2='7층_부하량'!B3:B3000),0))</f>
        <v>24.4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3" cm="1">
        <f t="array" ref="D154">INDEX('7층_부하량'!F3:F3000,MATCH(1,("7-DaHall 1-PDU-04"='7층_부하량'!A3:A3000)*(3='7층_부하량'!B3:B3000),0))</f>
        <v>0</v>
      </c>
      <c r="E154" s="2553" cm="1">
        <f t="array" ref="E154">INDEX('7층_부하량'!G3:G3000,MATCH(1,("7-DaHall 1-PDU-04"='7층_부하량'!A3:A3000)*(3='7층_부하량'!B3:B3000),0))</f>
        <v>0</v>
      </c>
      <c r="F154" s="2553" cm="1">
        <f t="array" ref="F154">INDEX('7층_부하량'!H3:H3000,MATCH(1,("7-DaHall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3" cm="1">
        <f t="array" ref="N154">INDEX('7층_부하량'!F3:F3000,MATCH(1,("7-DaHall 1-PDU-04"='7층_부하량'!A3:A3000)*(4='7층_부하량'!B3:B3000),0))</f>
        <v>9.34</v>
      </c>
      <c r="O154" s="2553" cm="1">
        <f t="array" ref="O154">INDEX('7층_부하량'!G3:G3000,MATCH(1,("7-DaHall 1-PDU-04"='7층_부하량'!A3:A3000)*(4='7층_부하량'!B3:B3000),0))</f>
        <v>7.98</v>
      </c>
      <c r="P154" s="2545" cm="1">
        <f t="array" ref="P154">INDEX('7층_부하량'!H3:H3000,MATCH(1,("7-DaHall 1-PDU-04"='7층_부하량'!A3:A3000)*(4='7층_부하량'!B3:B3000),0))</f>
        <v>5.8100000000000005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3" cm="1">
        <f t="array" ref="D155">INDEX('7층_부하량'!F3:F3000,MATCH(1,("7-DaHall 1-PDU-04"='7층_부하량'!A3:A3000)*(5='7층_부하량'!B3:B3000),0))</f>
        <v>0</v>
      </c>
      <c r="E155" s="2553" cm="1">
        <f t="array" ref="E155">INDEX('7층_부하량'!G3:G3000,MATCH(1,("7-DaHall 1-PDU-04"='7층_부하량'!A3:A3000)*(5='7층_부하량'!B3:B3000),0))</f>
        <v>0</v>
      </c>
      <c r="F155" s="2553" cm="1">
        <f t="array" ref="F155">INDEX('7층_부하량'!H3:H3000,MATCH(1,("7-DaHall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6" cm="1">
        <f t="array" ref="N155">INDEX('7층_부하량'!F3:F3000,MATCH(1,("7-DaHall 1-PDU-04"='7층_부하량'!A3:A3000)*(6='7층_부하량'!B3:B3000),0))</f>
        <v>0</v>
      </c>
      <c r="O155" s="2546" cm="1">
        <f t="array" ref="O155">INDEX('7층_부하량'!G3:G3000,MATCH(1,("7-DaHall 1-PDU-04"='7층_부하량'!A3:A3000)*(6='7층_부하량'!B3:B3000),0))</f>
        <v>0</v>
      </c>
      <c r="P155" s="2546" cm="1">
        <f t="array" ref="P155">INDEX('7층_부하량'!H3:H3000,MATCH(1,("7-DaHall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6" cm="1">
        <f t="array" ref="D156">INDEX('7층_부하량'!F3:F3000,MATCH(1,("7-DaHall 1-PDU-04"='7층_부하량'!A3:A3000)*(7='7층_부하량'!B3:B3000),0))</f>
        <v>0</v>
      </c>
      <c r="E156" s="2546" cm="1">
        <f t="array" ref="E156">INDEX('7층_부하량'!G3:G3000,MATCH(1,("7-DaHall 1-PDU-04"='7층_부하량'!A3:A3000)*(7='7층_부하량'!B3:B3000),0))</f>
        <v>0</v>
      </c>
      <c r="F156" s="2546" cm="1">
        <f t="array" ref="F156">INDEX('7층_부하량'!H3:H3000,MATCH(1,("7-DaHall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6" cm="1">
        <f t="array" ref="N156">INDEX('7층_부하량'!F3:F3000,MATCH(1,("7-DaHall 1-PDU-04"='7층_부하량'!A3:A3000)*(8='7층_부하량'!B3:B3000),0))</f>
        <v>0</v>
      </c>
      <c r="O156" s="2546" cm="1">
        <f t="array" ref="O156">INDEX('7층_부하량'!G3:G3000,MATCH(1,("7-DaHall 1-PDU-04"='7층_부하량'!A3:A3000)*(8='7층_부하량'!B3:B3000),0))</f>
        <v>0</v>
      </c>
      <c r="P156" s="2546" cm="1">
        <f t="array" ref="P156">INDEX('7층_부하량'!H3:H3000,MATCH(1,("7-DaHall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6" cm="1">
        <f t="array" ref="D157">INDEX('7층_부하량'!F3:F3000,MATCH(1,("7-DaHall 1-PDU-04"='7층_부하량'!A3:A3000)*(9='7층_부하량'!B3:B3000),0))</f>
        <v>0</v>
      </c>
      <c r="E157" s="2546" cm="1">
        <f t="array" ref="E157">INDEX('7층_부하량'!G3:G3000,MATCH(1,("7-DaHall 1-PDU-04"='7층_부하량'!A3:A3000)*(9='7층_부하량'!B3:B3000),0))</f>
        <v>0</v>
      </c>
      <c r="F157" s="2546" cm="1">
        <f t="array" ref="F157">INDEX('7층_부하량'!H3:H3000,MATCH(1,("7-DaHall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6" cm="1">
        <f t="array" ref="N157">INDEX('7층_부하량'!F3:F3000,MATCH(1,("7-DaHall 1-PDU-04"='7층_부하량'!A3:A3000)*(10='7층_부하량'!B3:B3000),0))</f>
        <v>0</v>
      </c>
      <c r="O157" s="2546" cm="1">
        <f t="array" ref="O157">INDEX('7층_부하량'!G3:G3000,MATCH(1,("7-DaHall 1-PDU-04"='7층_부하량'!A3:A3000)*(10='7층_부하량'!B3:B3000),0))</f>
        <v>0</v>
      </c>
      <c r="P157" s="2546" cm="1">
        <f t="array" ref="P157">INDEX('7층_부하량'!H3:H3000,MATCH(1,("7-DaHall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100.95</v>
      </c>
      <c r="O163" s="127">
        <f>SUM(E153:E162,O153:O162)</f>
        <v>73.61</v>
      </c>
      <c r="P163" s="127">
        <f>SUM(F153:F162,P153:P162)</f>
        <v>80.34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4">
        <f>N173-SUM(D166:D170)</f>
        <v>246.94000000000005</v>
      </c>
      <c r="E165" s="51">
        <f t="shared" ref="E165:E171" si="0">D165/$D$171</f>
        <v>0.29574715259230877</v>
      </c>
      <c r="M165" s="505" t="s">
        <v>4546</v>
      </c>
      <c r="N165" s="127">
        <f>N26</f>
        <v>32.39</v>
      </c>
      <c r="O165" s="127">
        <f>O26</f>
        <v>21.82</v>
      </c>
      <c r="P165" s="127">
        <f>P26</f>
        <v>32.229999999999997</v>
      </c>
    </row>
    <row r="166" spans="1:20">
      <c r="B166" s="50" t="s">
        <v>4547</v>
      </c>
      <c r="C166" s="50" t="s">
        <v>4548</v>
      </c>
      <c r="D166" s="2215">
        <f>SUM(D18:F18,N15:P15,N25:P25,D32:F32,D34:F37,D39:F44,D46:F48,D50:F50,N46:P46,D65:F69,D71:F76,D78:F80,D82:F82,N78:P78,N113:P113)</f>
        <v>167.65</v>
      </c>
      <c r="E166" s="51">
        <f t="shared" si="0"/>
        <v>0.20078565696971148</v>
      </c>
      <c r="M166" s="505" t="s">
        <v>4549</v>
      </c>
      <c r="N166" s="127">
        <f>N115</f>
        <v>61.249999999999993</v>
      </c>
      <c r="O166" s="127">
        <f>O115</f>
        <v>19.27</v>
      </c>
      <c r="P166" s="127">
        <f>P115</f>
        <v>27.47</v>
      </c>
    </row>
    <row r="167" spans="1:20">
      <c r="B167" s="50" t="s">
        <v>4207</v>
      </c>
      <c r="C167" s="50" t="s">
        <v>4207</v>
      </c>
      <c r="D167" s="2216">
        <f>SUM(D6:F9,D12:F12,D19:F21,N9:P11,N21:P21,N34:P34,D49:F49,N45:P45,N66:P66,N77:P77,D77:F77,D81:F81,D98:F103,D112:F114,N95:P95,N97:P97,N107:P107)</f>
        <v>67.36999999999999</v>
      </c>
      <c r="E167" s="51">
        <f t="shared" si="0"/>
        <v>8.0685533611986049E-2</v>
      </c>
      <c r="M167" s="505" t="s">
        <v>4550</v>
      </c>
      <c r="N167" s="127">
        <f>N125</f>
        <v>7.4799999999999995</v>
      </c>
      <c r="O167" s="127">
        <f>O125</f>
        <v>8.620000000000001</v>
      </c>
      <c r="P167" s="127">
        <f>P125</f>
        <v>5.35</v>
      </c>
    </row>
    <row r="168" spans="1:20">
      <c r="B168" s="50" t="s">
        <v>4207</v>
      </c>
      <c r="C168" s="50" t="s">
        <v>4551</v>
      </c>
      <c r="D168" s="2217">
        <f>SUM(,N140:P140,D153:F153)</f>
        <v>305.79000000000002</v>
      </c>
      <c r="E168" s="51">
        <f t="shared" si="0"/>
        <v>0.36622872678060292</v>
      </c>
      <c r="G168" s="127"/>
      <c r="M168" s="505" t="s">
        <v>4552</v>
      </c>
      <c r="N168" s="127">
        <f>N133</f>
        <v>9.61</v>
      </c>
      <c r="O168" s="127">
        <f>O133</f>
        <v>8.6300000000000008</v>
      </c>
      <c r="P168" s="127">
        <f>P133</f>
        <v>5.98</v>
      </c>
    </row>
    <row r="169" spans="1:20">
      <c r="B169" s="985" t="s">
        <v>4553</v>
      </c>
      <c r="C169" s="50" t="s">
        <v>4554</v>
      </c>
      <c r="D169" s="2218">
        <f>SUM(D14:F14,N19:P20,D95:F96,N95:P95,N97:P97,N105:P106)</f>
        <v>28.759999999999998</v>
      </c>
      <c r="E169" s="51">
        <f t="shared" si="0"/>
        <v>3.4444351294058463E-2</v>
      </c>
      <c r="M169" s="505" t="s">
        <v>4555</v>
      </c>
      <c r="N169" s="127">
        <f>N90</f>
        <v>38.320000000000007</v>
      </c>
      <c r="O169" s="127">
        <f>O90</f>
        <v>49.370000000000005</v>
      </c>
      <c r="P169" s="127">
        <f>P90</f>
        <v>45.07</v>
      </c>
    </row>
    <row r="170" spans="1:20">
      <c r="B170" s="985" t="s">
        <v>4556</v>
      </c>
      <c r="C170" s="50"/>
      <c r="D170" s="2218">
        <f>SUM(N138:P138)</f>
        <v>18.46</v>
      </c>
      <c r="E170" s="51">
        <f t="shared" si="0"/>
        <v>2.2108578751332382E-2</v>
      </c>
      <c r="M170" s="505" t="s">
        <v>4557</v>
      </c>
      <c r="N170" s="127">
        <f>N58</f>
        <v>34.639999999999993</v>
      </c>
      <c r="O170" s="127">
        <f>O58</f>
        <v>51.410000000000004</v>
      </c>
      <c r="P170" s="127">
        <f>P58</f>
        <v>51.81</v>
      </c>
    </row>
    <row r="171" spans="1:20">
      <c r="B171" s="50"/>
      <c r="C171" s="50" t="s">
        <v>4558</v>
      </c>
      <c r="D171" s="2360">
        <f>SUM(D165:D170)</f>
        <v>834.97</v>
      </c>
      <c r="E171" s="2359">
        <f t="shared" si="0"/>
        <v>1</v>
      </c>
      <c r="M171" s="505" t="s">
        <v>4559</v>
      </c>
      <c r="N171" s="127">
        <f>D153+N140</f>
        <v>99.37</v>
      </c>
      <c r="O171" s="127">
        <f t="shared" ref="O171:P171" si="1">E153+O140</f>
        <v>100.53</v>
      </c>
      <c r="P171" s="127">
        <f t="shared" si="1"/>
        <v>105.89</v>
      </c>
    </row>
    <row r="172" spans="1:20">
      <c r="D172" s="127"/>
      <c r="M172" s="505" t="s">
        <v>4560</v>
      </c>
      <c r="N172" s="127">
        <f>N138</f>
        <v>4.1500000000000004</v>
      </c>
      <c r="O172" s="127">
        <f t="shared" ref="O172:P172" si="2">O138</f>
        <v>4.1100000000000003</v>
      </c>
      <c r="P172" s="127">
        <f t="shared" si="2"/>
        <v>10.199999999999999</v>
      </c>
    </row>
    <row r="173" spans="1:20">
      <c r="M173" s="505" t="s">
        <v>4561</v>
      </c>
      <c r="N173" s="2360">
        <f>SUM(N165:P172)</f>
        <v>834.97</v>
      </c>
    </row>
    <row r="175" spans="1:20">
      <c r="N175">
        <f>N173*220/1000</f>
        <v>183.6934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84" t="s">
        <v>9312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6591</v>
      </c>
      <c r="D3" s="3818" t="s">
        <v>8552</v>
      </c>
      <c r="E3" s="3818"/>
      <c r="F3" s="3818"/>
      <c r="G3" s="3818"/>
      <c r="H3" s="489"/>
      <c r="I3" s="123"/>
      <c r="J3" s="3819" t="s">
        <v>4201</v>
      </c>
      <c r="K3" s="382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4136</v>
      </c>
      <c r="N4" s="1342">
        <v>26</v>
      </c>
      <c r="O4" s="1343">
        <v>14</v>
      </c>
      <c r="P4" s="1344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4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4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5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5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6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6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6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6" cm="1">
        <f t="array" ref="N9">INDEX('7층_부하량'!I3:I3000,MATCH(1,("7-DaHall 1-RPP-01"='7층_부하량'!A3:A3000)*(8='7층_부하량'!B3:B3000),0))</f>
        <v>2.386762985791961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6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6" cm="1">
        <f t="array" ref="O10">INDEX('7층_부하량'!J3:J3000,MATCH(1,("7-DaHall 1-RPP-01"='7층_부하량'!A3:A3000)*(10='7층_부하량'!B3:B3000),0))</f>
        <v>1.6802836904159473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6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6" cm="1">
        <f t="array" ref="P11">INDEX('7층_부하량'!K3:K3000,MATCH(1,("7-DaHall 1-RPP-01"='7층_부하량'!A3:A3000)*(12='7층_부하량'!B3:B3000),0))</f>
        <v>4.1870727699500492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6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6" cm="1">
        <f t="array" ref="N12">INDEX('7층_부하량'!I3:I3000,MATCH(1,("7-DaHall 1-RPP-01"='7층_부하량'!A3:A3000)*(14='7층_부하량'!B3:B3000),0))</f>
        <v>6.441352314088447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6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6" cm="1">
        <f t="array" ref="O13">INDEX('7층_부하량'!J3:J3000,MATCH(1,("7-DaHall 1-RPP-01"='7층_부하량'!A3:A3000)*(16='7층_부하량'!B3:B3000),0))</f>
        <v>2.6076670868290011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7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9" t="s">
        <v>4240</v>
      </c>
      <c r="L14" s="475" t="s">
        <v>4179</v>
      </c>
      <c r="M14" s="535" t="s">
        <v>4171</v>
      </c>
      <c r="N14" s="156"/>
      <c r="O14" s="156"/>
      <c r="P14" s="2546" cm="1">
        <f t="array" ref="P14">INDEX('7층_부하량'!K3:K3000,MATCH(1,("7-DaHall 1-RPP-01"='7층_부하량'!A3:A3000)*(18='7층_부하량'!B3:B3000),0))</f>
        <v>1.5609174086060287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6" cm="1">
        <f t="array" ref="D15">INDEX('7층_부하량'!I3:I3000,MATCH(1,("7-DaHall 1-RPP-01"='7층_부하량'!A3:A3000)*(19='7층_부하량'!B3:B3000),0))</f>
        <v>1.0041294787678525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6" cm="1">
        <f t="array" ref="N15">INDEX('7층_부하량'!I3:I3000,MATCH(1,("7-DaHall 1-RPP-01"='7층_부하량'!A3:A3000)*(20='7층_부하량'!B3:B3000),0))</f>
        <v>1.4967726087276036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6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6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6" cm="1">
        <f t="array" ref="F17">INDEX('7층_부하량'!K3:K3000,MATCH(1,("7-DaHall 1-RPP-01"='7층_부하량'!A3:A3000)*(23='7층_부하량'!B3:B3000),0))</f>
        <v>1.4548574384000821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6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6" cm="1">
        <f t="array" ref="D18">INDEX('7층_부하량'!I3:I3000,MATCH(1,("7-DaHall 1-RPP-01"='7층_부하량'!A3:A3000)*(25='7층_부하량'!B3:B3000),0))</f>
        <v>1.5108131554898807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6" cm="1">
        <f t="array" ref="N18">INDEX('7층_부하량'!I3:I3000,MATCH(1,("7-DaHall 1-RPP-01"='7층_부하량'!A3:A3000)*(26='7층_부하량'!B3:B3000),0))</f>
        <v>2.1089191100406066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6" cm="1">
        <f t="array" ref="E19">INDEX('7층_부하량'!J3:J3000,MATCH(1,("7-DaHall 1-RPP-01"='7층_부하량'!A3:A3000)*(27='7층_부하량'!B3:B3000),0))</f>
        <v>3.3507526698250545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6" cm="1">
        <f t="array" ref="O19">INDEX('7층_부하량'!J3:J3000,MATCH(1,("7-DaHall 1-RPP-01"='7층_부하량'!A3:A3000)*(28='7층_부하량'!B3:B3000),0))</f>
        <v>1.5886038510586329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8" cm="1">
        <f t="array" ref="F20">INDEX('7층_부하량'!K3:K3000,MATCH(1,("7-DaHall 1-RPP-01"='7층_부하량'!A3:A3000)*(29='7층_부하량'!B3:B3000),0))</f>
        <v>4.1683632263997223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8" cm="1">
        <f t="array" ref="P20">INDEX('7층_부하량'!K3:K3000,MATCH(1,("7-DaHall 1-RPP-01"='7층_부하량'!A3:A3000)*(30='7층_부하량'!B3:B3000),0))</f>
        <v>4.4077855847119389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6" cm="1">
        <f t="array" ref="D21">INDEX('7층_부하량'!I3:I3000,MATCH(1,("7-DaHall 1-RPP-01"='7층_부하량'!A3:A3000)*(31='7층_부하량'!B3:B3000),0))</f>
        <v>5.7145312967792243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6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6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6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6" cm="1">
        <f t="array" ref="F23">INDEX('7층_부하량'!K3:K3000,MATCH(1,("7-DaHall 1-RPP-01"='7층_부하량'!A3:A3000)*(35='7층_부하량'!B3:B3000),0))</f>
        <v>2.4073645206113942E-3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6" cm="1">
        <f t="array" ref="P23">INDEX('7층_부하량'!K3:K3000,MATCH(1,("7-DaHall 1-RPP-01"='7층_부하량'!A3:A3000)*(36='7층_부하량'!B3:B3000),0))</f>
        <v>3.4526774844341195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6" cm="1">
        <f t="array" ref="D24">INDEX('7층_부하량'!I3:I3000,MATCH(1,("7-DaHall 1-RPP-01"='7층_부하량'!A3:A3000)*(37='7층_부하량'!B3:B3000),0))</f>
        <v>5.1643874592801433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6" cm="1">
        <f t="array" ref="N24">INDEX('7층_부하량'!I3:I3000,MATCH(1,("7-DaHall 1-RPP-01"='7층_부하량'!A3:A3000)*(38='7층_부하량'!B3:B3000),0))</f>
        <v>2.1579311651095039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9" cm="1">
        <f t="array" ref="E25">INDEX('7층_부하량'!J3:J3000,MATCH(1,("7-DaHall 1-RPP-01"='7층_부하량'!A3:A3000)*(39='7층_부하량'!B3:B3000),0))</f>
        <v>8.3034163288940371E-4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9" cm="1">
        <f t="array" ref="O25">INDEX('7층_부하량'!J3:J3000,MATCH(1,("7-DaHall 1-RPP-01"='7층_부하량'!A3:A3000)*(40='7층_부하량'!B3:B3000),0))</f>
        <v>4.8977299221139692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27.98559957407522</v>
      </c>
      <c r="O26" s="130">
        <f>SUM(E6:E25,O6:O25)</f>
        <v>14.125867561875495</v>
      </c>
      <c r="P26" s="130">
        <f>SUM(F6:F25,P6:P25)</f>
        <v>19.234081277022554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818" t="s">
        <v>8553</v>
      </c>
      <c r="E28" s="3818"/>
      <c r="F28" s="3818"/>
      <c r="G28" s="3818"/>
      <c r="H28" s="498"/>
      <c r="I28" s="132"/>
      <c r="J28" s="3821" t="s">
        <v>4288</v>
      </c>
      <c r="K28" s="382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4136</v>
      </c>
      <c r="N29" s="1342">
        <v>30.2</v>
      </c>
      <c r="O29" s="1343">
        <v>45.2</v>
      </c>
      <c r="P29" s="1344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4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4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50" cm="1">
        <f t="array" ref="F32">INDEX('7층_부하량'!K3:K3000,MATCH(1,("7-DaHall 1-PDU-02"='7층_부하량'!A3:A3000)*(3='7층_부하량'!B3:B3000),0))</f>
        <v>5.5844193378533529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5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6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6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6" cm="1">
        <f t="array" ref="E34">INDEX('7층_부하량'!J3:J3000,MATCH(1,("7-DaHall 1-PDU-02"='7층_부하량'!A3:A3000)*(7='7층_부하량'!B3:B3000),0))</f>
        <v>5.7291048451715589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6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6" cm="1">
        <f t="array" ref="F35">INDEX('7층_부하량'!K3:K3000,MATCH(1,("7-DaHall 1-PDU-02"='7층_부하량'!A3:A3000)*(9='7층_부하량'!B3:B3000),0))</f>
        <v>5.8741569521923287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6" cm="1">
        <f t="array" ref="P35">INDEX('7층_부하량'!K3:K3000,MATCH(1,("7-DaHall 1-PDU-02"='7층_부하량'!A3:A3000)*(10='7층_부하량'!B3:B3000),0))</f>
        <v>3.3260760405142697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6" cm="1">
        <f t="array" ref="D36">INDEX('7층_부하량'!I3:I3000,MATCH(1,("7-DaHall 1-PDU-02"='7층_부하량'!A3:A3000)*(11='7층_부하량'!B3:B3000),0))</f>
        <v>5.6836857671698908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6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6" cm="1">
        <f t="array" ref="E37">INDEX('7층_부하량'!J3:J3000,MATCH(1,("7-DaHall 1-PDU-02"='7층_부하량'!A3:A3000)*(13='7층_부하량'!B3:B3000),0))</f>
        <v>5.2359115275273327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6" cm="1">
        <f t="array" ref="O37">INDEX('7층_부하량'!J3:J3000,MATCH(1,("7-DaHall 1-PDU-02"='7층_부하량'!A3:A3000)*(14='7층_부하량'!B3:B3000),0))</f>
        <v>3.0865557429539963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6" cm="1">
        <f t="array" ref="F38">INDEX('7층_부하량'!K3:K3000,MATCH(1,("7-DaHall 1-PDU-02"='7층_부하량'!A3:A3000)*(15='7층_부하량'!B3:B3000),0))</f>
        <v>1.0801211245414637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6" cm="1">
        <f t="array" ref="P38">INDEX('7층_부하량'!K3:K3000,MATCH(1,("7-DaHall 1-PDU-02"='7층_부하량'!A3:A3000)*(16='7층_부하량'!B3:B3000),0))</f>
        <v>2.9625195479265649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6" cm="1">
        <f t="array" ref="D39">INDEX('7층_부하량'!I3:I3000,MATCH(1,("7-DaHall 1-PDU-02"='7층_부하량'!A3:A3000)*(17='7층_부하량'!B3:B3000),0))</f>
        <v>3.3701472780608719</v>
      </c>
      <c r="E39" s="156"/>
      <c r="F39" s="156"/>
      <c r="G39" s="156"/>
      <c r="H39" s="535" t="s">
        <v>4171</v>
      </c>
      <c r="I39" s="475" t="s">
        <v>4238</v>
      </c>
      <c r="J39" s="153"/>
      <c r="K39" s="1199" t="s">
        <v>4313</v>
      </c>
      <c r="L39" s="482" t="s">
        <v>4179</v>
      </c>
      <c r="M39" s="535" t="s">
        <v>4171</v>
      </c>
      <c r="N39" s="2546" cm="1">
        <f t="array" ref="N39">INDEX('7층_부하량'!I3:I3000,MATCH(1,("7-DaHall 1-PDU-02"='7층_부하량'!A3:A3000)*(18='7층_부하량'!B3:B3000),0))</f>
        <v>1.7551248426016357</v>
      </c>
      <c r="O39" s="156"/>
      <c r="P39" s="156"/>
      <c r="Q39" s="156"/>
      <c r="R39" s="156" t="s">
        <v>4204</v>
      </c>
      <c r="S39" s="163" t="s">
        <v>4149</v>
      </c>
      <c r="T39" s="1201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6" cm="1">
        <f t="array" ref="E40">INDEX('7층_부하량'!J3:J3000,MATCH(1,("7-DaHall 1-PDU-02"='7층_부하량'!A3:A3000)*(19='7층_부하량'!B3:B3000),0))</f>
        <v>8.9022973311430516</v>
      </c>
      <c r="F40" s="156"/>
      <c r="G40" s="156"/>
      <c r="H40" s="535" t="s">
        <v>4171</v>
      </c>
      <c r="I40" s="475" t="s">
        <v>4243</v>
      </c>
      <c r="J40" s="153"/>
      <c r="K40" s="1199" t="s">
        <v>4316</v>
      </c>
      <c r="L40" s="482" t="s">
        <v>4183</v>
      </c>
      <c r="M40" s="535" t="s">
        <v>4171</v>
      </c>
      <c r="N40" s="156"/>
      <c r="O40" s="2546" cm="1">
        <f t="array" ref="O40">INDEX('7층_부하량'!J3:J3000,MATCH(1,("7-DaHall 1-PDU-02"='7층_부하량'!A3:A3000)*(20='7층_부하량'!B3:B3000),0))</f>
        <v>1.9870814863859281</v>
      </c>
      <c r="P40" s="156"/>
      <c r="Q40" s="156"/>
      <c r="R40" s="156" t="s">
        <v>4204</v>
      </c>
      <c r="S40" s="281" t="s">
        <v>4149</v>
      </c>
      <c r="T40" s="1201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6" cm="1">
        <f t="array" ref="F41">INDEX('7층_부하량'!K3:K3000,MATCH(1,("7-DaHall 1-PDU-02"='7층_부하량'!A3:A3000)*(21='7층_부하량'!B3:B3000),0))</f>
        <v>4.0772155493752953</v>
      </c>
      <c r="G41" s="156"/>
      <c r="H41" s="535" t="s">
        <v>4171</v>
      </c>
      <c r="I41" s="475" t="s">
        <v>4247</v>
      </c>
      <c r="J41" s="153"/>
      <c r="K41" s="1199" t="s">
        <v>4319</v>
      </c>
      <c r="L41" s="482" t="s">
        <v>4187</v>
      </c>
      <c r="M41" s="535" t="s">
        <v>4171</v>
      </c>
      <c r="N41" s="156"/>
      <c r="O41" s="156"/>
      <c r="P41" s="2546" cm="1">
        <f t="array" ref="P41">INDEX('7층_부하량'!K3:K3000,MATCH(1,("7-DaHall 1-PDU-02"='7층_부하량'!A3:A3000)*(22='7층_부하량'!B3:B3000),0))</f>
        <v>1.9626940823661654</v>
      </c>
      <c r="Q41" s="156"/>
      <c r="R41" s="156" t="s">
        <v>4204</v>
      </c>
      <c r="S41" s="281" t="s">
        <v>4149</v>
      </c>
      <c r="T41" s="1201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6" cm="1">
        <f t="array" ref="D42">INDEX('7층_부하량'!I3:I3000,MATCH(1,("7-DaHall 1-PDU-02"='7층_부하량'!A3:A3000)*(23='7층_부하량'!B3:B3000),0))</f>
        <v>2.6367674980235698</v>
      </c>
      <c r="E42" s="156"/>
      <c r="F42" s="156"/>
      <c r="G42" s="156"/>
      <c r="H42" s="535" t="s">
        <v>4171</v>
      </c>
      <c r="I42" s="475" t="s">
        <v>4251</v>
      </c>
      <c r="J42" s="153"/>
      <c r="K42" s="1199" t="s">
        <v>4322</v>
      </c>
      <c r="L42" s="482" t="s">
        <v>4253</v>
      </c>
      <c r="M42" s="535" t="s">
        <v>4171</v>
      </c>
      <c r="N42" s="2546" cm="1">
        <f t="array" ref="N42">INDEX('7층_부하량'!I3:I3000,MATCH(1,("7-DaHall 1-PDU-02"='7층_부하량'!A3:A3000)*(24='7층_부하량'!B3:B3000),0))</f>
        <v>2.2644564833397696</v>
      </c>
      <c r="O42" s="156"/>
      <c r="P42" s="156"/>
      <c r="Q42" s="156"/>
      <c r="R42" s="156" t="s">
        <v>4204</v>
      </c>
      <c r="S42" s="281" t="s">
        <v>4149</v>
      </c>
      <c r="T42" s="1201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6" cm="1">
        <f t="array" ref="E43">INDEX('7층_부하량'!J3:J3000,MATCH(1,("7-DaHall 1-PDU-02"='7층_부하량'!A3:A3000)*(25='7층_부하량'!B3:B3000),0))</f>
        <v>2.1204284058600513</v>
      </c>
      <c r="F43" s="156"/>
      <c r="G43" s="156"/>
      <c r="H43" s="535" t="s">
        <v>4171</v>
      </c>
      <c r="I43" s="475" t="s">
        <v>4256</v>
      </c>
      <c r="J43" s="153"/>
      <c r="K43" s="1199" t="s">
        <v>4325</v>
      </c>
      <c r="L43" s="482" t="s">
        <v>4258</v>
      </c>
      <c r="M43" s="535" t="s">
        <v>4171</v>
      </c>
      <c r="N43" s="156"/>
      <c r="O43" s="2546" cm="1">
        <f t="array" ref="O43">INDEX('7층_부하량'!J3:J3000,MATCH(1,("7-DaHall 1-PDU-02"='7층_부하량'!A3:A3000)*(26='7층_부하량'!B3:B3000),0))</f>
        <v>3.6124938253512471</v>
      </c>
      <c r="P43" s="156"/>
      <c r="Q43" s="156"/>
      <c r="R43" s="156" t="s">
        <v>4204</v>
      </c>
      <c r="S43" s="281" t="s">
        <v>4149</v>
      </c>
      <c r="T43" s="1201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51" cm="1">
        <f t="array" ref="F44">INDEX('7층_부하량'!K3:K3000,MATCH(1,("7-DaHall 1-PDU-02"='7층_부하량'!A3:A3000)*(27='7층_부하량'!B3:B3000),0))</f>
        <v>3.8065431060520942</v>
      </c>
      <c r="G44" s="176"/>
      <c r="H44" s="538" t="s">
        <v>4171</v>
      </c>
      <c r="I44" s="478" t="s">
        <v>4261</v>
      </c>
      <c r="J44" s="177"/>
      <c r="K44" s="1200" t="s">
        <v>4328</v>
      </c>
      <c r="L44" s="483" t="s">
        <v>4262</v>
      </c>
      <c r="M44" s="538" t="s">
        <v>4171</v>
      </c>
      <c r="N44" s="176"/>
      <c r="O44" s="176"/>
      <c r="P44" s="2551" cm="1">
        <f t="array" ref="P44">INDEX('7층_부하량'!K3:K3000,MATCH(1,("7-DaHall 1-PDU-02"='7층_부하량'!A3:A3000)*(28='7층_부하량'!B3:B3000),0))</f>
        <v>5.7740639709519082</v>
      </c>
      <c r="Q44" s="176"/>
      <c r="R44" s="176" t="s">
        <v>4204</v>
      </c>
      <c r="S44" s="470" t="s">
        <v>4149</v>
      </c>
      <c r="T44" s="1202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7" t="s">
        <v>4149</v>
      </c>
      <c r="D45" s="2546" cm="1">
        <f t="array" ref="D45">INDEX('7층_부하량'!I3:I3000,MATCH(1,("7-DaHall 1-PDU-02"='7층_부하량'!A3:A3000)*(29='7층_부하량'!B3:B3000),0))</f>
        <v>1.7912094336048019</v>
      </c>
      <c r="E45" s="178"/>
      <c r="F45" s="178"/>
      <c r="G45" s="178"/>
      <c r="H45" s="536" t="s">
        <v>4171</v>
      </c>
      <c r="I45" s="476" t="s">
        <v>4264</v>
      </c>
      <c r="J45" s="2338" t="s">
        <v>4240</v>
      </c>
      <c r="K45" s="518" t="s">
        <v>4331</v>
      </c>
      <c r="L45" s="484" t="s">
        <v>4265</v>
      </c>
      <c r="M45" s="536" t="s">
        <v>4171</v>
      </c>
      <c r="N45" s="2546" cm="1">
        <f t="array" ref="N45">INDEX('7층_부하량'!I3:I3000,MATCH(1,("7-DaHall 1-PDU-02"='7층_부하량'!A3:A3000)*(30='7층_부하량'!B3:B3000),0))</f>
        <v>0.56678855180643595</v>
      </c>
      <c r="O45" s="178"/>
      <c r="P45" s="178"/>
      <c r="Q45" s="178"/>
      <c r="R45" s="156" t="s">
        <v>4204</v>
      </c>
      <c r="S45" s="281" t="s">
        <v>4149</v>
      </c>
      <c r="T45" s="1352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6" cm="1">
        <f t="array" ref="E46">INDEX('7층_부하량'!J3:J3000,MATCH(1,("7-DaHall 1-PDU-02"='7층_부하량'!A3:A3000)*(31='7층_부하량'!B3:B3000),0))</f>
        <v>3.7013590801928586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6" cm="1">
        <f t="array" ref="O46">INDEX('7층_부하량'!J3:J3000,MATCH(1,("7-DaHall 1-PDU-02"='7층_부하량'!A3:A3000)*(32='7층_부하량'!B3:B3000),0))</f>
        <v>1.9005430965946679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6" cm="1">
        <f t="array" ref="F47">INDEX('7층_부하량'!K3:K3000,MATCH(1,("7-DaHall 1-PDU-02"='7층_부하량'!A3:A3000)*(33='7층_부하량'!B3:B3000),0))</f>
        <v>8.36821985924621</v>
      </c>
      <c r="G47" s="156"/>
      <c r="H47" s="535" t="s">
        <v>4171</v>
      </c>
      <c r="I47" s="475" t="s">
        <v>4270</v>
      </c>
      <c r="J47" s="651" t="s">
        <v>4334</v>
      </c>
      <c r="K47" s="1363" t="s">
        <v>4339</v>
      </c>
      <c r="L47" s="482" t="s">
        <v>4271</v>
      </c>
      <c r="M47" s="535" t="s">
        <v>4171</v>
      </c>
      <c r="N47" s="156"/>
      <c r="O47" s="156"/>
      <c r="P47" s="2546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6" cm="1">
        <f t="array" ref="D48">INDEX('7층_부하량'!I3:I3000,MATCH(1,("7-DaHall 1-PDU-02"='7층_부하량'!A3:A3000)*(35='7층_부하량'!B3:B3000),0))</f>
        <v>6.5156386329948575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6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6" cm="1">
        <f t="array" ref="E49">INDEX('7층_부하량'!J3:J3000,MATCH(1,("7-DaHall 1-PDU-02"='7층_부하량'!A3:A3000)*(37='7층_부하량'!B3:B3000),0))</f>
        <v>5.3544675903548769E-3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6" cm="1">
        <f t="array" ref="O49">INDEX('7층_부하량'!J3:J3000,MATCH(1,("7-DaHall 1-PDU-02"='7층_부하량'!A3:A3000)*(38='7층_부하량'!B3:B3000),0))</f>
        <v>3.8731486240173623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6" cm="1">
        <f t="array" ref="F50">INDEX('7층_부하량'!K3:K3000,MATCH(1,("7-DaHall 1-PDU-02"='7층_부하량'!A3:A3000)*(39='7층_부하량'!B3:B3000),0))</f>
        <v>1.8575097675227878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6" cm="1">
        <f t="array" ref="P50">INDEX('7층_부하량'!K3:K3000,MATCH(1,("7-DaHall 1-PDU-02"='7층_부하량'!A3:A3000)*(40='7층_부하량'!B3:B3000),0))</f>
        <v>3.0173502175058649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6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6" cm="1">
        <f t="array" ref="N51">INDEX('7층_부하량'!I3:I3000,MATCH(1,("7-DaHall 1-PDU-02"='7층_부하량'!A3:A3000)*(42='7층_부하량'!B3:B3000),0))</f>
        <v>4.6018941706770891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6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6" cm="1">
        <f t="array" ref="O52">INDEX('7층_부하량'!J3:J3000,MATCH(1,("7-DaHall 1-PDU-02"='7층_부하량'!A3:A3000)*(44='7층_부하량'!B3:B3000),0))</f>
        <v>2.1364311722495182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8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6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6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6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6" cm="1">
        <f t="array" ref="N54">INDEX('7층_부하량'!I3:I3000,MATCH(1,("7-DaHall 1-PDU-02"='7층_부하량'!A3:A3000)*(48='7층_부하량'!B3:B3000),0))</f>
        <v>1.9764362063733956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4" t="s">
        <v>1116</v>
      </c>
      <c r="B55" s="156" t="s">
        <v>4153</v>
      </c>
      <c r="C55" s="281" t="s">
        <v>4149</v>
      </c>
      <c r="D55" s="156"/>
      <c r="E55" s="2546" cm="1">
        <f t="array" ref="E55">INDEX('7층_부하량'!J3:J3000,MATCH(1,("7-DaHall 1-PDU-02"='7층_부하량'!A3:A3000)*(49='7층_부하량'!B3:B3000),0))</f>
        <v>0.90509394142494615</v>
      </c>
      <c r="F55" s="156"/>
      <c r="G55" s="156"/>
      <c r="H55" s="535" t="s">
        <v>4171</v>
      </c>
      <c r="I55" s="475" t="s">
        <v>4360</v>
      </c>
      <c r="J55" s="2245" t="s">
        <v>4361</v>
      </c>
      <c r="K55" s="517"/>
      <c r="L55" s="482" t="s">
        <v>4362</v>
      </c>
      <c r="M55" s="535" t="s">
        <v>4171</v>
      </c>
      <c r="N55" s="156"/>
      <c r="O55" s="2545" cm="1">
        <f t="array" ref="O55">INDEX('7층_부하량'!J3:J3000,MATCH(1,("7-DaHall 1-PDU-02"='7층_부하량'!A3:A3000)*(50='7층_부하량'!B3:B3000),0))</f>
        <v>3.4988071971104837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4" t="s">
        <v>1118</v>
      </c>
      <c r="B56" s="156" t="s">
        <v>4153</v>
      </c>
      <c r="C56" s="281" t="s">
        <v>4149</v>
      </c>
      <c r="D56" s="156"/>
      <c r="E56" s="156"/>
      <c r="F56" s="2546" cm="1">
        <f t="array" ref="F56">INDEX('7층_부하량'!K3:K3000,MATCH(1,("7-DaHall 1-PDU-02"='7층_부하량'!A3:A3000)*(51='7층_부하량'!B3:B3000),0))</f>
        <v>0.55017027761298676</v>
      </c>
      <c r="G56" s="156"/>
      <c r="H56" s="535" t="s">
        <v>4171</v>
      </c>
      <c r="I56" s="475" t="s">
        <v>4364</v>
      </c>
      <c r="J56" s="2245" t="s">
        <v>4365</v>
      </c>
      <c r="K56" s="517"/>
      <c r="L56" s="482" t="s">
        <v>4366</v>
      </c>
      <c r="M56" s="535" t="s">
        <v>4171</v>
      </c>
      <c r="N56" s="156"/>
      <c r="O56" s="156"/>
      <c r="P56" s="2545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9" cm="1">
        <f t="array" ref="D57">INDEX('7층_부하량'!I3:I3000,MATCH(1,("7-DaHall 1-PDU-02"='7층_부하량'!A3:A3000)*(53='7층_부하량'!B3:B3000),0))</f>
        <v>0.23026406136550578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9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31.392412926017823</v>
      </c>
      <c r="O58" s="130">
        <f>SUM(E31:E57,O31:O57)</f>
        <v>46.69461074357335</v>
      </c>
      <c r="P58" s="130">
        <f>SUM(P31:P57,F31:F57)</f>
        <v>48.241059833661289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818" t="s">
        <v>8554</v>
      </c>
      <c r="E60" s="3818"/>
      <c r="F60" s="3818"/>
      <c r="G60" s="3818"/>
      <c r="H60" s="498"/>
      <c r="I60" s="132"/>
      <c r="J60" s="3821" t="s">
        <v>4288</v>
      </c>
      <c r="K60" s="382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4136</v>
      </c>
      <c r="N61" s="1342">
        <v>33.4</v>
      </c>
      <c r="O61" s="1343">
        <v>43.4</v>
      </c>
      <c r="P61" s="1344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4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4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50" cm="1">
        <f t="array" ref="F64">INDEX('7층_부하량'!K3:K3000,MATCH(1,("7-DaHall 1-PDU-01"='7층_부하량'!A3:A3000)*(3='7층_부하량'!B3:B3000),0))</f>
        <v>2.4882153531238091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5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6" cm="1">
        <f t="array" ref="D65">INDEX('7층_부하량'!I3:I3000,MATCH(1,("7-DaHall 1-PDU-01"='7층_부하량'!A3:A3000)*(5='7층_부하량'!B3:B3000),0))</f>
        <v>5.1348474714556858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6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6" cm="1">
        <f t="array" ref="E66">INDEX('7층_부하량'!J3:J3000,MATCH(1,("7-DaHall 1-PDU-01"='7층_부하량'!A3:A3000)*(7='7층_부하량'!B3:B3000),0))</f>
        <v>5.9765293166114972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6" cm="1">
        <f t="array" ref="O66">INDEX('7층_부하량'!J3:J3000,MATCH(1,("7-DaHall 1-PDU-01"='7층_부하량'!A3:A3000)*(8='7층_부하량'!B3:B3000),0))</f>
        <v>1.8066486203581242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6" cm="1">
        <f t="array" ref="F67">INDEX('7층_부하량'!K3:K3000,MATCH(1,("7-DaHall 1-PDU-01"='7층_부하량'!A3:A3000)*(9='7층_부하량'!B3:B3000),0))</f>
        <v>5.884965607650174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6" cm="1">
        <f t="array" ref="P67">INDEX('7층_부하량'!K3:K3000,MATCH(1,("7-DaHall 1-PDU-01"='7층_부하량'!A3:A3000)*(10='7층_부하량'!B3:B3000),0))</f>
        <v>2.58590483220252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6" cm="1">
        <f t="array" ref="D68">INDEX('7층_부하량'!I3:I3000,MATCH(1,("7-DaHall 1-PDU-01"='7층_부하량'!A3:A3000)*(11='7층_부하량'!B3:B3000),0))</f>
        <v>6.8216466705460546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6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6" cm="1">
        <f t="array" ref="E69">INDEX('7층_부하량'!J3:J3000,MATCH(1,("7-DaHall 1-PDU-01"='7층_부하량'!A3:A3000)*(13='7층_부하량'!B3:B3000),0))</f>
        <v>6.6154733629984976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6" cm="1">
        <f t="array" ref="O69">INDEX('7층_부하량'!J3:J3000,MATCH(1,("7-DaHall 1-PDU-01"='7층_부하량'!A3:A3000)*(14='7층_부하량'!B3:B3000),0))</f>
        <v>4.2569060973323545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6" cm="1">
        <f t="array" ref="F70">INDEX('7층_부하량'!K3:K3000,MATCH(1,("7-DaHall 1-PDU-01"='7층_부하량'!A3:A3000)*(15='7층_부하량'!B3:B3000),0))</f>
        <v>0.78994891414537638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6" cm="1">
        <f t="array" ref="P70">INDEX('7층_부하량'!K3:K3000,MATCH(1,("7-DaHall 1-PDU-01"='7층_부하량'!A3:A3000)*(16='7층_부하량'!B3:B3000),0))</f>
        <v>2.3040371063636886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6" cm="1">
        <f t="array" ref="D71">INDEX('7층_부하량'!I3:I3000,MATCH(1,("7-DaHall 1-PDU-01"='7층_부하량'!A3:A3000)*(17='7층_부하량'!B3:B3000),0))</f>
        <v>2.9124464214114925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9" t="s">
        <v>4313</v>
      </c>
      <c r="L71" s="482" t="s">
        <v>4179</v>
      </c>
      <c r="M71" s="535" t="s">
        <v>4171</v>
      </c>
      <c r="N71" s="2546" cm="1">
        <f t="array" ref="N71">INDEX('7층_부하량'!I3:I3000,MATCH(1,("7-DaHall 1-PDU-01"='7층_부하량'!A3:A3000)*(18='7층_부하량'!B3:B3000),0))</f>
        <v>1.767458953848376</v>
      </c>
      <c r="O71" s="156"/>
      <c r="P71" s="156"/>
      <c r="Q71" s="156"/>
      <c r="R71" s="156" t="s">
        <v>4204</v>
      </c>
      <c r="S71" s="163" t="s">
        <v>4149</v>
      </c>
      <c r="T71" s="1201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6" cm="1">
        <f t="array" ref="E72">INDEX('7층_부하량'!J3:J3000,MATCH(1,("7-DaHall 1-PDU-01"='7층_부하량'!A3:A3000)*(19='7층_부하량'!B3:B3000),0))</f>
        <v>3.9229666391435707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9" t="s">
        <v>4316</v>
      </c>
      <c r="L72" s="482" t="s">
        <v>4183</v>
      </c>
      <c r="M72" s="535" t="s">
        <v>4171</v>
      </c>
      <c r="N72" s="156"/>
      <c r="O72" s="2546" cm="1">
        <f t="array" ref="O72">INDEX('7층_부하량'!J3:J3000,MATCH(1,("7-DaHall 1-PDU-01"='7층_부하량'!A3:A3000)*(20='7층_부하량'!B3:B3000),0))</f>
        <v>1.8691719947519312</v>
      </c>
      <c r="P72" s="156"/>
      <c r="Q72" s="156"/>
      <c r="R72" s="156" t="s">
        <v>4204</v>
      </c>
      <c r="S72" s="281" t="s">
        <v>4149</v>
      </c>
      <c r="T72" s="1201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6" cm="1">
        <f t="array" ref="F73">INDEX('7층_부하량'!K3:K3000,MATCH(1,("7-DaHall 1-PDU-01"='7층_부하량'!A3:A3000)*(21='7층_부하량'!B3:B3000),0))</f>
        <v>3.948377786713444</v>
      </c>
      <c r="G73" s="156"/>
      <c r="H73" s="535" t="s">
        <v>4171</v>
      </c>
      <c r="I73" s="475" t="s">
        <v>4247</v>
      </c>
      <c r="J73" s="153" t="s">
        <v>4294</v>
      </c>
      <c r="K73" s="1199" t="s">
        <v>4319</v>
      </c>
      <c r="L73" s="482" t="s">
        <v>4187</v>
      </c>
      <c r="M73" s="535" t="s">
        <v>4171</v>
      </c>
      <c r="N73" s="156"/>
      <c r="O73" s="156"/>
      <c r="P73" s="2546" cm="1">
        <f t="array" ref="P73">INDEX('7층_부하량'!K3:K3000,MATCH(1,("7-DaHall 1-PDU-01"='7층_부하량'!A3:A3000)*(22='7층_부하량'!B3:B3000),0))</f>
        <v>1.7322875372682636</v>
      </c>
      <c r="Q73" s="156"/>
      <c r="R73" s="156" t="s">
        <v>4204</v>
      </c>
      <c r="S73" s="281" t="s">
        <v>4149</v>
      </c>
      <c r="T73" s="1201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6" cm="1">
        <f t="array" ref="D74">INDEX('7층_부하량'!I3:I3000,MATCH(1,("7-DaHall 1-PDU-01"='7층_부하량'!A3:A3000)*(23='7층_부하량'!B3:B3000),0))</f>
        <v>1.8260453557245937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9" t="s">
        <v>4322</v>
      </c>
      <c r="L74" s="482" t="s">
        <v>4253</v>
      </c>
      <c r="M74" s="535" t="s">
        <v>4171</v>
      </c>
      <c r="N74" s="2546" cm="1">
        <f t="array" ref="N74">INDEX('7층_부하량'!I3:I3000,MATCH(1,("7-DaHall 1-PDU-01"='7층_부하량'!A3:A3000)*(24='7층_부하량'!B3:B3000),0))</f>
        <v>2.7155556777593461</v>
      </c>
      <c r="O74" s="156"/>
      <c r="P74" s="156"/>
      <c r="Q74" s="156"/>
      <c r="R74" s="156" t="s">
        <v>4204</v>
      </c>
      <c r="S74" s="281" t="s">
        <v>4149</v>
      </c>
      <c r="T74" s="1201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6" cm="1">
        <f t="array" ref="E75">INDEX('7층_부하량'!J3:J3000,MATCH(1,("7-DaHall 1-PDU-01"='7층_부하량'!A3:A3000)*(25='7층_부하량'!B3:B3000),0))</f>
        <v>1.8648915152585053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9" t="s">
        <v>4325</v>
      </c>
      <c r="L75" s="482" t="s">
        <v>4258</v>
      </c>
      <c r="M75" s="535" t="s">
        <v>4171</v>
      </c>
      <c r="N75" s="156"/>
      <c r="O75" s="2546" cm="1">
        <f t="array" ref="O75">INDEX('7층_부하량'!J3:J3000,MATCH(1,("7-DaHall 1-PDU-01"='7층_부하량'!A3:A3000)*(26='7층_부하량'!B3:B3000),0))</f>
        <v>3.4078564533564477</v>
      </c>
      <c r="P75" s="156"/>
      <c r="Q75" s="156"/>
      <c r="R75" s="156" t="s">
        <v>4204</v>
      </c>
      <c r="S75" s="281" t="s">
        <v>4149</v>
      </c>
      <c r="T75" s="1201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51" cm="1">
        <f t="array" ref="F76">INDEX('7층_부하량'!K3:K3000,MATCH(1,("7-DaHall 1-PDU-01"='7층_부하량'!A3:A3000)*(27='7층_부하량'!B3:B3000),0))</f>
        <v>3.2907864645213585</v>
      </c>
      <c r="G76" s="176"/>
      <c r="H76" s="538" t="s">
        <v>4171</v>
      </c>
      <c r="I76" s="478" t="s">
        <v>4261</v>
      </c>
      <c r="J76" s="177" t="s">
        <v>4294</v>
      </c>
      <c r="K76" s="1200" t="s">
        <v>4328</v>
      </c>
      <c r="L76" s="483" t="s">
        <v>4262</v>
      </c>
      <c r="M76" s="538" t="s">
        <v>4171</v>
      </c>
      <c r="N76" s="176"/>
      <c r="O76" s="176"/>
      <c r="P76" s="2551" cm="1">
        <f t="array" ref="P76">INDEX('7층_부하량'!K3:K3000,MATCH(1,("7-DaHall 1-PDU-01"='7층_부하량'!A3:A3000)*(28='7층_부하량'!B3:B3000),0))</f>
        <v>5.5754982868118299</v>
      </c>
      <c r="Q76" s="176"/>
      <c r="R76" s="176" t="s">
        <v>4204</v>
      </c>
      <c r="S76" s="470" t="s">
        <v>4149</v>
      </c>
      <c r="T76" s="1202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6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6" cm="1">
        <f t="array" ref="N77">INDEX('7층_부하량'!I3:I3000,MATCH(1,("7-DaHall 1-PDU-01"='7층_부하량'!A3:A3000)*(30='7층_부하량'!B3:B3000),0))</f>
        <v>0.34999170866740886</v>
      </c>
      <c r="O77" s="178"/>
      <c r="P77" s="178"/>
      <c r="Q77" s="178"/>
      <c r="R77" s="156" t="s">
        <v>4204</v>
      </c>
      <c r="S77" s="281" t="s">
        <v>4149</v>
      </c>
      <c r="T77" s="1352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6" cm="1">
        <f t="array" ref="E78">INDEX('7층_부하량'!J3:J3000,MATCH(1,("7-DaHall 1-PDU-01"='7층_부하량'!A3:A3000)*(31='7층_부하량'!B3:B3000),0))</f>
        <v>4.5078405440625886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6" cm="1">
        <f t="array" ref="O78">INDEX('7층_부하량'!J3:J3000,MATCH(1,("7-DaHall 1-PDU-01"='7층_부하량'!A3:A3000)*(32='7층_부하량'!B3:B3000),0))</f>
        <v>2.1103717380149996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6" cm="1">
        <f t="array" ref="F79">INDEX('7층_부하량'!K3:K3000,MATCH(1,("7-DaHall 1-PDU-01"='7층_부하량'!A3:A3000)*(33='7층_부하량'!B3:B3000),0))</f>
        <v>8.6385174254821546</v>
      </c>
      <c r="G79" s="156"/>
      <c r="H79" s="535" t="s">
        <v>4171</v>
      </c>
      <c r="I79" s="475" t="s">
        <v>4270</v>
      </c>
      <c r="J79" s="651" t="s">
        <v>4334</v>
      </c>
      <c r="K79" s="1363" t="s">
        <v>4339</v>
      </c>
      <c r="L79" s="482" t="s">
        <v>4271</v>
      </c>
      <c r="M79" s="535" t="s">
        <v>4171</v>
      </c>
      <c r="N79" s="156"/>
      <c r="O79" s="156"/>
      <c r="P79" s="2546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6" cm="1">
        <f t="array" ref="D80">INDEX('7층_부하량'!I3:I3000,MATCH(1,("7-DaHall 1-PDU-01"='7층_부하량'!A3:A3000)*(35='7층_부하량'!B3:B3000),0))</f>
        <v>6.7686223868756317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6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6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6" cm="1">
        <f t="array" ref="O81">INDEX('7층_부하량'!J3:J3000,MATCH(1,("7-DaHall 1-PDU-01"='7층_부하량'!A3:A3000)*(38='7층_부하량'!B3:B3000),0))</f>
        <v>2.8036552764950282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6" cm="1">
        <f t="array" ref="F82">INDEX('7층_부하량'!K3:K3000,MATCH(1,("7-DaHall 1-PDU-01"='7층_부하량'!A3:A3000)*(39='7층_부하량'!B3:B3000),0))</f>
        <v>1.0428070100126572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6" cm="1">
        <f t="array" ref="P82">INDEX('7층_부하량'!K3:K3000,MATCH(1,("7-DaHall 1-PDU-01"='7층_부하량'!A3:A3000)*(40='7층_부하량'!B3:B3000),0))</f>
        <v>3.3593524821224419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6" cm="1">
        <f t="array" ref="D83">INDEX('7층_부하량'!I3:I3000,MATCH(1,("7-DaHall 1-PDU-01"='7층_부하량'!A3:A3000)*(41='7층_부하량'!B3:B3000),0))</f>
        <v>1.0604050541930996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6" cm="1">
        <f t="array" ref="N83">INDEX('7층_부하량'!I3:I3000,MATCH(1,("7-DaHall 1-PDU-01"='7층_부하량'!A3:A3000)*(42='7층_부하량'!B3:B3000),0))</f>
        <v>3.4184131394138197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6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6" cm="1">
        <f t="array" ref="O84">INDEX('7층_부하량'!J3:J3000,MATCH(1,("7-DaHall 1-PDU-01"='7층_부하량'!A3:A3000)*(44='7층_부하량'!B3:B3000),0))</f>
        <v>6.6204197603684856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8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6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6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6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6" cm="1">
        <f t="array" ref="N86">INDEX('7층_부하량'!I3:I3000,MATCH(1,("7-DaHall 1-PDU-01"='7층_부하량'!A3:A3000)*(48='7층_부하량'!B3:B3000),0))</f>
        <v>1.7783515337126403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6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5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6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5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9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9" cm="1">
        <f t="array" ref="N89">INDEX('7층_부하량'!I3:I3000,MATCH(1,("7-DaHall 1-PDU-01"='7층_부하량'!A3:A3000)*(54='7층_부하량'!B3:B3000),0))</f>
        <v>0.34010955017173905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34.893893923779892</v>
      </c>
      <c r="O90" s="130">
        <f>SUM(E63:E89,O63:O89)</f>
        <v>45.762731318752024</v>
      </c>
      <c r="P90" s="130">
        <f>SUM(F63:F89,P63:P89)</f>
        <v>41.640698806417717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818" t="s">
        <v>8555</v>
      </c>
      <c r="E92" s="3818"/>
      <c r="F92" s="3818"/>
      <c r="G92" s="3818"/>
      <c r="H92" s="489"/>
      <c r="I92" s="123"/>
      <c r="J92" s="3819" t="s">
        <v>4201</v>
      </c>
      <c r="K92" s="382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4136</v>
      </c>
      <c r="N93" s="1342">
        <v>39</v>
      </c>
      <c r="O93" s="1343">
        <v>12.5</v>
      </c>
      <c r="P93" s="1344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4" cm="1">
        <f t="array" ref="D95">INDEX('7층_부하량'!I3:I3000,MATCH(1,("7-DaHall 1-RPP-02"='7층_부하량'!A3:A3000)*(1='7층_부하량'!B3:B3000),0))</f>
        <v>0.86817545863433088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4" cm="1">
        <f t="array" ref="N95">INDEX('7층_부하량'!I3:I3000,MATCH(1,("7-DaHall 1-RPP-02"='7층_부하량'!A3:A3000)*(2='7층_부하량'!B3:B3000),0))</f>
        <v>1.6264164896273741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5" cm="1">
        <f t="array" ref="E96">INDEX('7층_부하량'!J3:J3000,MATCH(1,("7-DaHall 1-RPP-02"='7층_부하량'!A3:A3000)*(3='7층_부하량'!B3:B3000),0))</f>
        <v>0.54998326794983188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5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6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6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6" cm="1">
        <f t="array" ref="D98">INDEX('7층_부하량'!I3:I3000,MATCH(1,("7-DaHall 1-RPP-02"='7층_부하량'!A3:A3000)*(7='7층_부하량'!B3:B3000),0))</f>
        <v>1.1212534433466859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6" cm="1">
        <f t="array" ref="N98">INDEX('7층_부하량'!I3:I3000,MATCH(1,("7-DaHall 1-RPP-02"='7층_부하량'!A3:A3000)*(8='7층_부하량'!B3:B3000),0))</f>
        <v>4.8337030740295885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6" cm="1">
        <f t="array" ref="E99">INDEX('7층_부하량'!J3:J3000,MATCH(1,("7-DaHall 1-RPP-02"='7층_부하량'!A3:A3000)*(9='7층_부하량'!B3:B3000),0))</f>
        <v>1.170950985289744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6" cm="1">
        <f t="array" ref="O99">INDEX('7층_부하량'!J3:J3000,MATCH(1,("7-DaHall 1-RPP-02"='7층_부하량'!A3:A3000)*(10='7층_부하량'!B3:B3000),0))</f>
        <v>0.67010830531657406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6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6" cm="1">
        <f t="array" ref="P100">INDEX('7층_부하량'!K3:K3000,MATCH(1,("7-DaHall 1-RPP-02"='7층_부하량'!A3:A3000)*(12='7층_부하량'!B3:B3000),0))</f>
        <v>4.4491158001357816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6" cm="1">
        <f t="array" ref="D101">INDEX('7층_부하량'!I3:I3000,MATCH(1,("7-DaHall 1-RPP-02"='7층_부하량'!A3:A3000)*(13='7층_부하량'!B3:B3000),0))</f>
        <v>2.8491649598101079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6" cm="1">
        <f t="array" ref="N101">INDEX('7층_부하량'!I3:I3000,MATCH(1,("7-DaHall 1-RPP-02"='7층_부하량'!A3:A3000)*(14='7층_부하량'!B3:B3000),0))</f>
        <v>14.516444444932365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6" cm="1">
        <f t="array" ref="E102">INDEX('7층_부하량'!J3:J3000,MATCH(1,("7-DaHall 1-RPP-02"='7층_부하량'!A3:A3000)*(15='7층_부하량'!B3:B3000),0))</f>
        <v>1.7628952982927228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6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6" cm="1">
        <f t="array" ref="F103">INDEX('7층_부하량'!K3:K3000,MATCH(1,("7-DaHall 1-RPP-02"='7층_부하량'!A3:A3000)*(17='7층_부하량'!B3:B3000),0))</f>
        <v>3.1085118739641748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6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6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6" cm="1">
        <f t="array" ref="N104">INDEX('7층_부하량'!I3:I3000,MATCH(1,("7-DaHall 1-RPP-02"='7층_부하량'!A3:A3000)*(20='7층_부하량'!B3:B3000),0))</f>
        <v>1.8427444511385029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6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6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6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6" cm="1">
        <f t="array" ref="P106">INDEX('7층_부하량'!K3:K3000,MATCH(1,("7-DaHall 1-RPP-02"='7층_부하량'!A3:A3000)*(24='7층_부하량'!B3:B3000),0))</f>
        <v>2.2798488907171173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6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6" cm="1">
        <f t="array" ref="N107">INDEX('7층_부하량'!I3:I3000,MATCH(1,("7-DaHall 1-RPP-02"='7층_부하량'!A3:A3000)*(26='7층_부하량'!B3:B3000),0))</f>
        <v>0.42734076380786234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6" cm="1">
        <f t="array" ref="E108">INDEX('7층_부하량'!J3:J3000,MATCH(1,("7-DaHall 1-RPP-02"='7층_부하량'!A3:A3000)*(27='7층_부하량'!B3:B3000),0))</f>
        <v>5.7870600560056698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6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8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8" cm="1">
        <f t="array" ref="P109">INDEX('7층_부하량'!K3:K3000,MATCH(1,("7-DaHall 1-RPP-02"='7층_부하량'!A3:A3000)*(30='7층_부하량'!B3:B3000),0))</f>
        <v>1.9976248216015566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6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6" cm="1">
        <f t="array" ref="N110">INDEX('7층_부하량'!I3:I3000,MATCH(1,("7-DaHall 1-RPP-02"='7층_부하량'!A3:A3000)*(32='7층_부하량'!B3:B3000),0))</f>
        <v>3.4619542577925428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6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6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6" cm="1">
        <f t="array" ref="F112">INDEX('7층_부하량'!K3:K3000,MATCH(1,("7-DaHall 1-RPP-02"='7층_부하량'!A3:A3000)*(35='7층_부하량'!B3:B3000),0))</f>
        <v>2.5731669086990143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6" cm="1">
        <f t="array" ref="P112">INDEX('7층_부하량'!K3:K3000,MATCH(1,("7-DaHall 1-RPP-02"='7층_부하량'!A3:A3000)*(36='7층_부하량'!B3:B3000),0))</f>
        <v>7.3423192313033478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6" cm="1">
        <f t="array" ref="D113">INDEX('7층_부하량'!I3:I3000,MATCH(1,("7-DaHall 1-RPP-02"='7층_부하량'!A3:A3000)*(37='7층_부하량'!B3:B3000),0))</f>
        <v>5.8651822589427249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6" cm="1">
        <f t="array" ref="N113">INDEX('7층_부하량'!I3:I3000,MATCH(1,("7-DaHall 1-RPP-02"='7층_부하량'!A3:A3000)*(38='7층_부하량'!B3:B3000),0))</f>
        <v>5.0205564536349216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9" cm="1">
        <f t="array" ref="E114">INDEX('7층_부하량'!J3:J3000,MATCH(1,("7-DaHall 1-RPP-02"='7층_부하량'!A3:A3000)*(39='7층_부하량'!B3:B3000),0))</f>
        <v>2.870517241897061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9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42.432936055697006</v>
      </c>
      <c r="O115" s="127">
        <f>SUM(E95:E114,O95:O114)</f>
        <v>12.811515154751604</v>
      </c>
      <c r="P115" s="127">
        <f>SUM(F95:F114,P95:P114)</f>
        <v>21.750587526420993</v>
      </c>
    </row>
    <row r="116" spans="1:20" ht="15" thickBot="1"/>
    <row r="117" spans="1:20" ht="15.6" thickTop="1" thickBot="1">
      <c r="A117" s="53" t="s">
        <v>6590</v>
      </c>
      <c r="D117" s="3818" t="s">
        <v>8556</v>
      </c>
      <c r="E117" s="3818"/>
      <c r="F117" s="3818"/>
      <c r="G117" s="3818"/>
      <c r="H117" s="489"/>
      <c r="I117" s="123"/>
      <c r="J117" s="3819" t="s">
        <v>4507</v>
      </c>
      <c r="K117" s="382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4136</v>
      </c>
      <c r="N118" s="1342">
        <v>6.8</v>
      </c>
      <c r="O118" s="1343">
        <v>8</v>
      </c>
      <c r="P118" s="1344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4" cm="1">
        <f t="array" ref="D120">INDEX('7층_부하량'!I3:I3000,MATCH(1,("7-DaHall 1-RPP-03"='7층_부하량'!A3:A3000)*(1='7층_부하량'!B3:B3000),0))</f>
        <v>1.1777412379764884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4" cm="1">
        <f t="array" ref="N120">INDEX('7층_부하량'!I3:I3000,MATCH(1,("7-DaHall 1-RPP-03"='7층_부하량'!A3:A3000)*(2='7층_부하량'!B3:B3000),0))</f>
        <v>1.0315129914177468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5" cm="1">
        <f t="array" ref="E121">INDEX('7층_부하량'!J3:J3000,MATCH(1,("7-DaHall 1-RPP-03"='7층_부하량'!A3:A3000)*(3='7층_부하량'!B3:B3000),0))</f>
        <v>2.7993312648006219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5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6" cm="1">
        <f t="array" ref="F122">INDEX('7층_부하량'!K3:K3000,MATCH(1,("7-DaHall 1-RPP-03"='7층_부하량'!A3:A3000)*(5='7층_부하량'!B3:B3000),0))</f>
        <v>3.4542290573589089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6" cm="1">
        <f t="array" ref="P122">INDEX('7층_부하량'!K3:K3000,MATCH(1,("7-DaHall 1-RPP-03"='7층_부하량'!A3:A3000)*(6='7층_부하량'!B3:B3000),0))</f>
        <v>1.5846086598320743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6" cm="1">
        <f t="array" ref="D123">INDEX('7층_부하량'!I3:I3000,MATCH(1,("7-DaHall 1-RPP-03"='7층_부하량'!A3:A3000)*(7='7층_부하량'!B3:B3000),0))</f>
        <v>2.5443615638815036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6" cm="1">
        <f t="array" ref="N123">INDEX('7층_부하량'!I3:I3000,MATCH(1,("7-DaHall 1-RPP-03"='7층_부하량'!A3:A3000)*(8='7층_부하량'!B3:B3000),0))</f>
        <v>1.9825772550346199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6" cm="1">
        <f t="array" ref="E124">INDEX('7층_부하량'!J3:J3000,MATCH(1,("7-DaHall 1-RPP-03"='7층_부하량'!A3:A3000)*(9='7층_부하량'!B3:B3000),0))</f>
        <v>2.7519624258589053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6" cm="1">
        <f t="array" ref="O124">INDEX('7층_부하량'!J3:J3000,MATCH(1,("7-DaHall 1-RPP-03"='7층_부하량'!A3:A3000)*(10='7층_부하량'!B3:B3000),0))</f>
        <v>2.6170833580273798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6.7361930483103585</v>
      </c>
      <c r="O125" s="130">
        <f>SUM(E120:E124,O120:O124)</f>
        <v>8.1683770486869065</v>
      </c>
      <c r="P125" s="130">
        <f>SUM(F120:F124,P120:P124)</f>
        <v>5.0388377171909831</v>
      </c>
      <c r="Q125" s="130"/>
      <c r="R125" s="130"/>
      <c r="S125" s="195"/>
      <c r="T125" s="531"/>
    </row>
    <row r="126" spans="1:20" ht="18" thickBot="1">
      <c r="A126" s="2446" t="s">
        <v>6588</v>
      </c>
      <c r="B126" s="132"/>
      <c r="C126" s="195"/>
      <c r="D126" s="3818" t="s">
        <v>8559</v>
      </c>
      <c r="E126" s="3818"/>
      <c r="F126" s="3818"/>
      <c r="G126" s="381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819" t="s">
        <v>4507</v>
      </c>
      <c r="K127" s="3820"/>
      <c r="L127" s="480"/>
      <c r="M127" s="1345" t="s">
        <v>4136</v>
      </c>
      <c r="N127" s="1342">
        <v>8.6</v>
      </c>
      <c r="O127" s="1343">
        <v>7.6</v>
      </c>
      <c r="P127" s="1344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4" cm="1">
        <f t="array" ref="D128">INDEX('7층_부하량'!I3:I3000,MATCH(1,("7-DaHall 1-RPP-04"='7층_부하량'!A3:A3000)*(1='7층_부하량'!B3:B3000),0))</f>
        <v>1.1767347473275105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4" cm="1">
        <f t="array" ref="N128">INDEX('7층_부하량'!I3:I3000,MATCH(1,("7-DaHall 1-RPP-04"='7층_부하량'!A3:A3000)*(2='7층_부하량'!B3:B3000),0))</f>
        <v>1.6537366638268731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5" cm="1">
        <f t="array" ref="E129">INDEX('7층_부하량'!J3:J3000,MATCH(1,("7-DaHall 1-RPP-04"='7층_부하량'!A3:A3000)*(3='7층_부하량'!B3:B3000),0))</f>
        <v>3.3577218810015981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5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6" cm="1">
        <f t="array" ref="F130">INDEX('7층_부하량'!K3:K3000,MATCH(1,("7-DaHall 1-RPP-04"='7층_부하량'!A3:A3000)*(5='7층_부하량'!B3:B3000),0))</f>
        <v>4.4847758598187166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6" cm="1">
        <f t="array" ref="P130">INDEX('7층_부하량'!K3:K3000,MATCH(1,("7-DaHall 1-RPP-04"='7층_부하량'!A3:A3000)*(6='7층_부하량'!B3:B3000),0))</f>
        <v>1.230463695723041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6" cm="1">
        <f t="array" ref="D131">INDEX('7층_부하량'!I3:I3000,MATCH(1,("7-DaHall 1-RPP-04"='7층_부하량'!A3:A3000)*(7='7층_부하량'!B3:B3000),0))</f>
        <v>4.1385957122946948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6" cm="1">
        <f t="array" ref="N131">INDEX('7층_부하량'!I3:I3000,MATCH(1,("7-DaHall 1-RPP-04"='7층_부하량'!A3:A3000)*(8='7층_부하량'!B3:B3000),0))</f>
        <v>1.9416075089087841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6" cm="1">
        <f t="array" ref="E132">INDEX('7층_부하량'!J3:J3000,MATCH(1,("7-DaHall 1-RPP-04"='7층_부하량'!A3:A3000)*(9='7층_부하량'!B3:B3000),0))</f>
        <v>1.637979992479152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6" cm="1">
        <f t="array" ref="O132">INDEX('7층_부하량'!J3:J3000,MATCH(1,("7-DaHall 1-RPP-04"='7층_부하량'!A3:A3000)*(10='7층_부하량'!B3:B3000),0))</f>
        <v>2.8513499542163339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8.9106746323578623</v>
      </c>
      <c r="O133" s="127">
        <f>SUM(E128:E132,O128:O132)</f>
        <v>7.8470518276970846</v>
      </c>
      <c r="P133" s="127">
        <f>SUM(F128:F132,P128:P132)</f>
        <v>5.7152395555417579</v>
      </c>
    </row>
    <row r="134" spans="1:20" ht="15" thickBot="1"/>
    <row r="135" spans="1:20" ht="15.6" thickTop="1" thickBot="1">
      <c r="A135" s="53" t="s">
        <v>6589</v>
      </c>
      <c r="D135" s="3818" t="s">
        <v>8557</v>
      </c>
      <c r="E135" s="3818"/>
      <c r="F135" s="3818"/>
      <c r="G135" s="3818"/>
      <c r="H135" s="489"/>
      <c r="I135" s="123"/>
      <c r="J135" s="3819" t="s">
        <v>4201</v>
      </c>
      <c r="K135" s="382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4136</v>
      </c>
      <c r="N136" s="1342">
        <v>82.2</v>
      </c>
      <c r="O136" s="1343">
        <v>71.2</v>
      </c>
      <c r="P136" s="1344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2" cm="1">
        <f t="array" ref="D138">INDEX('7층_부하량'!I3:I3000,MATCH(1,("7-DaHall 1-PDU-03"='7층_부하량'!A3:A3000)*(1='7층_부하량'!B3:B3000),0))</f>
        <v>26.43004387676503</v>
      </c>
      <c r="E138" s="2552" cm="1">
        <f t="array" ref="E138">INDEX('7층_부하량'!J3:J3000,MATCH(1,("7-DaHall 1-PDU-03"='7층_부하량'!A3:A3000)*(1='7층_부하량'!B3:B3000),0))</f>
        <v>13.149087572170288</v>
      </c>
      <c r="F138" s="2552" cm="1">
        <f t="array" ref="F138">INDEX('7층_부하량'!K3:K3000,MATCH(1,("7-DaHall 1-PDU-03"='7층_부하량'!A3:A3000)*(1='7층_부하량'!B3:B3000),0))</f>
        <v>18.587441996632464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2" cm="1">
        <f t="array" ref="N138">INDEX('7층_부하량'!I3:I3000,MATCH(1,("7-DaHall 1-PDU-03"='7층_부하량'!A3:A3000)*(2='7층_부하량'!B3:B3000),0))</f>
        <v>3.3292535266301519</v>
      </c>
      <c r="O138" s="2552" cm="1">
        <f t="array" ref="O138">INDEX('7층_부하량'!J3:J3000,MATCH(1,("7-DaHall 1-PDU-03"='7층_부하량'!A3:A3000)*(2='7층_부하량'!B3:B3000),0))</f>
        <v>2.9144530047810484</v>
      </c>
      <c r="P138" s="2552" cm="1">
        <f t="array" ref="P138">INDEX('7층_부하량'!K3:K3000,MATCH(1,("7-DaHall 1-PDU-03"='7층_부하량'!A3:A3000)*(2='7층_부하량'!B3:B3000),0))</f>
        <v>8.1737569375948045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5" cm="1">
        <f t="array" ref="D139">INDEX('7층_부하량'!I3:I3000,MATCH(1,("7-DaHall 1-PDU-03"='7층_부하량'!A3:A3000)*(3='7층_부하량'!B3:B3000),0))</f>
        <v>6.6645970772389864</v>
      </c>
      <c r="E139" s="2545" cm="1">
        <f t="array" ref="E139">INDEX('7층_부하량'!J3:J3000,MATCH(1,("7-DaHall 1-PDU-03"='7층_부하량'!A3:A3000)*(3='7층_부하량'!B3:B3000),0))</f>
        <v>8.0239214661696288</v>
      </c>
      <c r="F139" s="2545" cm="1">
        <f t="array" ref="F139">INDEX('7층_부하량'!K3:K3000,MATCH(1,("7-DaHall 1-PDU-03"='7층_부하량'!A3:A3000)*(3='7층_부하량'!B3:B3000),0))</f>
        <v>5.0083407127177431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5" cm="1">
        <f t="array" ref="N139">INDEX('7층_부하량'!I3:I3000,MATCH(1,("7-DaHall 1-PDU-03"='7층_부하량'!A3:A3000)*(4='7층_부하량'!B3:B3000),0))</f>
        <v>0</v>
      </c>
      <c r="O139" s="2553" cm="1">
        <f t="array" ref="O139">INDEX('7층_부하량'!J3:J3000,MATCH(1,("7-DaHall 1-PDU-03"='7층_부하량'!A3:A3000)*(4='7층_부하량'!B3:B3000),0))</f>
        <v>0</v>
      </c>
      <c r="P139" s="2553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6" cm="1">
        <f t="array" ref="D140">INDEX('7층_부하량'!I3:I3000,MATCH(1,("7-DaHall 1-PDU-03"='7층_부하량'!A3:A3000)*(5='7층_부하량'!B3:B3000),0))</f>
        <v>0</v>
      </c>
      <c r="E140" s="2546" cm="1">
        <f t="array" ref="E140">INDEX('7층_부하량'!J3:J3000,MATCH(1,("7-DaHall 1-PDU-03"='7층_부하량'!A3:A3000)*(5='7층_부하량'!B3:B3000),0))</f>
        <v>0</v>
      </c>
      <c r="F140" s="2546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4" cm="1">
        <f t="array" ref="N140">INDEX('7층_부하량'!I3:I3000,MATCH(1,("7-DaHall 1-PDU-03"='7층_부하량'!A3:A3000)*(6='7층_부하량'!B3:B3000),0))</f>
        <v>51.872659266491716</v>
      </c>
      <c r="O140" s="2554" cm="1">
        <f t="array" ref="O140">INDEX('7층_부하량'!J3:J3000,MATCH(1,("7-DaHall 1-PDU-03"='7층_부하량'!A3:A3000)*(6='7층_부하량'!B3:B3000),0))</f>
        <v>52.372320027784248</v>
      </c>
      <c r="P140" s="2554" cm="1">
        <f t="array" ref="P140">INDEX('7층_부하량'!K3:K3000,MATCH(1,("7-DaHall 1-PDU-03"='7층_부하량'!A3:A3000)*(6='7층_부하량'!B3:B3000),0))</f>
        <v>54.939706624089844</v>
      </c>
      <c r="Q140" s="993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6" cm="1">
        <f t="array" ref="D141">INDEX('7층_부하량'!I3:I3000,MATCH(1,("7-DaHall 1-PDU-03"='7층_부하량'!A3:A3000)*(7='7층_부하량'!B3:B3000),0))</f>
        <v>0</v>
      </c>
      <c r="E141" s="2546" cm="1">
        <f t="array" ref="E141">INDEX('7층_부하량'!J3:J3000,MATCH(1,("7-DaHall 1-PDU-03"='7층_부하량'!A3:A3000)*(7='7층_부하량'!B3:B3000),0))</f>
        <v>0</v>
      </c>
      <c r="F141" s="2546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6" cm="1">
        <f t="array" ref="N141">INDEX('7층_부하량'!I3:I3000,MATCH(1,("7-DaHall 1-PDU-03"='7층_부하량'!A3:A3000)*(8='7층_부하량'!B3:B3000),0))</f>
        <v>0</v>
      </c>
      <c r="O141" s="2546" cm="1">
        <f t="array" ref="O141">INDEX('7층_부하량'!J3:J3000,MATCH(1,("7-DaHall 1-PDU-03"='7층_부하량'!A3:A3000)*(8='7층_부하량'!B3:B3000),0))</f>
        <v>0</v>
      </c>
      <c r="P141" s="2546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6" cm="1">
        <f t="array" ref="D142">INDEX('7층_부하량'!I3:I3000,MATCH(1,("7-DaHall 1-PDU-03"='7층_부하량'!A3:A3000)*(9='7층_부하량'!B3:B3000),0))</f>
        <v>0</v>
      </c>
      <c r="E142" s="2546" cm="1">
        <f t="array" ref="E142">INDEX('7층_부하량'!J3:J3000,MATCH(1,("7-DaHall 1-PDU-03"='7층_부하량'!A3:A3000)*(9='7층_부하량'!B3:B3000),0))</f>
        <v>0</v>
      </c>
      <c r="F142" s="2546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6" cm="1">
        <f t="array" ref="N142">INDEX('7층_부하량'!I3:I3000,MATCH(1,("7-DaHall 1-PDU-03"='7층_부하량'!A3:A3000)*(10='7층_부하량'!B3:B3000),0))</f>
        <v>0</v>
      </c>
      <c r="O142" s="2546" cm="1">
        <f t="array" ref="O142">INDEX('7층_부하량'!J3:J3000,MATCH(1,("7-DaHall 1-PDU-03"='7층_부하량'!A3:A3000)*(10='7층_부하량'!B3:B3000),0))</f>
        <v>0</v>
      </c>
      <c r="P142" s="2546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5" t="s">
        <v>4537</v>
      </c>
      <c r="I147" s="477" t="s">
        <v>4243</v>
      </c>
      <c r="J147" s="167"/>
      <c r="K147" s="519"/>
      <c r="L147" s="485" t="s">
        <v>4183</v>
      </c>
      <c r="M147" s="1155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88.296553747125884</v>
      </c>
      <c r="O148" s="127">
        <f>SUM(E138:E147,O138:O147)</f>
        <v>76.45978207090522</v>
      </c>
      <c r="P148" s="127">
        <f>SUM(F138:F147,P138:P147)</f>
        <v>86.709246271034857</v>
      </c>
    </row>
    <row r="149" spans="1:20" ht="15" thickBot="1"/>
    <row r="150" spans="1:20" ht="15.6" thickTop="1" thickBot="1">
      <c r="A150" s="53" t="s">
        <v>6586</v>
      </c>
      <c r="D150" s="3818" t="s">
        <v>8558</v>
      </c>
      <c r="E150" s="3818"/>
      <c r="F150" s="3818"/>
      <c r="G150" s="3818"/>
      <c r="H150" s="489"/>
      <c r="I150" s="123"/>
      <c r="J150" s="3819" t="s">
        <v>4201</v>
      </c>
      <c r="K150" s="382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4136</v>
      </c>
      <c r="N151" s="1342">
        <v>88.3</v>
      </c>
      <c r="O151" s="1343">
        <v>66</v>
      </c>
      <c r="P151" s="1344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4" cm="1">
        <f t="array" ref="D153">INDEX('7층_부하량'!I3:I3000,MATCH(1,("7-DaHall 1-PDU-04"='7층_부하량'!A3:A3000)*(1='7층_부하량'!B3:B3000),0))</f>
        <v>46.045090380689395</v>
      </c>
      <c r="E153" s="2544" cm="1">
        <f t="array" ref="E153">INDEX('7층_부하량'!J3:J3000,MATCH(1,("7-DaHall 1-PDU-04"='7층_부하량'!A3:A3000)*(1='7층_부하량'!B3:B3000),0))</f>
        <v>46.8512061102209</v>
      </c>
      <c r="F153" s="2544" cm="1">
        <f t="array" ref="F153">INDEX('7층_부하량'!K3:K3000,MATCH(1,("7-DaHall 1-PDU-04"='7층_부하량'!A3:A3000)*(1='7층_부하량'!B3:B3000),0))</f>
        <v>49.414773561749882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2" cm="1">
        <f t="array" ref="N153">INDEX('7층_부하량'!I3:I3000,MATCH(1,("7-DaHall 1-PDU-04"='7층_부하량'!A3:A3000)*(2='7층_부하량'!B3:B3000),0))</f>
        <v>40.069340099056618</v>
      </c>
      <c r="O153" s="2552" cm="1">
        <f t="array" ref="O153">INDEX('7층_부하량'!J3:J3000,MATCH(1,("7-DaHall 1-PDU-04"='7층_부하량'!A3:A3000)*(2='7층_부하량'!B3:B3000),0))</f>
        <v>11.90888666714228</v>
      </c>
      <c r="P153" s="2552" cm="1">
        <f t="array" ref="P153">INDEX('7층_부하량'!K3:K3000,MATCH(1,("7-DaHall 1-PDU-04"='7층_부하량'!A3:A3000)*(2='7층_부하량'!B3:B3000),0))</f>
        <v>20.921790853650428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3" cm="1">
        <f t="array" ref="D154">INDEX('7층_부하량'!I3:I3000,MATCH(1,("7-DaHall 1-PDU-04"='7층_부하량'!A3:A3000)*(3='7층_부하량'!B3:B3000),0))</f>
        <v>0</v>
      </c>
      <c r="E154" s="2553" cm="1">
        <f t="array" ref="E154">INDEX('7층_부하량'!J3:J3000,MATCH(1,("7-DaHall 1-PDU-04"='7층_부하량'!A3:A3000)*(3='7층_부하량'!B3:B3000),0))</f>
        <v>0</v>
      </c>
      <c r="F154" s="2553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3" cm="1">
        <f t="array" ref="N154">INDEX('7층_부하량'!I3:I3000,MATCH(1,("7-DaHall 1-PDU-04"='7층_부하량'!A3:A3000)*(4='7층_부하량'!B3:B3000),0))</f>
        <v>8.8609179037943147</v>
      </c>
      <c r="O154" s="2553" cm="1">
        <f t="array" ref="O154">INDEX('7층_부하량'!J3:J3000,MATCH(1,("7-DaHall 1-PDU-04"='7층_부하량'!A3:A3000)*(4='7층_부하량'!B3:B3000),0))</f>
        <v>7.6603568986443271</v>
      </c>
      <c r="P154" s="2545" cm="1">
        <f t="array" ref="P154">INDEX('7층_부하량'!K3:K3000,MATCH(1,("7-DaHall 1-PDU-04"='7층_부하량'!A3:A3000)*(4='7층_부하량'!B3:B3000),0))</f>
        <v>5.6447897069857591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3" cm="1">
        <f t="array" ref="D155">INDEX('7층_부하량'!I3:I3000,MATCH(1,("7-DaHall 1-PDU-04"='7층_부하량'!A3:A3000)*(5='7층_부하량'!B3:B3000),0))</f>
        <v>0</v>
      </c>
      <c r="E155" s="2553" cm="1">
        <f t="array" ref="E155">INDEX('7층_부하량'!J3:J3000,MATCH(1,("7-DaHall 1-PDU-04"='7층_부하량'!A3:A3000)*(5='7층_부하량'!B3:B3000),0))</f>
        <v>0</v>
      </c>
      <c r="F155" s="2553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6" cm="1">
        <f t="array" ref="N155">INDEX('7층_부하량'!I3:I3000,MATCH(1,("7-DaHall 1-PDU-04"='7층_부하량'!A3:A3000)*(6='7층_부하량'!B3:B3000),0))</f>
        <v>0</v>
      </c>
      <c r="O155" s="2546" cm="1">
        <f t="array" ref="O155">INDEX('7층_부하량'!J3:J3000,MATCH(1,("7-DaHall 1-PDU-04"='7층_부하량'!A3:A3000)*(6='7층_부하량'!B3:B3000),0))</f>
        <v>0</v>
      </c>
      <c r="P155" s="2546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6" cm="1">
        <f t="array" ref="D156">INDEX('7층_부하량'!I3:I3000,MATCH(1,("7-DaHall 1-PDU-04"='7층_부하량'!A3:A3000)*(7='7층_부하량'!B3:B3000),0))</f>
        <v>0</v>
      </c>
      <c r="E156" s="2546" cm="1">
        <f t="array" ref="E156">INDEX('7층_부하량'!J3:J3000,MATCH(1,("7-DaHall 1-PDU-04"='7층_부하량'!A3:A3000)*(7='7층_부하량'!B3:B3000),0))</f>
        <v>0</v>
      </c>
      <c r="F156" s="2546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6" cm="1">
        <f t="array" ref="N156">INDEX('7층_부하량'!I3:I3000,MATCH(1,("7-DaHall 1-PDU-04"='7층_부하량'!A3:A3000)*(8='7층_부하량'!B3:B3000),0))</f>
        <v>0</v>
      </c>
      <c r="O156" s="2546" cm="1">
        <f t="array" ref="O156">INDEX('7층_부하량'!J3:J3000,MATCH(1,("7-DaHall 1-PDU-04"='7층_부하량'!A3:A3000)*(8='7층_부하량'!B3:B3000),0))</f>
        <v>0</v>
      </c>
      <c r="P156" s="2546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6" cm="1">
        <f t="array" ref="D157">INDEX('7층_부하량'!I3:I3000,MATCH(1,("7-DaHall 1-PDU-04"='7층_부하량'!A3:A3000)*(9='7층_부하량'!B3:B3000),0))</f>
        <v>0</v>
      </c>
      <c r="E157" s="2546" cm="1">
        <f t="array" ref="E157">INDEX('7층_부하량'!J3:J3000,MATCH(1,("7-DaHall 1-PDU-04"='7층_부하량'!A3:A3000)*(9='7층_부하량'!B3:B3000),0))</f>
        <v>0</v>
      </c>
      <c r="F157" s="2546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6" cm="1">
        <f t="array" ref="N157">INDEX('7층_부하량'!I3:I3000,MATCH(1,("7-DaHall 1-PDU-04"='7층_부하량'!A3:A3000)*(10='7층_부하량'!B3:B3000),0))</f>
        <v>0</v>
      </c>
      <c r="O157" s="2546" cm="1">
        <f t="array" ref="O157">INDEX('7층_부하량'!J3:J3000,MATCH(1,("7-DaHall 1-PDU-04"='7층_부하량'!A3:A3000)*(10='7층_부하량'!B3:B3000),0))</f>
        <v>0</v>
      </c>
      <c r="P157" s="2546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94.975348383540322</v>
      </c>
      <c r="O163" s="127">
        <f>SUM(E153:E162,O153:O162)</f>
        <v>66.420449676007507</v>
      </c>
      <c r="P163" s="127">
        <f>SUM(F153:F162,P153:P162)</f>
        <v>75.98135412238608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4">
        <f>N173-SUM(D166:D170)</f>
        <v>210.91264888643889</v>
      </c>
      <c r="E165" s="51">
        <f t="shared" ref="E165:E171" si="0">D165/$D$171</f>
        <v>0.2829919461356073</v>
      </c>
      <c r="M165" s="505" t="s">
        <v>4546</v>
      </c>
      <c r="N165" s="127">
        <f>N26</f>
        <v>27.98559957407522</v>
      </c>
      <c r="O165" s="127">
        <f>O26</f>
        <v>14.125867561875495</v>
      </c>
      <c r="P165" s="127">
        <f>P26</f>
        <v>19.234081277022554</v>
      </c>
    </row>
    <row r="166" spans="1:20">
      <c r="B166" s="50" t="s">
        <v>4547</v>
      </c>
      <c r="C166" s="50" t="s">
        <v>4548</v>
      </c>
      <c r="D166" s="2215">
        <f>SUM(D18:F18,N15:P15,N25:P25,D32:F32,D34:F37,D39:F44,D46:F48,D50:F50,N46:P46,D65:F69,D71:F76,D78:F80,D82:F82,N78:P78,N113:P113)</f>
        <v>159.55695589143005</v>
      </c>
      <c r="E166" s="51">
        <f t="shared" si="0"/>
        <v>0.21408546953246427</v>
      </c>
      <c r="M166" s="505" t="s">
        <v>4549</v>
      </c>
      <c r="N166" s="127">
        <f>N115</f>
        <v>42.432936055697006</v>
      </c>
      <c r="O166" s="127">
        <f>O115</f>
        <v>12.811515154751604</v>
      </c>
      <c r="P166" s="127">
        <f>P115</f>
        <v>21.750587526420993</v>
      </c>
    </row>
    <row r="167" spans="1:20">
      <c r="B167" s="50" t="s">
        <v>4207</v>
      </c>
      <c r="C167" s="50" t="s">
        <v>4207</v>
      </c>
      <c r="D167" s="2216">
        <f>SUM(D6:F9,D12:F12,D19:F21,N9:P11,N21:P21,N34:P34,D49:F49,N45:P45,N66:P66,N77:P77,D77:F77,D81:F81,D98:F103,D112:F114,N95:P95,N97:P97,N107:P107)</f>
        <v>47.591950211261754</v>
      </c>
      <c r="E167" s="51">
        <f t="shared" si="0"/>
        <v>6.3856476516614719E-2</v>
      </c>
      <c r="M167" s="505" t="s">
        <v>4550</v>
      </c>
      <c r="N167" s="127">
        <f>N125</f>
        <v>6.7361930483103585</v>
      </c>
      <c r="O167" s="127">
        <f>O125</f>
        <v>8.1683770486869065</v>
      </c>
      <c r="P167" s="127">
        <f>P125</f>
        <v>5.0388377171909831</v>
      </c>
    </row>
    <row r="168" spans="1:20">
      <c r="B168" s="50" t="s">
        <v>4207</v>
      </c>
      <c r="C168" s="50" t="s">
        <v>4551</v>
      </c>
      <c r="D168" s="2217">
        <f>SUM(,N140:P140,D153:F153)</f>
        <v>301.49575597102597</v>
      </c>
      <c r="E168" s="51">
        <f t="shared" si="0"/>
        <v>0.40453178690011082</v>
      </c>
      <c r="G168" s="127"/>
      <c r="M168" s="505" t="s">
        <v>4552</v>
      </c>
      <c r="N168" s="127">
        <f>N133</f>
        <v>8.9106746323578623</v>
      </c>
      <c r="O168" s="127">
        <f>O133</f>
        <v>7.8470518276970846</v>
      </c>
      <c r="P168" s="127">
        <f>P133</f>
        <v>5.7152395555417579</v>
      </c>
    </row>
    <row r="169" spans="1:20">
      <c r="B169" s="985" t="s">
        <v>4553</v>
      </c>
      <c r="C169" s="50" t="s">
        <v>4554</v>
      </c>
      <c r="D169" s="2218">
        <f>SUM(D14:F14,N19:P20,D95:F96,N95:P95,N97:P97,N105:P106)</f>
        <v>11.320813542699227</v>
      </c>
      <c r="E169" s="51">
        <f t="shared" si="0"/>
        <v>1.5189696176125275E-2</v>
      </c>
      <c r="M169" s="505" t="s">
        <v>4555</v>
      </c>
      <c r="N169" s="127">
        <f>N90</f>
        <v>34.893893923779892</v>
      </c>
      <c r="O169" s="127">
        <f>O90</f>
        <v>45.762731318752024</v>
      </c>
      <c r="P169" s="127">
        <f>P90</f>
        <v>41.640698806417717</v>
      </c>
    </row>
    <row r="170" spans="1:20">
      <c r="B170" s="985" t="s">
        <v>4556</v>
      </c>
      <c r="C170" s="50"/>
      <c r="D170" s="2218">
        <f>SUM(N138:P138)</f>
        <v>14.417463469006005</v>
      </c>
      <c r="E170" s="51">
        <f t="shared" si="0"/>
        <v>1.934462473907779E-2</v>
      </c>
      <c r="M170" s="505" t="s">
        <v>4557</v>
      </c>
      <c r="N170" s="127">
        <f>N58</f>
        <v>31.392412926017823</v>
      </c>
      <c r="O170" s="127">
        <f>O58</f>
        <v>46.69461074357335</v>
      </c>
      <c r="P170" s="127">
        <f>P58</f>
        <v>48.241059833661289</v>
      </c>
    </row>
    <row r="171" spans="1:20">
      <c r="B171" s="50"/>
      <c r="C171" s="50" t="s">
        <v>4558</v>
      </c>
      <c r="D171" s="2360">
        <f>SUM(D165:D170)</f>
        <v>745.29558797186178</v>
      </c>
      <c r="E171" s="2359">
        <f t="shared" si="0"/>
        <v>1</v>
      </c>
      <c r="M171" s="505" t="s">
        <v>4559</v>
      </c>
      <c r="N171" s="127">
        <f>D153+N140</f>
        <v>97.917749647181111</v>
      </c>
      <c r="O171" s="127">
        <f t="shared" ref="O171:P171" si="1">E153+O140</f>
        <v>99.223526138005155</v>
      </c>
      <c r="P171" s="127">
        <f t="shared" si="1"/>
        <v>104.35448018583972</v>
      </c>
    </row>
    <row r="172" spans="1:20">
      <c r="D172" s="127"/>
      <c r="M172" s="505" t="s">
        <v>4560</v>
      </c>
      <c r="N172" s="127">
        <f>N138</f>
        <v>3.3292535266301519</v>
      </c>
      <c r="O172" s="127">
        <f t="shared" ref="O172:P172" si="2">O138</f>
        <v>2.9144530047810484</v>
      </c>
      <c r="P172" s="127">
        <f t="shared" si="2"/>
        <v>8.1737569375948045</v>
      </c>
    </row>
    <row r="173" spans="1:20">
      <c r="M173" s="505" t="s">
        <v>4561</v>
      </c>
      <c r="N173" s="2360">
        <f>SUM(N165:P172)</f>
        <v>745.29558797186189</v>
      </c>
    </row>
    <row r="175" spans="1:20">
      <c r="N175">
        <f>N173*220/1000</f>
        <v>163.96502935380963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43" bestFit="1" customWidth="1"/>
    <col min="5" max="16384" width="8.8984375" style="2543"/>
  </cols>
  <sheetData>
    <row r="1" spans="1:2">
      <c r="A1" s="3815" t="s">
        <v>7540</v>
      </c>
      <c r="B1" s="3815" t="s">
        <v>8496</v>
      </c>
    </row>
    <row r="2" spans="1:2">
      <c r="A2" s="3815"/>
      <c r="B2" s="3815"/>
    </row>
    <row r="3" spans="1:2">
      <c r="A3" s="2542" t="s">
        <v>7534</v>
      </c>
      <c r="B3" s="2541" t="s">
        <v>8498</v>
      </c>
    </row>
    <row r="4" spans="1:2">
      <c r="A4" t="s">
        <v>8261</v>
      </c>
      <c r="B4" s="2541" t="s">
        <v>8499</v>
      </c>
    </row>
    <row r="5" spans="1:2">
      <c r="A5" t="s">
        <v>8262</v>
      </c>
      <c r="B5" s="2541" t="s">
        <v>8500</v>
      </c>
    </row>
    <row r="6" spans="1:2">
      <c r="A6" t="s">
        <v>8263</v>
      </c>
      <c r="B6" s="2541" t="s">
        <v>8501</v>
      </c>
    </row>
    <row r="7" spans="1:2">
      <c r="A7" t="s">
        <v>8264</v>
      </c>
      <c r="B7" s="2541" t="s">
        <v>8502</v>
      </c>
    </row>
    <row r="8" spans="1:2">
      <c r="A8" t="s">
        <v>8265</v>
      </c>
      <c r="B8" s="2541" t="s">
        <v>8503</v>
      </c>
    </row>
    <row r="9" spans="1:2">
      <c r="A9" t="s">
        <v>8266</v>
      </c>
      <c r="B9" s="2541" t="s">
        <v>8504</v>
      </c>
    </row>
    <row r="10" spans="1:2">
      <c r="A10" t="s">
        <v>8267</v>
      </c>
      <c r="B10" s="2541" t="s">
        <v>8505</v>
      </c>
    </row>
    <row r="11" spans="1:2">
      <c r="A11" t="s">
        <v>8268</v>
      </c>
      <c r="B11" s="2541" t="s">
        <v>8506</v>
      </c>
    </row>
    <row r="12" spans="1:2">
      <c r="A12" t="s">
        <v>8269</v>
      </c>
      <c r="B12" s="2541" t="s">
        <v>8507</v>
      </c>
    </row>
    <row r="13" spans="1:2">
      <c r="A13" t="s">
        <v>8270</v>
      </c>
      <c r="B13" s="2541" t="s">
        <v>8508</v>
      </c>
    </row>
    <row r="14" spans="1:2">
      <c r="A14" t="s">
        <v>8271</v>
      </c>
      <c r="B14" s="2541" t="s">
        <v>8509</v>
      </c>
    </row>
    <row r="15" spans="1:2">
      <c r="A15" t="s">
        <v>8272</v>
      </c>
      <c r="B15" s="2541" t="s">
        <v>8510</v>
      </c>
    </row>
    <row r="16" spans="1:2">
      <c r="A16" t="s">
        <v>8273</v>
      </c>
      <c r="B16" s="2541" t="s">
        <v>8511</v>
      </c>
    </row>
    <row r="17" spans="1:2">
      <c r="A17" t="s">
        <v>8274</v>
      </c>
      <c r="B17" s="2541" t="s">
        <v>8512</v>
      </c>
    </row>
    <row r="18" spans="1:2">
      <c r="A18" t="s">
        <v>8275</v>
      </c>
      <c r="B18" s="2541" t="s">
        <v>8513</v>
      </c>
    </row>
    <row r="19" spans="1:2">
      <c r="A19" t="s">
        <v>8276</v>
      </c>
      <c r="B19" s="2541" t="s">
        <v>8514</v>
      </c>
    </row>
    <row r="20" spans="1:2">
      <c r="A20" t="s">
        <v>8277</v>
      </c>
      <c r="B20" s="2541" t="s">
        <v>8515</v>
      </c>
    </row>
    <row r="21" spans="1:2">
      <c r="A21" t="s">
        <v>8278</v>
      </c>
      <c r="B21" s="2541" t="s">
        <v>8516</v>
      </c>
    </row>
    <row r="22" spans="1:2">
      <c r="A22" t="s">
        <v>8279</v>
      </c>
      <c r="B22" s="2541" t="s">
        <v>8517</v>
      </c>
    </row>
    <row r="23" spans="1:2">
      <c r="A23" t="s">
        <v>8280</v>
      </c>
      <c r="B23" s="2541" t="s">
        <v>8518</v>
      </c>
    </row>
    <row r="24" spans="1:2">
      <c r="A24" t="s">
        <v>8281</v>
      </c>
      <c r="B24" s="2541" t="s">
        <v>8519</v>
      </c>
    </row>
    <row r="25" spans="1:2">
      <c r="A25" t="s">
        <v>8282</v>
      </c>
      <c r="B25" s="2541" t="s">
        <v>8520</v>
      </c>
    </row>
    <row r="26" spans="1:2">
      <c r="A26" t="s">
        <v>8283</v>
      </c>
      <c r="B26" s="2541" t="s">
        <v>8521</v>
      </c>
    </row>
    <row r="27" spans="1:2">
      <c r="A27" t="s">
        <v>8284</v>
      </c>
      <c r="B27" s="2541" t="s">
        <v>8522</v>
      </c>
    </row>
    <row r="28" spans="1:2">
      <c r="A28" t="s">
        <v>8285</v>
      </c>
      <c r="B28" s="2541" t="s">
        <v>8523</v>
      </c>
    </row>
    <row r="29" spans="1:2">
      <c r="A29" t="s">
        <v>8286</v>
      </c>
      <c r="B29" s="2541" t="s">
        <v>8524</v>
      </c>
    </row>
    <row r="30" spans="1:2">
      <c r="A30" t="s">
        <v>8287</v>
      </c>
      <c r="B30" s="2541" t="s">
        <v>8525</v>
      </c>
    </row>
    <row r="31" spans="1:2">
      <c r="A31" t="s">
        <v>8288</v>
      </c>
      <c r="B31" s="2541" t="s">
        <v>8526</v>
      </c>
    </row>
    <row r="32" spans="1:2">
      <c r="A32" t="s">
        <v>8289</v>
      </c>
      <c r="B32" s="2541" t="s">
        <v>8527</v>
      </c>
    </row>
    <row r="33" spans="1:2">
      <c r="A33" t="s">
        <v>8290</v>
      </c>
      <c r="B33" s="2541" t="s">
        <v>8528</v>
      </c>
    </row>
    <row r="34" spans="1:2">
      <c r="A34" t="s">
        <v>8291</v>
      </c>
      <c r="B34" s="2541" t="s">
        <v>8529</v>
      </c>
    </row>
    <row r="35" spans="1:2">
      <c r="A35" t="s">
        <v>8292</v>
      </c>
      <c r="B35" s="2541" t="s">
        <v>8530</v>
      </c>
    </row>
    <row r="36" spans="1:2">
      <c r="A36" t="s">
        <v>8293</v>
      </c>
      <c r="B36" s="2541" t="s">
        <v>8531</v>
      </c>
    </row>
    <row r="37" spans="1:2">
      <c r="A37" t="s">
        <v>8294</v>
      </c>
      <c r="B37" s="2541" t="s">
        <v>8532</v>
      </c>
    </row>
    <row r="38" spans="1:2">
      <c r="A38" t="s">
        <v>8295</v>
      </c>
      <c r="B38" s="2541" t="s">
        <v>8533</v>
      </c>
    </row>
    <row r="39" spans="1:2">
      <c r="A39" t="s">
        <v>8296</v>
      </c>
      <c r="B39" s="2541" t="s">
        <v>8534</v>
      </c>
    </row>
    <row r="40" spans="1:2">
      <c r="A40" t="s">
        <v>8297</v>
      </c>
      <c r="B40" s="2541" t="s">
        <v>8535</v>
      </c>
    </row>
    <row r="41" spans="1:2">
      <c r="A41" t="s">
        <v>8298</v>
      </c>
      <c r="B41" s="2541" t="s">
        <v>8536</v>
      </c>
    </row>
    <row r="42" spans="1:2">
      <c r="A42" t="s">
        <v>8299</v>
      </c>
      <c r="B42" s="2541" t="s">
        <v>8537</v>
      </c>
    </row>
    <row r="43" spans="1:2">
      <c r="A43" t="s">
        <v>8300</v>
      </c>
      <c r="B43" s="2541" t="s">
        <v>8538</v>
      </c>
    </row>
    <row r="44" spans="1:2">
      <c r="A44" t="s">
        <v>8301</v>
      </c>
      <c r="B44" s="2541" t="s">
        <v>8539</v>
      </c>
    </row>
    <row r="45" spans="1:2">
      <c r="A45" t="s">
        <v>8302</v>
      </c>
      <c r="B45" s="2541" t="s">
        <v>8540</v>
      </c>
    </row>
    <row r="46" spans="1:2">
      <c r="A46" t="s">
        <v>8303</v>
      </c>
      <c r="B46" s="2541" t="s">
        <v>8541</v>
      </c>
    </row>
    <row r="47" spans="1:2">
      <c r="A47" t="s">
        <v>8304</v>
      </c>
      <c r="B47" s="2541" t="s">
        <v>8542</v>
      </c>
    </row>
    <row r="48" spans="1:2">
      <c r="A48" t="s">
        <v>8305</v>
      </c>
      <c r="B48" s="2541" t="s">
        <v>8543</v>
      </c>
    </row>
    <row r="49" spans="1:2">
      <c r="A49" t="s">
        <v>8306</v>
      </c>
      <c r="B49" s="2541" t="s">
        <v>8544</v>
      </c>
    </row>
    <row r="50" spans="1:2">
      <c r="A50" t="s">
        <v>8307</v>
      </c>
      <c r="B50" s="2541" t="s">
        <v>8545</v>
      </c>
    </row>
    <row r="51" spans="1:2">
      <c r="A51" t="s">
        <v>8308</v>
      </c>
      <c r="B51" s="2541" t="s">
        <v>8546</v>
      </c>
    </row>
    <row r="52" spans="1:2">
      <c r="A52" t="s">
        <v>8309</v>
      </c>
      <c r="B52" s="2541" t="s">
        <v>8547</v>
      </c>
    </row>
    <row r="53" spans="1:2">
      <c r="A53" t="s">
        <v>8310</v>
      </c>
      <c r="B53" s="2541" t="s">
        <v>8548</v>
      </c>
    </row>
    <row r="54" spans="1:2">
      <c r="A54" t="s">
        <v>8311</v>
      </c>
      <c r="B54" s="2541" t="s">
        <v>8549</v>
      </c>
    </row>
    <row r="55" spans="1:2">
      <c r="A55" t="s">
        <v>8312</v>
      </c>
      <c r="B55" s="2541" t="s">
        <v>8550</v>
      </c>
    </row>
    <row r="56" spans="1:2">
      <c r="A56" t="s">
        <v>8313</v>
      </c>
      <c r="B56" s="2541" t="s">
        <v>8551</v>
      </c>
    </row>
    <row r="57" spans="1:2">
      <c r="A57" s="2542" t="s">
        <v>8314</v>
      </c>
      <c r="B57" s="2541" t="s">
        <v>8497</v>
      </c>
    </row>
    <row r="58" spans="1:2">
      <c r="A58" t="s">
        <v>8315</v>
      </c>
      <c r="B58" s="2541" t="s">
        <v>8499</v>
      </c>
    </row>
    <row r="59" spans="1:2">
      <c r="A59" t="s">
        <v>8316</v>
      </c>
      <c r="B59" s="2541" t="s">
        <v>8500</v>
      </c>
    </row>
    <row r="60" spans="1:2">
      <c r="A60" t="s">
        <v>8317</v>
      </c>
      <c r="B60" s="2541" t="s">
        <v>8501</v>
      </c>
    </row>
    <row r="61" spans="1:2">
      <c r="A61" t="s">
        <v>8318</v>
      </c>
      <c r="B61" s="2541" t="s">
        <v>8502</v>
      </c>
    </row>
    <row r="62" spans="1:2">
      <c r="A62" t="s">
        <v>8319</v>
      </c>
      <c r="B62" s="2541" t="s">
        <v>8503</v>
      </c>
    </row>
    <row r="63" spans="1:2">
      <c r="A63" t="s">
        <v>8320</v>
      </c>
      <c r="B63" s="2541" t="s">
        <v>8504</v>
      </c>
    </row>
    <row r="64" spans="1:2">
      <c r="A64" t="s">
        <v>8321</v>
      </c>
      <c r="B64" s="2541" t="s">
        <v>8505</v>
      </c>
    </row>
    <row r="65" spans="1:2">
      <c r="A65" t="s">
        <v>8322</v>
      </c>
      <c r="B65" s="2541" t="s">
        <v>8506</v>
      </c>
    </row>
    <row r="66" spans="1:2">
      <c r="A66" t="s">
        <v>8323</v>
      </c>
      <c r="B66" s="2541" t="s">
        <v>8507</v>
      </c>
    </row>
    <row r="67" spans="1:2">
      <c r="A67" t="s">
        <v>8324</v>
      </c>
      <c r="B67" s="2541" t="s">
        <v>8508</v>
      </c>
    </row>
    <row r="68" spans="1:2">
      <c r="A68" t="s">
        <v>8325</v>
      </c>
      <c r="B68" s="2541" t="s">
        <v>8509</v>
      </c>
    </row>
    <row r="69" spans="1:2">
      <c r="A69" t="s">
        <v>8326</v>
      </c>
      <c r="B69" s="2541" t="s">
        <v>8510</v>
      </c>
    </row>
    <row r="70" spans="1:2">
      <c r="A70" t="s">
        <v>8327</v>
      </c>
      <c r="B70" s="2541" t="s">
        <v>8511</v>
      </c>
    </row>
    <row r="71" spans="1:2">
      <c r="A71" t="s">
        <v>8328</v>
      </c>
      <c r="B71" s="2541" t="s">
        <v>8512</v>
      </c>
    </row>
    <row r="72" spans="1:2">
      <c r="A72" t="s">
        <v>8329</v>
      </c>
      <c r="B72" s="2541" t="s">
        <v>8513</v>
      </c>
    </row>
    <row r="73" spans="1:2">
      <c r="A73" t="s">
        <v>8330</v>
      </c>
      <c r="B73" s="2541" t="s">
        <v>8514</v>
      </c>
    </row>
    <row r="74" spans="1:2">
      <c r="A74" t="s">
        <v>8331</v>
      </c>
      <c r="B74" s="2541" t="s">
        <v>8515</v>
      </c>
    </row>
    <row r="75" spans="1:2">
      <c r="A75" t="s">
        <v>8332</v>
      </c>
      <c r="B75" s="2541" t="s">
        <v>8516</v>
      </c>
    </row>
    <row r="76" spans="1:2">
      <c r="A76" t="s">
        <v>8333</v>
      </c>
      <c r="B76" s="2541" t="s">
        <v>8517</v>
      </c>
    </row>
    <row r="77" spans="1:2">
      <c r="A77" t="s">
        <v>8334</v>
      </c>
      <c r="B77" s="2541" t="s">
        <v>8518</v>
      </c>
    </row>
    <row r="78" spans="1:2">
      <c r="A78" t="s">
        <v>8335</v>
      </c>
      <c r="B78" s="2541" t="s">
        <v>8519</v>
      </c>
    </row>
    <row r="79" spans="1:2">
      <c r="A79" t="s">
        <v>8336</v>
      </c>
      <c r="B79" s="2541" t="s">
        <v>8520</v>
      </c>
    </row>
    <row r="80" spans="1:2">
      <c r="A80" t="s">
        <v>8337</v>
      </c>
      <c r="B80" s="2541" t="s">
        <v>8521</v>
      </c>
    </row>
    <row r="81" spans="1:2">
      <c r="A81" t="s">
        <v>8338</v>
      </c>
      <c r="B81" s="2541" t="s">
        <v>8522</v>
      </c>
    </row>
    <row r="82" spans="1:2">
      <c r="A82" t="s">
        <v>8339</v>
      </c>
      <c r="B82" s="2541" t="s">
        <v>8523</v>
      </c>
    </row>
    <row r="83" spans="1:2">
      <c r="A83" t="s">
        <v>8340</v>
      </c>
      <c r="B83" s="2541" t="s">
        <v>8524</v>
      </c>
    </row>
    <row r="84" spans="1:2">
      <c r="A84" t="s">
        <v>8341</v>
      </c>
      <c r="B84" s="2541" t="s">
        <v>8525</v>
      </c>
    </row>
    <row r="85" spans="1:2">
      <c r="A85" t="s">
        <v>8342</v>
      </c>
      <c r="B85" s="2541" t="s">
        <v>8526</v>
      </c>
    </row>
    <row r="86" spans="1:2">
      <c r="A86" t="s">
        <v>8343</v>
      </c>
      <c r="B86" s="2541" t="s">
        <v>8527</v>
      </c>
    </row>
    <row r="87" spans="1:2">
      <c r="A87" t="s">
        <v>8344</v>
      </c>
      <c r="B87" s="2541" t="s">
        <v>8528</v>
      </c>
    </row>
    <row r="88" spans="1:2">
      <c r="A88" t="s">
        <v>8345</v>
      </c>
      <c r="B88" s="2541" t="s">
        <v>8529</v>
      </c>
    </row>
    <row r="89" spans="1:2">
      <c r="A89" t="s">
        <v>8346</v>
      </c>
      <c r="B89" s="2541" t="s">
        <v>8530</v>
      </c>
    </row>
    <row r="90" spans="1:2">
      <c r="A90" t="s">
        <v>8347</v>
      </c>
      <c r="B90" s="2541" t="s">
        <v>8531</v>
      </c>
    </row>
    <row r="91" spans="1:2">
      <c r="A91" t="s">
        <v>8348</v>
      </c>
      <c r="B91" s="2541" t="s">
        <v>8532</v>
      </c>
    </row>
    <row r="92" spans="1:2">
      <c r="A92" t="s">
        <v>8349</v>
      </c>
      <c r="B92" s="2541" t="s">
        <v>8533</v>
      </c>
    </row>
    <row r="93" spans="1:2">
      <c r="A93" t="s">
        <v>8350</v>
      </c>
      <c r="B93" s="2541" t="s">
        <v>8534</v>
      </c>
    </row>
    <row r="94" spans="1:2">
      <c r="A94" t="s">
        <v>8351</v>
      </c>
      <c r="B94" s="2541" t="s">
        <v>8535</v>
      </c>
    </row>
    <row r="95" spans="1:2">
      <c r="A95" t="s">
        <v>8352</v>
      </c>
      <c r="B95" s="2541" t="s">
        <v>8536</v>
      </c>
    </row>
    <row r="96" spans="1:2">
      <c r="A96" t="s">
        <v>8353</v>
      </c>
      <c r="B96" s="2541" t="s">
        <v>8537</v>
      </c>
    </row>
    <row r="97" spans="1:4">
      <c r="A97" t="s">
        <v>8354</v>
      </c>
      <c r="B97" s="2541" t="s">
        <v>8538</v>
      </c>
    </row>
    <row r="98" spans="1:4">
      <c r="A98" t="s">
        <v>8355</v>
      </c>
      <c r="B98" s="2541" t="s">
        <v>8539</v>
      </c>
    </row>
    <row r="99" spans="1:4">
      <c r="A99" t="s">
        <v>8356</v>
      </c>
      <c r="B99" s="2541" t="s">
        <v>8540</v>
      </c>
    </row>
    <row r="100" spans="1:4">
      <c r="A100" t="s">
        <v>8357</v>
      </c>
      <c r="B100" s="2541" t="s">
        <v>8541</v>
      </c>
    </row>
    <row r="101" spans="1:4">
      <c r="A101" t="s">
        <v>8358</v>
      </c>
      <c r="B101" s="2541" t="s">
        <v>8542</v>
      </c>
    </row>
    <row r="102" spans="1:4">
      <c r="A102" t="s">
        <v>8359</v>
      </c>
      <c r="B102" s="2541" t="s">
        <v>8543</v>
      </c>
    </row>
    <row r="103" spans="1:4">
      <c r="A103" t="s">
        <v>8360</v>
      </c>
      <c r="B103" s="2541" t="s">
        <v>8544</v>
      </c>
    </row>
    <row r="104" spans="1:4">
      <c r="A104" t="s">
        <v>8361</v>
      </c>
      <c r="B104" s="2541" t="s">
        <v>8545</v>
      </c>
    </row>
    <row r="105" spans="1:4">
      <c r="A105" t="s">
        <v>8362</v>
      </c>
      <c r="B105" s="2541" t="s">
        <v>8546</v>
      </c>
    </row>
    <row r="106" spans="1:4">
      <c r="A106" t="s">
        <v>8363</v>
      </c>
      <c r="B106" s="2541" t="s">
        <v>8547</v>
      </c>
    </row>
    <row r="107" spans="1:4">
      <c r="A107" t="s">
        <v>8364</v>
      </c>
      <c r="B107" s="2541" t="s">
        <v>8548</v>
      </c>
    </row>
    <row r="108" spans="1:4">
      <c r="A108" t="s">
        <v>8365</v>
      </c>
      <c r="B108" s="2541" t="s">
        <v>8549</v>
      </c>
    </row>
    <row r="109" spans="1:4">
      <c r="A109" t="s">
        <v>8366</v>
      </c>
      <c r="B109" s="2541" t="s">
        <v>8550</v>
      </c>
    </row>
    <row r="110" spans="1:4">
      <c r="A110" t="s">
        <v>8367</v>
      </c>
      <c r="B110" s="2541" t="s">
        <v>8551</v>
      </c>
    </row>
    <row r="111" spans="1:4">
      <c r="A111" s="2542" t="s">
        <v>8368</v>
      </c>
      <c r="B111" s="2541" t="s">
        <v>8621</v>
      </c>
      <c r="C111" s="2565" t="s">
        <v>8623</v>
      </c>
      <c r="D111" s="2565" t="s">
        <v>8625</v>
      </c>
    </row>
    <row r="112" spans="1:4">
      <c r="A112" t="s">
        <v>8369</v>
      </c>
      <c r="B112" s="2541" t="s">
        <v>8626</v>
      </c>
      <c r="C112" s="2541" t="s">
        <v>8635</v>
      </c>
      <c r="D112" s="2541" t="s">
        <v>8644</v>
      </c>
    </row>
    <row r="113" spans="1:4">
      <c r="A113" t="s">
        <v>8370</v>
      </c>
      <c r="B113" s="2541" t="s">
        <v>8627</v>
      </c>
      <c r="C113" s="2541" t="s">
        <v>8636</v>
      </c>
      <c r="D113" s="2541" t="s">
        <v>8645</v>
      </c>
    </row>
    <row r="114" spans="1:4">
      <c r="A114" t="s">
        <v>8371</v>
      </c>
      <c r="B114" s="2541" t="s">
        <v>8628</v>
      </c>
      <c r="C114" s="2541" t="s">
        <v>8637</v>
      </c>
      <c r="D114" s="2541" t="s">
        <v>8646</v>
      </c>
    </row>
    <row r="115" spans="1:4">
      <c r="A115" t="s">
        <v>8372</v>
      </c>
      <c r="B115" s="2541" t="s">
        <v>8629</v>
      </c>
      <c r="C115" s="2541" t="s">
        <v>8638</v>
      </c>
      <c r="D115" s="2541" t="s">
        <v>8647</v>
      </c>
    </row>
    <row r="116" spans="1:4">
      <c r="A116" t="s">
        <v>8373</v>
      </c>
      <c r="B116" s="2541" t="s">
        <v>8630</v>
      </c>
      <c r="C116" s="2541" t="s">
        <v>8639</v>
      </c>
      <c r="D116" s="2541" t="s">
        <v>8648</v>
      </c>
    </row>
    <row r="117" spans="1:4">
      <c r="A117" t="s">
        <v>8374</v>
      </c>
      <c r="B117" s="2541" t="s">
        <v>8631</v>
      </c>
      <c r="C117" s="2541" t="s">
        <v>8640</v>
      </c>
      <c r="D117" s="2541" t="s">
        <v>8649</v>
      </c>
    </row>
    <row r="118" spans="1:4">
      <c r="A118" t="s">
        <v>8375</v>
      </c>
      <c r="B118" s="2541" t="s">
        <v>8632</v>
      </c>
      <c r="C118" s="2541" t="s">
        <v>8641</v>
      </c>
      <c r="D118" s="2541" t="s">
        <v>8650</v>
      </c>
    </row>
    <row r="119" spans="1:4">
      <c r="A119" t="s">
        <v>8376</v>
      </c>
      <c r="B119" s="2541" t="s">
        <v>8633</v>
      </c>
      <c r="C119" s="2541" t="s">
        <v>8642</v>
      </c>
      <c r="D119" s="2541" t="s">
        <v>8651</v>
      </c>
    </row>
    <row r="120" spans="1:4">
      <c r="A120" t="s">
        <v>8377</v>
      </c>
      <c r="B120" s="2541" t="s">
        <v>8634</v>
      </c>
      <c r="C120" s="2541" t="s">
        <v>8643</v>
      </c>
      <c r="D120" s="2541" t="s">
        <v>8652</v>
      </c>
    </row>
    <row r="121" spans="1:4">
      <c r="A121" s="2542" t="s">
        <v>8378</v>
      </c>
      <c r="B121" s="2541" t="s">
        <v>8620</v>
      </c>
      <c r="C121" s="2541" t="s">
        <v>8622</v>
      </c>
      <c r="D121" s="2541" t="s">
        <v>8624</v>
      </c>
    </row>
    <row r="122" spans="1:4">
      <c r="A122" t="s">
        <v>8379</v>
      </c>
      <c r="B122" s="2541" t="s">
        <v>8626</v>
      </c>
      <c r="C122" s="2541" t="s">
        <v>8635</v>
      </c>
      <c r="D122" s="2541" t="s">
        <v>8644</v>
      </c>
    </row>
    <row r="123" spans="1:4">
      <c r="A123" t="s">
        <v>8380</v>
      </c>
      <c r="B123" s="2541" t="s">
        <v>8627</v>
      </c>
      <c r="C123" s="2541" t="s">
        <v>8636</v>
      </c>
      <c r="D123" s="2541" t="s">
        <v>8645</v>
      </c>
    </row>
    <row r="124" spans="1:4">
      <c r="A124" t="s">
        <v>8381</v>
      </c>
      <c r="B124" s="2541" t="s">
        <v>8628</v>
      </c>
      <c r="C124" s="2541" t="s">
        <v>8637</v>
      </c>
      <c r="D124" s="2541" t="s">
        <v>8646</v>
      </c>
    </row>
    <row r="125" spans="1:4">
      <c r="A125" t="s">
        <v>8382</v>
      </c>
      <c r="B125" s="2541" t="s">
        <v>8629</v>
      </c>
      <c r="C125" s="2541" t="s">
        <v>8638</v>
      </c>
      <c r="D125" s="2541" t="s">
        <v>8647</v>
      </c>
    </row>
    <row r="126" spans="1:4">
      <c r="A126" t="s">
        <v>8383</v>
      </c>
      <c r="B126" s="2541" t="s">
        <v>8630</v>
      </c>
      <c r="C126" s="2541" t="s">
        <v>8639</v>
      </c>
      <c r="D126" s="2541" t="s">
        <v>8648</v>
      </c>
    </row>
    <row r="127" spans="1:4">
      <c r="A127" t="s">
        <v>8384</v>
      </c>
      <c r="B127" s="2541" t="s">
        <v>8631</v>
      </c>
      <c r="C127" s="2541" t="s">
        <v>8640</v>
      </c>
      <c r="D127" s="2541" t="s">
        <v>8649</v>
      </c>
    </row>
    <row r="128" spans="1:4">
      <c r="A128" t="s">
        <v>8385</v>
      </c>
      <c r="B128" s="2541" t="s">
        <v>8632</v>
      </c>
      <c r="C128" s="2541" t="s">
        <v>8641</v>
      </c>
      <c r="D128" s="2541" t="s">
        <v>8650</v>
      </c>
    </row>
    <row r="129" spans="1:4">
      <c r="A129" t="s">
        <v>8386</v>
      </c>
      <c r="B129" s="2541" t="s">
        <v>8633</v>
      </c>
      <c r="C129" s="2541" t="s">
        <v>8642</v>
      </c>
      <c r="D129" s="2541" t="s">
        <v>8651</v>
      </c>
    </row>
    <row r="130" spans="1:4">
      <c r="A130" t="s">
        <v>8387</v>
      </c>
      <c r="B130" s="2541" t="s">
        <v>8634</v>
      </c>
      <c r="C130" s="2541" t="s">
        <v>8643</v>
      </c>
      <c r="D130" s="2541" t="s">
        <v>8652</v>
      </c>
    </row>
    <row r="131" spans="1:4">
      <c r="A131" s="2542" t="s">
        <v>8389</v>
      </c>
      <c r="B131" s="2541" t="s">
        <v>8497</v>
      </c>
    </row>
    <row r="132" spans="1:4">
      <c r="A132" t="s">
        <v>8390</v>
      </c>
      <c r="B132" s="2541" t="s">
        <v>8499</v>
      </c>
    </row>
    <row r="133" spans="1:4">
      <c r="A133" t="s">
        <v>8391</v>
      </c>
      <c r="B133" s="2541" t="s">
        <v>8500</v>
      </c>
    </row>
    <row r="134" spans="1:4">
      <c r="A134" t="s">
        <v>8392</v>
      </c>
      <c r="B134" s="2541" t="s">
        <v>8501</v>
      </c>
    </row>
    <row r="135" spans="1:4">
      <c r="A135" t="s">
        <v>8393</v>
      </c>
      <c r="B135" s="2541" t="s">
        <v>8502</v>
      </c>
    </row>
    <row r="136" spans="1:4">
      <c r="A136" t="s">
        <v>8394</v>
      </c>
      <c r="B136" s="2541" t="s">
        <v>8503</v>
      </c>
    </row>
    <row r="137" spans="1:4">
      <c r="A137" t="s">
        <v>8395</v>
      </c>
      <c r="B137" s="2541" t="s">
        <v>8504</v>
      </c>
    </row>
    <row r="138" spans="1:4">
      <c r="A138" t="s">
        <v>8396</v>
      </c>
      <c r="B138" s="2541" t="s">
        <v>8505</v>
      </c>
    </row>
    <row r="139" spans="1:4">
      <c r="A139" t="s">
        <v>8397</v>
      </c>
      <c r="B139" s="2541" t="s">
        <v>8506</v>
      </c>
    </row>
    <row r="140" spans="1:4">
      <c r="A140" t="s">
        <v>8398</v>
      </c>
      <c r="B140" s="2541" t="s">
        <v>8507</v>
      </c>
    </row>
    <row r="141" spans="1:4">
      <c r="A141" t="s">
        <v>8399</v>
      </c>
      <c r="B141" s="2541" t="s">
        <v>8508</v>
      </c>
    </row>
    <row r="142" spans="1:4">
      <c r="A142" t="s">
        <v>8400</v>
      </c>
      <c r="B142" s="2541" t="s">
        <v>8509</v>
      </c>
    </row>
    <row r="143" spans="1:4">
      <c r="A143" t="s">
        <v>8401</v>
      </c>
      <c r="B143" s="2541" t="s">
        <v>8510</v>
      </c>
    </row>
    <row r="144" spans="1:4">
      <c r="A144" t="s">
        <v>8402</v>
      </c>
      <c r="B144" s="2541" t="s">
        <v>8511</v>
      </c>
    </row>
    <row r="145" spans="1:2">
      <c r="A145" t="s">
        <v>8403</v>
      </c>
      <c r="B145" s="2541" t="s">
        <v>8512</v>
      </c>
    </row>
    <row r="146" spans="1:2">
      <c r="A146" t="s">
        <v>8404</v>
      </c>
      <c r="B146" s="2541" t="s">
        <v>8513</v>
      </c>
    </row>
    <row r="147" spans="1:2">
      <c r="A147" t="s">
        <v>8405</v>
      </c>
      <c r="B147" s="2541" t="s">
        <v>8514</v>
      </c>
    </row>
    <row r="148" spans="1:2">
      <c r="A148" t="s">
        <v>8406</v>
      </c>
      <c r="B148" s="2541" t="s">
        <v>8515</v>
      </c>
    </row>
    <row r="149" spans="1:2">
      <c r="A149" t="s">
        <v>8407</v>
      </c>
      <c r="B149" s="2541" t="s">
        <v>8516</v>
      </c>
    </row>
    <row r="150" spans="1:2">
      <c r="A150" t="s">
        <v>8408</v>
      </c>
      <c r="B150" s="2541" t="s">
        <v>8517</v>
      </c>
    </row>
    <row r="151" spans="1:2">
      <c r="A151" t="s">
        <v>8409</v>
      </c>
      <c r="B151" s="2541" t="s">
        <v>8518</v>
      </c>
    </row>
    <row r="152" spans="1:2">
      <c r="A152" t="s">
        <v>8410</v>
      </c>
      <c r="B152" s="2541" t="s">
        <v>8519</v>
      </c>
    </row>
    <row r="153" spans="1:2">
      <c r="A153" t="s">
        <v>8411</v>
      </c>
      <c r="B153" s="2541" t="s">
        <v>8520</v>
      </c>
    </row>
    <row r="154" spans="1:2">
      <c r="A154" t="s">
        <v>8412</v>
      </c>
      <c r="B154" s="2541" t="s">
        <v>8521</v>
      </c>
    </row>
    <row r="155" spans="1:2">
      <c r="A155" t="s">
        <v>8413</v>
      </c>
      <c r="B155" s="2541" t="s">
        <v>8522</v>
      </c>
    </row>
    <row r="156" spans="1:2">
      <c r="A156" t="s">
        <v>8414</v>
      </c>
      <c r="B156" s="2541" t="s">
        <v>8523</v>
      </c>
    </row>
    <row r="157" spans="1:2">
      <c r="A157" t="s">
        <v>8415</v>
      </c>
      <c r="B157" s="2541" t="s">
        <v>8524</v>
      </c>
    </row>
    <row r="158" spans="1:2">
      <c r="A158" t="s">
        <v>8416</v>
      </c>
      <c r="B158" s="2541" t="s">
        <v>8525</v>
      </c>
    </row>
    <row r="159" spans="1:2">
      <c r="A159" t="s">
        <v>8417</v>
      </c>
      <c r="B159" s="2541" t="s">
        <v>8526</v>
      </c>
    </row>
    <row r="160" spans="1:2">
      <c r="A160" t="s">
        <v>8418</v>
      </c>
      <c r="B160" s="2541" t="s">
        <v>8527</v>
      </c>
    </row>
    <row r="161" spans="1:2">
      <c r="A161" t="s">
        <v>8419</v>
      </c>
      <c r="B161" s="2541" t="s">
        <v>8528</v>
      </c>
    </row>
    <row r="162" spans="1:2">
      <c r="A162" t="s">
        <v>8420</v>
      </c>
      <c r="B162" s="2541" t="s">
        <v>8529</v>
      </c>
    </row>
    <row r="163" spans="1:2">
      <c r="A163" t="s">
        <v>8421</v>
      </c>
      <c r="B163" s="2541" t="s">
        <v>8530</v>
      </c>
    </row>
    <row r="164" spans="1:2">
      <c r="A164" t="s">
        <v>8422</v>
      </c>
      <c r="B164" s="2541" t="s">
        <v>8531</v>
      </c>
    </row>
    <row r="165" spans="1:2">
      <c r="A165" t="s">
        <v>8423</v>
      </c>
      <c r="B165" s="2541" t="s">
        <v>8532</v>
      </c>
    </row>
    <row r="166" spans="1:2">
      <c r="A166" t="s">
        <v>8424</v>
      </c>
      <c r="B166" s="2541" t="s">
        <v>8533</v>
      </c>
    </row>
    <row r="167" spans="1:2">
      <c r="A167" t="s">
        <v>8425</v>
      </c>
      <c r="B167" s="2541" t="s">
        <v>8534</v>
      </c>
    </row>
    <row r="168" spans="1:2">
      <c r="A168" t="s">
        <v>8426</v>
      </c>
      <c r="B168" s="2541" t="s">
        <v>8535</v>
      </c>
    </row>
    <row r="169" spans="1:2">
      <c r="A169" t="s">
        <v>8427</v>
      </c>
      <c r="B169" s="2541" t="s">
        <v>8536</v>
      </c>
    </row>
    <row r="170" spans="1:2">
      <c r="A170" t="s">
        <v>8428</v>
      </c>
      <c r="B170" s="2541" t="s">
        <v>8537</v>
      </c>
    </row>
    <row r="171" spans="1:2">
      <c r="A171" s="2542" t="s">
        <v>8429</v>
      </c>
      <c r="B171" s="2541" t="s">
        <v>8497</v>
      </c>
    </row>
    <row r="172" spans="1:2">
      <c r="A172" t="s">
        <v>8430</v>
      </c>
      <c r="B172" s="2541" t="s">
        <v>8499</v>
      </c>
    </row>
    <row r="173" spans="1:2">
      <c r="A173" t="s">
        <v>8431</v>
      </c>
      <c r="B173" s="2541" t="s">
        <v>8500</v>
      </c>
    </row>
    <row r="174" spans="1:2">
      <c r="A174" t="s">
        <v>8432</v>
      </c>
      <c r="B174" s="2541" t="s">
        <v>8501</v>
      </c>
    </row>
    <row r="175" spans="1:2">
      <c r="A175" t="s">
        <v>8433</v>
      </c>
      <c r="B175" s="2541" t="s">
        <v>8502</v>
      </c>
    </row>
    <row r="176" spans="1:2">
      <c r="A176" t="s">
        <v>8434</v>
      </c>
      <c r="B176" s="2541" t="s">
        <v>8503</v>
      </c>
    </row>
    <row r="177" spans="1:2">
      <c r="A177" t="s">
        <v>8435</v>
      </c>
      <c r="B177" s="2541" t="s">
        <v>8504</v>
      </c>
    </row>
    <row r="178" spans="1:2">
      <c r="A178" t="s">
        <v>8436</v>
      </c>
      <c r="B178" s="2541" t="s">
        <v>8505</v>
      </c>
    </row>
    <row r="179" spans="1:2">
      <c r="A179" t="s">
        <v>8437</v>
      </c>
      <c r="B179" s="2541" t="s">
        <v>8506</v>
      </c>
    </row>
    <row r="180" spans="1:2">
      <c r="A180" t="s">
        <v>8438</v>
      </c>
      <c r="B180" s="2541" t="s">
        <v>8507</v>
      </c>
    </row>
    <row r="181" spans="1:2">
      <c r="A181" t="s">
        <v>8439</v>
      </c>
      <c r="B181" s="2541" t="s">
        <v>8508</v>
      </c>
    </row>
    <row r="182" spans="1:2">
      <c r="A182" t="s">
        <v>8440</v>
      </c>
      <c r="B182" s="2541" t="s">
        <v>8509</v>
      </c>
    </row>
    <row r="183" spans="1:2">
      <c r="A183" t="s">
        <v>8441</v>
      </c>
      <c r="B183" s="2541" t="s">
        <v>8510</v>
      </c>
    </row>
    <row r="184" spans="1:2">
      <c r="A184" t="s">
        <v>8442</v>
      </c>
      <c r="B184" s="2541" t="s">
        <v>8511</v>
      </c>
    </row>
    <row r="185" spans="1:2">
      <c r="A185" t="s">
        <v>8443</v>
      </c>
      <c r="B185" s="2541" t="s">
        <v>8512</v>
      </c>
    </row>
    <row r="186" spans="1:2">
      <c r="A186" t="s">
        <v>8444</v>
      </c>
      <c r="B186" s="2541" t="s">
        <v>8513</v>
      </c>
    </row>
    <row r="187" spans="1:2">
      <c r="A187" t="s">
        <v>8445</v>
      </c>
      <c r="B187" s="2541" t="s">
        <v>8514</v>
      </c>
    </row>
    <row r="188" spans="1:2">
      <c r="A188" t="s">
        <v>8446</v>
      </c>
      <c r="B188" s="2541" t="s">
        <v>8515</v>
      </c>
    </row>
    <row r="189" spans="1:2">
      <c r="A189" t="s">
        <v>8447</v>
      </c>
      <c r="B189" s="2541" t="s">
        <v>8516</v>
      </c>
    </row>
    <row r="190" spans="1:2">
      <c r="A190" t="s">
        <v>8448</v>
      </c>
      <c r="B190" s="2541" t="s">
        <v>8517</v>
      </c>
    </row>
    <row r="191" spans="1:2">
      <c r="A191" t="s">
        <v>8449</v>
      </c>
      <c r="B191" s="2541" t="s">
        <v>8518</v>
      </c>
    </row>
    <row r="192" spans="1:2">
      <c r="A192" t="s">
        <v>8450</v>
      </c>
      <c r="B192" s="2541" t="s">
        <v>8519</v>
      </c>
    </row>
    <row r="193" spans="1:2">
      <c r="A193" t="s">
        <v>8451</v>
      </c>
      <c r="B193" s="2541" t="s">
        <v>8520</v>
      </c>
    </row>
    <row r="194" spans="1:2">
      <c r="A194" t="s">
        <v>8452</v>
      </c>
      <c r="B194" s="2541" t="s">
        <v>8521</v>
      </c>
    </row>
    <row r="195" spans="1:2">
      <c r="A195" t="s">
        <v>8453</v>
      </c>
      <c r="B195" s="2541" t="s">
        <v>8522</v>
      </c>
    </row>
    <row r="196" spans="1:2">
      <c r="A196" t="s">
        <v>8454</v>
      </c>
      <c r="B196" s="2541" t="s">
        <v>8523</v>
      </c>
    </row>
    <row r="197" spans="1:2">
      <c r="A197" t="s">
        <v>8455</v>
      </c>
      <c r="B197" s="2541" t="s">
        <v>8524</v>
      </c>
    </row>
    <row r="198" spans="1:2">
      <c r="A198" t="s">
        <v>8456</v>
      </c>
      <c r="B198" s="2541" t="s">
        <v>8525</v>
      </c>
    </row>
    <row r="199" spans="1:2">
      <c r="A199" t="s">
        <v>8457</v>
      </c>
      <c r="B199" s="2541" t="s">
        <v>8526</v>
      </c>
    </row>
    <row r="200" spans="1:2">
      <c r="A200" t="s">
        <v>8458</v>
      </c>
      <c r="B200" s="2541" t="s">
        <v>8527</v>
      </c>
    </row>
    <row r="201" spans="1:2">
      <c r="A201" t="s">
        <v>8459</v>
      </c>
      <c r="B201" s="2541" t="s">
        <v>8528</v>
      </c>
    </row>
    <row r="202" spans="1:2">
      <c r="A202" t="s">
        <v>8460</v>
      </c>
      <c r="B202" s="2541" t="s">
        <v>8529</v>
      </c>
    </row>
    <row r="203" spans="1:2">
      <c r="A203" t="s">
        <v>8461</v>
      </c>
      <c r="B203" s="2541" t="s">
        <v>8530</v>
      </c>
    </row>
    <row r="204" spans="1:2">
      <c r="A204" t="s">
        <v>8462</v>
      </c>
      <c r="B204" s="2541" t="s">
        <v>8531</v>
      </c>
    </row>
    <row r="205" spans="1:2">
      <c r="A205" t="s">
        <v>8463</v>
      </c>
      <c r="B205" s="2541" t="s">
        <v>8532</v>
      </c>
    </row>
    <row r="206" spans="1:2">
      <c r="A206" t="s">
        <v>8464</v>
      </c>
      <c r="B206" s="2541" t="s">
        <v>8533</v>
      </c>
    </row>
    <row r="207" spans="1:2">
      <c r="A207" t="s">
        <v>8465</v>
      </c>
      <c r="B207" s="2541" t="s">
        <v>8534</v>
      </c>
    </row>
    <row r="208" spans="1:2">
      <c r="A208" t="s">
        <v>8466</v>
      </c>
      <c r="B208" s="2541" t="s">
        <v>8535</v>
      </c>
    </row>
    <row r="209" spans="1:2">
      <c r="A209" t="s">
        <v>8467</v>
      </c>
      <c r="B209" s="2541" t="s">
        <v>8536</v>
      </c>
    </row>
    <row r="210" spans="1:2">
      <c r="A210" t="s">
        <v>8468</v>
      </c>
      <c r="B210" s="2541" t="s">
        <v>8537</v>
      </c>
    </row>
    <row r="211" spans="1:2">
      <c r="A211" s="2542" t="s">
        <v>8469</v>
      </c>
      <c r="B211" s="2541" t="s">
        <v>8497</v>
      </c>
    </row>
    <row r="212" spans="1:2">
      <c r="A212" t="s">
        <v>8470</v>
      </c>
      <c r="B212" s="2541" t="s">
        <v>8499</v>
      </c>
    </row>
    <row r="213" spans="1:2">
      <c r="A213" t="s">
        <v>8471</v>
      </c>
      <c r="B213" s="2541" t="s">
        <v>8500</v>
      </c>
    </row>
    <row r="214" spans="1:2">
      <c r="A214" t="s">
        <v>8472</v>
      </c>
      <c r="B214" s="2541" t="s">
        <v>8501</v>
      </c>
    </row>
    <row r="215" spans="1:2">
      <c r="A215" t="s">
        <v>8473</v>
      </c>
      <c r="B215" s="2541" t="s">
        <v>8502</v>
      </c>
    </row>
    <row r="216" spans="1:2">
      <c r="A216" t="s">
        <v>8474</v>
      </c>
      <c r="B216" s="2541" t="s">
        <v>8503</v>
      </c>
    </row>
    <row r="217" spans="1:2">
      <c r="A217" t="s">
        <v>8475</v>
      </c>
      <c r="B217" s="2541" t="s">
        <v>8504</v>
      </c>
    </row>
    <row r="218" spans="1:2">
      <c r="A218" t="s">
        <v>8476</v>
      </c>
      <c r="B218" s="2541" t="s">
        <v>8505</v>
      </c>
    </row>
    <row r="219" spans="1:2">
      <c r="A219" t="s">
        <v>8477</v>
      </c>
      <c r="B219" s="2541" t="s">
        <v>8506</v>
      </c>
    </row>
    <row r="220" spans="1:2">
      <c r="A220" t="s">
        <v>8478</v>
      </c>
      <c r="B220" s="2541" t="s">
        <v>8507</v>
      </c>
    </row>
    <row r="221" spans="1:2">
      <c r="A221" s="2542" t="s">
        <v>8388</v>
      </c>
      <c r="B221" s="2541" t="s">
        <v>8497</v>
      </c>
    </row>
    <row r="222" spans="1:2">
      <c r="A222" t="s">
        <v>8479</v>
      </c>
      <c r="B222" s="2541" t="s">
        <v>8499</v>
      </c>
    </row>
    <row r="223" spans="1:2">
      <c r="A223" t="s">
        <v>8480</v>
      </c>
      <c r="B223" s="2541" t="s">
        <v>8500</v>
      </c>
    </row>
    <row r="224" spans="1:2">
      <c r="A224" t="s">
        <v>8481</v>
      </c>
      <c r="B224" s="2541" t="s">
        <v>8501</v>
      </c>
    </row>
    <row r="225" spans="1:2">
      <c r="A225" t="s">
        <v>8482</v>
      </c>
      <c r="B225" s="2541" t="s">
        <v>8502</v>
      </c>
    </row>
    <row r="226" spans="1:2">
      <c r="A226" t="s">
        <v>8483</v>
      </c>
      <c r="B226" s="2541" t="s">
        <v>8503</v>
      </c>
    </row>
    <row r="227" spans="1:2">
      <c r="A227" t="s">
        <v>8484</v>
      </c>
      <c r="B227" s="2541" t="s">
        <v>8504</v>
      </c>
    </row>
    <row r="228" spans="1:2">
      <c r="A228" t="s">
        <v>8485</v>
      </c>
      <c r="B228" s="2541" t="s">
        <v>8505</v>
      </c>
    </row>
    <row r="229" spans="1:2">
      <c r="A229" t="s">
        <v>8486</v>
      </c>
      <c r="B229" s="2541" t="s">
        <v>8506</v>
      </c>
    </row>
    <row r="230" spans="1:2">
      <c r="A230" t="s">
        <v>8487</v>
      </c>
      <c r="B230" s="2541" t="s">
        <v>8507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84" t="s">
        <v>9312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819" t="s">
        <v>4562</v>
      </c>
      <c r="J3" s="3825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4136</v>
      </c>
      <c r="L4" s="1342">
        <v>2.2999999999999998</v>
      </c>
      <c r="M4" s="1343">
        <v>2.1</v>
      </c>
      <c r="N4" s="1344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81"/>
      <c r="U5" s="2581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4" cm="1">
        <f t="array" ref="D6">INDEX('6층_부하량'!C3:C3000,MATCH(1,("6-DaHall 1-CEP-05"='6층_부하량'!A3:A3000)*(1='6층_부하량'!B3:B3000),0))</f>
        <v>0</v>
      </c>
      <c r="E6" s="2544" cm="1">
        <f t="array" ref="E6">INDEX('6층_부하량'!D3:D3000,MATCH(1,("6-DaHall 1-CEP-05"='6층_부하량'!A3:A3000)*(1='6층_부하량'!B3:B3000),0))</f>
        <v>0.76</v>
      </c>
      <c r="F6" s="2544" cm="1">
        <f t="array" ref="F6">INDEX('6층_부하량'!E3:E3000,MATCH(1,("6-DaHall 1-CEP-05"='6층_부하량'!A3:A3000)*(1='6층_부하량'!B3:B3000),0))</f>
        <v>0.67</v>
      </c>
      <c r="G6" s="346"/>
      <c r="H6" s="141" t="s">
        <v>4563</v>
      </c>
      <c r="I6" s="144" t="s">
        <v>4206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4296</v>
      </c>
      <c r="D7" s="1268" t="s">
        <v>4564</v>
      </c>
      <c r="E7" s="1268" t="s">
        <v>4565</v>
      </c>
      <c r="F7" s="1268" t="s">
        <v>4566</v>
      </c>
      <c r="G7" s="1268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5" cm="1">
        <f t="array" ref="L7">INDEX('6층_부하량'!C3:C3000,MATCH(1,("6-DaHall 1-CEP-05"='6층_부하량'!A3:A3000)*(3='6층_부하량'!B3:B3000),0))</f>
        <v>0</v>
      </c>
      <c r="M7" s="2545" cm="1">
        <f t="array" ref="M7">INDEX('6층_부하량'!D3:D3000,MATCH(1,("6-DaHall 1-CEP-05"='6층_부하량'!A3:A3000)*(3='6층_부하량'!B3:B3000),0))</f>
        <v>0</v>
      </c>
      <c r="N7" s="2545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3" t="s">
        <v>6552</v>
      </c>
      <c r="B8" s="142" t="s">
        <v>4204</v>
      </c>
      <c r="C8" s="188" t="s">
        <v>4149</v>
      </c>
      <c r="D8" s="2546" cm="1">
        <f t="array" ref="D8">INDEX('6층_부하량'!C3:C3000,MATCH(1,("6-DaHall 1-CEP-05"='6층_부하량'!A3:A3000)*(4='6층_부하량'!B3:B3000),0))</f>
        <v>0</v>
      </c>
      <c r="E8" s="2546" cm="1">
        <f t="array" ref="E8">INDEX('6층_부하량'!D3:D3000,MATCH(1,("6-DaHall 1-CEP-05"='6층_부하량'!A3:A3000)*(4='6층_부하량'!B3:B3000),0))</f>
        <v>0</v>
      </c>
      <c r="F8" s="2546" cm="1">
        <f t="array" ref="F8">INDEX('6층_부하량'!E3:E3000,MATCH(1,("6-DaHall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6" cm="1">
        <f t="array" ref="L8">INDEX('6층_부하량'!C3:C3000,MATCH(1,("6-DaHall 1-CEP-05"='6층_부하량'!A3:A3000)*(5='6층_부하량'!B3:B3000),0))</f>
        <v>0</v>
      </c>
      <c r="M8" s="2546" cm="1">
        <f t="array" ref="M8">INDEX('6층_부하량'!D3:D3000,MATCH(1,("6-DaHall 1-CEP-05"='6층_부하량'!A3:A3000)*(5='6층_부하량'!B3:B3000),0))</f>
        <v>0</v>
      </c>
      <c r="N8" s="2546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6" cm="1">
        <f t="array" ref="D9">INDEX('6층_부하량'!C3:C3000,MATCH(1,("6-DaHall 1-CEP-05"='6층_부하량'!A3:A3000)*(6='6층_부하량'!B3:B3000),0))</f>
        <v>0</v>
      </c>
      <c r="E9" s="2546" cm="1">
        <f t="array" ref="E9">INDEX('6층_부하량'!D3:D3000,MATCH(1,("6-DaHall 1-CEP-05"='6층_부하량'!A3:A3000)*(6='6층_부하량'!B3:B3000),0))</f>
        <v>0</v>
      </c>
      <c r="F9" s="2546" cm="1">
        <f t="array" ref="F9">INDEX('6층_부하량'!E3:E3000,MATCH(1,("6-DaHall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6" cm="1">
        <f t="array" ref="L9">INDEX('6층_부하량'!C3:C3000,MATCH(1,("6-DaHall 1-CEP-05"='6층_부하량'!A3:A3000)*(7='6층_부하량'!B3:B3000),0))</f>
        <v>0</v>
      </c>
      <c r="M9" s="2546" cm="1">
        <f t="array" ref="M9">INDEX('6층_부하량'!D3:D3000,MATCH(1,("6-DaHall 1-CEP-05"='6층_부하량'!A3:A3000)*(7='6층_부하량'!B3:B3000),0))</f>
        <v>0</v>
      </c>
      <c r="N9" s="2546" cm="1">
        <f t="array" ref="N9">INDEX('6층_부하량'!E3:E3000,MATCH(1,("6-DaHall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6" cm="1">
        <f t="array" ref="D10">INDEX('6층_부하량'!C3:C3000,MATCH(1,("6-DaHall 1-CEP-05"='6층_부하량'!A3:A3000)*(8='6층_부하량'!B3:B3000),0))</f>
        <v>0</v>
      </c>
      <c r="E10" s="2546" cm="1">
        <f t="array" ref="E10">INDEX('6층_부하량'!D3:D3000,MATCH(1,("6-DaHall 1-CEP-05"='6층_부하량'!A3:A3000)*(8='6층_부하량'!B3:B3000),0))</f>
        <v>0</v>
      </c>
      <c r="F10" s="2546" cm="1">
        <f t="array" ref="F10">INDEX('6층_부하량'!E3:E3000,MATCH(1,("6-DaHall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6" cm="1">
        <f t="array" ref="L10">INDEX('6층_부하량'!C3:C3000,MATCH(1,("6-DaHall 1-CEP-05"='6층_부하량'!A3:A3000)*(9='6층_부하량'!B3:B3000),0))</f>
        <v>0</v>
      </c>
      <c r="M10" s="2546" cm="1">
        <f t="array" ref="M10">INDEX('6층_부하량'!D3:D3000,MATCH(1,("6-DaHall 1-CEP-05"='6층_부하량'!A3:A3000)*(9='6층_부하량'!B3:B3000),0))</f>
        <v>0</v>
      </c>
      <c r="N10" s="2546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5" cm="1">
        <f t="array" ref="D11">INDEX('6층_부하량'!C3:C3000,MATCH(1,("6-DaHall 1-CEP-05"='6층_부하량'!A3:A3000)*(10='6층_부하량'!B3:B3000),0))</f>
        <v>0</v>
      </c>
      <c r="E11" s="2555" cm="1">
        <f t="array" ref="E11">INDEX('6층_부하량'!D3:D3000,MATCH(1,("6-DaHall 1-CEP-05"='6층_부하량'!A3:A3000)*(10='6층_부하량'!B3:B3000),0))</f>
        <v>0</v>
      </c>
      <c r="F11" s="2555" cm="1">
        <f t="array" ref="F11">INDEX('6층_부하량'!E3:E3000,MATCH(1,("6-DaHall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5" cm="1">
        <f t="array" ref="L11">INDEX('6층_부하량'!C3:C3000,MATCH(1,("6-DaHall 1-CEP-05"='6층_부하량'!A3:A3000)*(11='6층_부하량'!B3:B3000),0))</f>
        <v>2.2200000000000002</v>
      </c>
      <c r="M11" s="2556" cm="1">
        <f t="array" ref="M11">INDEX('6층_부하량'!D3:D3000,MATCH(1,("6-DaHall 1-CEP-05"='6층_부하량'!A3:A3000)*(11='6층_부하량'!B3:B3000),0))</f>
        <v>1.8</v>
      </c>
      <c r="N11" s="2556" cm="1">
        <f t="array" ref="N11">INDEX('6층_부하량'!E3:E3000,MATCH(1,("6-DaHall 1-CEP-05"='6층_부하량'!A3:A3000)*(11='6층_부하량'!B3:B3000),0))</f>
        <v>3.13</v>
      </c>
      <c r="O11" s="348"/>
      <c r="P11" s="176" t="s">
        <v>4148</v>
      </c>
      <c r="Q11" s="2248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9" t="s">
        <v>4296</v>
      </c>
      <c r="D12" s="2557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7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9"/>
      <c r="B13" s="142" t="s">
        <v>4153</v>
      </c>
      <c r="C13" s="142" t="s">
        <v>4158</v>
      </c>
      <c r="D13" s="156"/>
      <c r="E13" s="2546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6" cm="1">
        <f t="array" ref="M13">INDEX('6층_부하량'!D3:D3000,MATCH(1,("6-DaHall 1-CEP-05"='6층_부하량'!A3:A3000)*(15='6층_부하량'!B3:B3000),0))</f>
        <v>5.19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9" cm="1">
        <f t="array" ref="F14">INDEX('6층_부하량'!E3:E3000,MATCH(1,("6-DaHall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9" cm="1">
        <f t="array" ref="N14">INDEX('6층_부하량'!E3:E3000,MATCH(1,("6-DaHall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5.19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2.2200000000000002</v>
      </c>
      <c r="M15" s="130">
        <f>SUM(E6:E14,M6:M14)</f>
        <v>7.75</v>
      </c>
      <c r="N15" s="130">
        <f>SUM(F6:F14,N6:N14)</f>
        <v>3.8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13.77</v>
      </c>
      <c r="M16" s="130">
        <f>SUM(D12:O14)</f>
        <v>5.19</v>
      </c>
      <c r="N16" s="986">
        <f>M16/L16</f>
        <v>0.37690631808278874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818" t="s">
        <v>4575</v>
      </c>
      <c r="D17" s="3818"/>
      <c r="E17" s="3818"/>
      <c r="F17" s="172"/>
      <c r="G17" s="172"/>
      <c r="H17" s="132"/>
      <c r="I17" s="3823" t="s">
        <v>4576</v>
      </c>
      <c r="J17" s="382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4136</v>
      </c>
      <c r="L18" s="1342">
        <v>0</v>
      </c>
      <c r="M18" s="1343">
        <v>0</v>
      </c>
      <c r="N18" s="1344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4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21" t="s">
        <v>4152</v>
      </c>
      <c r="K20" s="141" t="s">
        <v>4150</v>
      </c>
      <c r="L20" s="143"/>
      <c r="M20" s="2544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5" cm="1">
        <f t="array" ref="F21">INDEX('6층_부하량'!E3:E3000,MATCH(1,("6-DaHall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2" t="s">
        <v>4157</v>
      </c>
      <c r="K21" s="142" t="s">
        <v>4150</v>
      </c>
      <c r="L21" s="148"/>
      <c r="M21" s="148"/>
      <c r="N21" s="2545" cm="1">
        <f t="array" ref="N21">INDEX('6층_부하량'!E3:E3000,MATCH(1,("6-DaHall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6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2" t="s">
        <v>4162</v>
      </c>
      <c r="K22" s="142" t="s">
        <v>4150</v>
      </c>
      <c r="L22" s="2546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6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2" t="s">
        <v>4167</v>
      </c>
      <c r="K23" s="142" t="s">
        <v>4150</v>
      </c>
      <c r="L23" s="156"/>
      <c r="M23" s="2546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6" cm="1">
        <f t="array" ref="F24">INDEX('6층_부하량'!E3:E3000,MATCH(1,("6-DaHall 1-PDU-13"='6층_부하량'!A3:A3000)*(9='6층_부하량'!B3:B3000),0))</f>
        <v>0</v>
      </c>
      <c r="G24" s="156"/>
      <c r="H24" s="142" t="s">
        <v>4150</v>
      </c>
      <c r="I24" s="1428" t="s">
        <v>4169</v>
      </c>
      <c r="J24" s="1422" t="s">
        <v>4170</v>
      </c>
      <c r="K24" s="142" t="s">
        <v>4171</v>
      </c>
      <c r="L24" s="156"/>
      <c r="M24" s="156"/>
      <c r="N24" s="2546" cm="1">
        <f t="array" ref="N24">INDEX('6층_부하량'!E3:E3000,MATCH(1,("6-DaHall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6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8" t="s">
        <v>4172</v>
      </c>
      <c r="J25" s="1422" t="s">
        <v>4173</v>
      </c>
      <c r="K25" s="142" t="s">
        <v>4171</v>
      </c>
      <c r="L25" s="2546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5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4171</v>
      </c>
      <c r="I26" s="1428" t="s">
        <v>4174</v>
      </c>
      <c r="J26" s="1422" t="s">
        <v>4175</v>
      </c>
      <c r="K26" s="142" t="s">
        <v>4171</v>
      </c>
      <c r="L26" s="148"/>
      <c r="M26" s="2545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6" cm="1">
        <f t="array" ref="F27">INDEX('6층_부하량'!E3:E3000,MATCH(1,("6-DaHall 1-PDU-13"='6층_부하량'!A3:A3000)*(15='6층_부하량'!B3:B3000),0))</f>
        <v>0</v>
      </c>
      <c r="G27" s="156"/>
      <c r="H27" s="142" t="s">
        <v>4171</v>
      </c>
      <c r="I27" s="1428" t="s">
        <v>4176</v>
      </c>
      <c r="J27" s="1422" t="s">
        <v>4177</v>
      </c>
      <c r="K27" s="142" t="s">
        <v>4171</v>
      </c>
      <c r="L27" s="156"/>
      <c r="M27" s="156"/>
      <c r="N27" s="2546" cm="1">
        <f t="array" ref="N27">INDEX('6층_부하량'!E3:E3000,MATCH(1,("6-DaHall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6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8" t="s">
        <v>4178</v>
      </c>
      <c r="J28" s="1422" t="s">
        <v>4179</v>
      </c>
      <c r="K28" s="142" t="s">
        <v>4171</v>
      </c>
      <c r="L28" s="2546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5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4171</v>
      </c>
      <c r="I29" s="1428" t="s">
        <v>4182</v>
      </c>
      <c r="J29" s="1423" t="s">
        <v>4183</v>
      </c>
      <c r="K29" s="142" t="s">
        <v>4171</v>
      </c>
      <c r="L29" s="148"/>
      <c r="M29" s="2545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6" cm="1">
        <f t="array" ref="F30">INDEX('6층_부하량'!E3:E3000,MATCH(1,("6-DaHall 1-PDU-13"='6층_부하량'!A3:A3000)*(21='6층_부하량'!B3:B3000),0))</f>
        <v>0</v>
      </c>
      <c r="G30" s="156"/>
      <c r="H30" s="142" t="s">
        <v>4171</v>
      </c>
      <c r="I30" s="1428" t="s">
        <v>4186</v>
      </c>
      <c r="J30" s="1423" t="s">
        <v>4187</v>
      </c>
      <c r="K30" s="142" t="s">
        <v>4171</v>
      </c>
      <c r="L30" s="156"/>
      <c r="M30" s="156"/>
      <c r="N30" s="2546" cm="1">
        <f t="array" ref="N30">INDEX('6층_부하량'!E3:E3000,MATCH(1,("6-DaHall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6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8" t="s">
        <v>4469</v>
      </c>
      <c r="J31" s="1423" t="s">
        <v>4253</v>
      </c>
      <c r="K31" s="142" t="s">
        <v>4171</v>
      </c>
      <c r="L31" s="2546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5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4171</v>
      </c>
      <c r="I32" s="1428" t="s">
        <v>4473</v>
      </c>
      <c r="J32" s="1423" t="s">
        <v>4258</v>
      </c>
      <c r="K32" s="142" t="s">
        <v>4171</v>
      </c>
      <c r="L32" s="148"/>
      <c r="M32" s="2545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5" cm="1">
        <f t="array" ref="F33">INDEX('6층_부하량'!E3:E3000,MATCH(1,("6-DaHall 1-PDU-13"='6층_부하량'!A3:A3000)*(27='6층_부하량'!B3:B3000),0))</f>
        <v>0</v>
      </c>
      <c r="G33" s="159"/>
      <c r="H33" s="175" t="s">
        <v>4171</v>
      </c>
      <c r="I33" s="1429" t="s">
        <v>4477</v>
      </c>
      <c r="J33" s="1424" t="s">
        <v>4262</v>
      </c>
      <c r="K33" s="175" t="s">
        <v>4171</v>
      </c>
      <c r="L33" s="159"/>
      <c r="M33" s="159"/>
      <c r="N33" s="2555" cm="1">
        <f t="array" ref="N33">INDEX('6층_부하량'!E3:E3000,MATCH(1,("6-DaHall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7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30" t="s">
        <v>4482</v>
      </c>
      <c r="J34" s="1425" t="s">
        <v>4265</v>
      </c>
      <c r="K34" s="155" t="s">
        <v>4171</v>
      </c>
      <c r="L34" s="2557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5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4171</v>
      </c>
      <c r="I35" s="1428" t="s">
        <v>4487</v>
      </c>
      <c r="J35" s="1423" t="s">
        <v>4267</v>
      </c>
      <c r="K35" s="142" t="s">
        <v>4171</v>
      </c>
      <c r="L35" s="148"/>
      <c r="M35" s="2545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6" cm="1">
        <f t="array" ref="F36">INDEX('6층_부하량'!E3:E3000,MATCH(1,("6-DaHall 1-PDU-13"='6층_부하량'!A3:A3000)*(33='6층_부하량'!B3:B3000),0))</f>
        <v>0</v>
      </c>
      <c r="G36" s="156"/>
      <c r="H36" s="142" t="s">
        <v>4171</v>
      </c>
      <c r="I36" s="1428" t="s">
        <v>4491</v>
      </c>
      <c r="J36" s="1423" t="s">
        <v>4271</v>
      </c>
      <c r="K36" s="142" t="s">
        <v>4171</v>
      </c>
      <c r="L36" s="156"/>
      <c r="M36" s="156"/>
      <c r="N36" s="2546" cm="1">
        <f t="array" ref="N36">INDEX('6층_부하량'!E3:E3000,MATCH(1,("6-DaHall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6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8" t="s">
        <v>4495</v>
      </c>
      <c r="J37" s="1426" t="s">
        <v>4276</v>
      </c>
      <c r="K37" s="142" t="s">
        <v>4171</v>
      </c>
      <c r="L37" s="2546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5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4171</v>
      </c>
      <c r="I38" s="1428" t="s">
        <v>4500</v>
      </c>
      <c r="J38" s="1426" t="s">
        <v>4280</v>
      </c>
      <c r="K38" s="142" t="s">
        <v>4171</v>
      </c>
      <c r="L38" s="148"/>
      <c r="M38" s="2545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6" cm="1">
        <f t="array" ref="F39">INDEX('6층_부하량'!E3:E3000,MATCH(1,("6-DaHall 1-PDU-13"='6층_부하량'!A3:A3000)*(39='6층_부하량'!B3:B3000),0))</f>
        <v>0</v>
      </c>
      <c r="G39" s="156"/>
      <c r="H39" s="142" t="s">
        <v>4171</v>
      </c>
      <c r="I39" s="1428" t="s">
        <v>4504</v>
      </c>
      <c r="J39" s="1423" t="s">
        <v>4284</v>
      </c>
      <c r="K39" s="142" t="s">
        <v>4171</v>
      </c>
      <c r="L39" s="156"/>
      <c r="M39" s="156"/>
      <c r="N39" s="2546" cm="1">
        <f t="array" ref="N39">INDEX('6층_부하량'!E3:E3000,MATCH(1,("6-DaHall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6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8" t="s">
        <v>4348</v>
      </c>
      <c r="J40" s="1423" t="s">
        <v>4416</v>
      </c>
      <c r="K40" s="142" t="s">
        <v>4171</v>
      </c>
      <c r="L40" s="2546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5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4171</v>
      </c>
      <c r="I41" s="1428" t="s">
        <v>4351</v>
      </c>
      <c r="J41" s="1423" t="s">
        <v>4419</v>
      </c>
      <c r="K41" s="142" t="s">
        <v>4171</v>
      </c>
      <c r="L41" s="148"/>
      <c r="M41" s="2545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6" cm="1">
        <f t="array" ref="F42">INDEX('6층_부하량'!E3:E3000,MATCH(1,("6-DaHall 1-PDU-13"='6층_부하량'!A3:A3000)*(45='6층_부하량'!B3:B3000),0))</f>
        <v>0</v>
      </c>
      <c r="G42" s="156"/>
      <c r="H42" s="142" t="s">
        <v>4171</v>
      </c>
      <c r="I42" s="1428" t="s">
        <v>4355</v>
      </c>
      <c r="J42" s="1423" t="s">
        <v>4421</v>
      </c>
      <c r="K42" s="142" t="s">
        <v>4171</v>
      </c>
      <c r="L42" s="156"/>
      <c r="M42" s="156"/>
      <c r="N42" s="2546" cm="1">
        <f t="array" ref="N42">INDEX('6층_부하량'!E3:E3000,MATCH(1,("6-DaHall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6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8" t="s">
        <v>4358</v>
      </c>
      <c r="J43" s="1423" t="s">
        <v>4423</v>
      </c>
      <c r="K43" s="142" t="s">
        <v>4171</v>
      </c>
      <c r="L43" s="2546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5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4171</v>
      </c>
      <c r="I44" s="1428" t="s">
        <v>4360</v>
      </c>
      <c r="J44" s="1423" t="s">
        <v>4425</v>
      </c>
      <c r="K44" s="142" t="s">
        <v>4171</v>
      </c>
      <c r="L44" s="148"/>
      <c r="M44" s="2545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6" cm="1">
        <f t="array" ref="F45">INDEX('6층_부하량'!E3:E3000,MATCH(1,("6-DaHall 1-PDU-13"='6층_부하량'!A3:A3000)*(51='6층_부하량'!B3:B3000),0))</f>
        <v>0</v>
      </c>
      <c r="G45" s="156"/>
      <c r="H45" s="142" t="s">
        <v>4171</v>
      </c>
      <c r="I45" s="1428" t="s">
        <v>4364</v>
      </c>
      <c r="J45" s="1423" t="s">
        <v>4427</v>
      </c>
      <c r="K45" s="142" t="s">
        <v>4171</v>
      </c>
      <c r="L45" s="156"/>
      <c r="M45" s="156"/>
      <c r="N45" s="2546" cm="1">
        <f t="array" ref="N45">INDEX('6층_부하량'!E3:E3000,MATCH(1,("6-DaHall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9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31" t="s">
        <v>4369</v>
      </c>
      <c r="J46" s="1427" t="s">
        <v>4430</v>
      </c>
      <c r="K46" s="165" t="s">
        <v>4171</v>
      </c>
      <c r="L46" s="2549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818" t="s">
        <v>4603</v>
      </c>
      <c r="D49" s="3818"/>
      <c r="E49" s="3818"/>
      <c r="F49" s="172"/>
      <c r="G49" s="172"/>
      <c r="H49" s="132"/>
      <c r="I49" s="3823" t="s">
        <v>4288</v>
      </c>
      <c r="J49" s="382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4136</v>
      </c>
      <c r="L50" s="1342">
        <v>0</v>
      </c>
      <c r="M50" s="1343">
        <v>0</v>
      </c>
      <c r="N50" s="1344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4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4171</v>
      </c>
      <c r="I52" s="1432" t="s">
        <v>4206</v>
      </c>
      <c r="J52" s="282" t="s">
        <v>4152</v>
      </c>
      <c r="K52" s="141" t="s">
        <v>4171</v>
      </c>
      <c r="L52" s="143"/>
      <c r="M52" s="2544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5" cm="1">
        <f t="array" ref="F53">INDEX('6층_부하량'!E3:E3000,MATCH(1,("6-DaHall 1-PDU-14"='6층_부하량'!A3:A3000)*(3='6층_부하량'!B3:B3000),0))</f>
        <v>0</v>
      </c>
      <c r="G53" s="148"/>
      <c r="H53" s="142" t="s">
        <v>4171</v>
      </c>
      <c r="I53" s="1428" t="s">
        <v>4211</v>
      </c>
      <c r="J53" s="283" t="s">
        <v>4157</v>
      </c>
      <c r="K53" s="142" t="s">
        <v>4171</v>
      </c>
      <c r="L53" s="148"/>
      <c r="M53" s="148"/>
      <c r="N53" s="2545" cm="1">
        <f t="array" ref="N53">INDEX('6층_부하량'!E3:E3000,MATCH(1,("6-DaHall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6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8" t="s">
        <v>4214</v>
      </c>
      <c r="J54" s="1422" t="s">
        <v>4162</v>
      </c>
      <c r="K54" s="142" t="s">
        <v>4171</v>
      </c>
      <c r="L54" s="2546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6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4171</v>
      </c>
      <c r="I55" s="1428" t="s">
        <v>4218</v>
      </c>
      <c r="J55" s="1422" t="s">
        <v>4167</v>
      </c>
      <c r="K55" s="142" t="s">
        <v>4171</v>
      </c>
      <c r="L55" s="156"/>
      <c r="M55" s="2546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6" cm="1">
        <f t="array" ref="F56">INDEX('6층_부하량'!E3:E3000,MATCH(1,("6-DaHall 1-PDU-14"='6층_부하량'!A3:A3000)*(9='6층_부하량'!B3:B3000),0))</f>
        <v>0</v>
      </c>
      <c r="G56" s="156"/>
      <c r="H56" s="142" t="s">
        <v>4171</v>
      </c>
      <c r="I56" s="1428" t="s">
        <v>4221</v>
      </c>
      <c r="J56" s="1422" t="s">
        <v>4170</v>
      </c>
      <c r="K56" s="142" t="s">
        <v>4171</v>
      </c>
      <c r="L56" s="156"/>
      <c r="M56" s="156"/>
      <c r="N56" s="2546" cm="1">
        <f t="array" ref="N56">INDEX('6층_부하량'!E3:E3000,MATCH(1,("6-DaHall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6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8" t="s">
        <v>4226</v>
      </c>
      <c r="J57" s="1422" t="s">
        <v>4173</v>
      </c>
      <c r="K57" s="142" t="s">
        <v>4171</v>
      </c>
      <c r="L57" s="2546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5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4171</v>
      </c>
      <c r="I58" s="1428" t="s">
        <v>4230</v>
      </c>
      <c r="J58" s="1422" t="s">
        <v>4175</v>
      </c>
      <c r="K58" s="142" t="s">
        <v>4171</v>
      </c>
      <c r="L58" s="148"/>
      <c r="M58" s="2545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6" cm="1">
        <f t="array" ref="F59">INDEX('6층_부하량'!E3:E3000,MATCH(1,("6-DaHall 1-PDU-14"='6층_부하량'!A3:A3000)*(15='6층_부하량'!B3:B3000),0))</f>
        <v>0</v>
      </c>
      <c r="G59" s="156"/>
      <c r="H59" s="142" t="s">
        <v>4171</v>
      </c>
      <c r="I59" s="1428" t="s">
        <v>4234</v>
      </c>
      <c r="J59" s="1422" t="s">
        <v>4177</v>
      </c>
      <c r="K59" s="142" t="s">
        <v>4171</v>
      </c>
      <c r="L59" s="156"/>
      <c r="M59" s="156"/>
      <c r="N59" s="2546" cm="1">
        <f t="array" ref="N59">INDEX('6층_부하량'!E3:E3000,MATCH(1,("6-DaHall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6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8" t="s">
        <v>4238</v>
      </c>
      <c r="J60" s="1422" t="s">
        <v>4179</v>
      </c>
      <c r="K60" s="142" t="s">
        <v>4171</v>
      </c>
      <c r="L60" s="2546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5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4171</v>
      </c>
      <c r="I61" s="1428" t="s">
        <v>4243</v>
      </c>
      <c r="J61" s="154" t="s">
        <v>4183</v>
      </c>
      <c r="K61" s="142" t="s">
        <v>4171</v>
      </c>
      <c r="L61" s="148"/>
      <c r="M61" s="2545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6" cm="1">
        <f t="array" ref="F62">INDEX('6층_부하량'!E3:E3000,MATCH(1,("6-DaHall 1-PDU-14"='6층_부하량'!A3:A3000)*(21='6층_부하량'!B3:B3000),0))</f>
        <v>0</v>
      </c>
      <c r="G62" s="156"/>
      <c r="H62" s="142" t="s">
        <v>4171</v>
      </c>
      <c r="I62" s="1428" t="s">
        <v>4247</v>
      </c>
      <c r="J62" s="1423" t="s">
        <v>4187</v>
      </c>
      <c r="K62" s="142" t="s">
        <v>4171</v>
      </c>
      <c r="L62" s="156"/>
      <c r="M62" s="156"/>
      <c r="N62" s="2546" cm="1">
        <f t="array" ref="N62">INDEX('6층_부하량'!E3:E3000,MATCH(1,("6-DaHall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6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8" t="s">
        <v>4251</v>
      </c>
      <c r="J63" s="1423" t="s">
        <v>4253</v>
      </c>
      <c r="K63" s="142" t="s">
        <v>4171</v>
      </c>
      <c r="L63" s="2546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5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4171</v>
      </c>
      <c r="I64" s="1428" t="s">
        <v>4256</v>
      </c>
      <c r="J64" s="1423" t="s">
        <v>4258</v>
      </c>
      <c r="K64" s="142" t="s">
        <v>4171</v>
      </c>
      <c r="L64" s="148"/>
      <c r="M64" s="2545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5" cm="1">
        <f t="array" ref="F65">INDEX('6층_부하량'!E3:E3000,MATCH(1,("6-DaHall 1-PDU-14"='6층_부하량'!A3:A3000)*(27='6층_부하량'!B3:B3000),0))</f>
        <v>0</v>
      </c>
      <c r="G65" s="159"/>
      <c r="H65" s="175" t="s">
        <v>4171</v>
      </c>
      <c r="I65" s="1429" t="s">
        <v>4261</v>
      </c>
      <c r="J65" s="1424" t="s">
        <v>4262</v>
      </c>
      <c r="K65" s="175" t="s">
        <v>4171</v>
      </c>
      <c r="L65" s="159"/>
      <c r="M65" s="159"/>
      <c r="N65" s="2555" cm="1">
        <f t="array" ref="N65">INDEX('6층_부하량'!E3:E3000,MATCH(1,("6-DaHall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7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30" t="s">
        <v>4264</v>
      </c>
      <c r="J66" s="1425" t="s">
        <v>4265</v>
      </c>
      <c r="K66" s="155" t="s">
        <v>4171</v>
      </c>
      <c r="L66" s="2557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5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4171</v>
      </c>
      <c r="I67" s="1428" t="s">
        <v>4266</v>
      </c>
      <c r="J67" s="1423" t="s">
        <v>4267</v>
      </c>
      <c r="K67" s="142" t="s">
        <v>4171</v>
      </c>
      <c r="L67" s="148"/>
      <c r="M67" s="2545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6" cm="1">
        <f t="array" ref="F68">INDEX('6층_부하량'!E3:E3000,MATCH(1,("6-DaHall 1-PDU-14"='6층_부하량'!A3:A3000)*(33='6층_부하량'!B3:B3000),0))</f>
        <v>0</v>
      </c>
      <c r="G68" s="156"/>
      <c r="H68" s="142" t="s">
        <v>4171</v>
      </c>
      <c r="I68" s="1428" t="s">
        <v>4270</v>
      </c>
      <c r="J68" s="1423" t="s">
        <v>4271</v>
      </c>
      <c r="K68" s="142" t="s">
        <v>4171</v>
      </c>
      <c r="L68" s="156"/>
      <c r="M68" s="156"/>
      <c r="N68" s="2546" cm="1">
        <f t="array" ref="N68">INDEX('6층_부하량'!E3:E3000,MATCH(1,("6-DaHall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6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8" t="s">
        <v>4274</v>
      </c>
      <c r="J69" s="1426" t="s">
        <v>4276</v>
      </c>
      <c r="K69" s="142" t="s">
        <v>4171</v>
      </c>
      <c r="L69" s="2546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5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4171</v>
      </c>
      <c r="I70" s="1428" t="s">
        <v>4279</v>
      </c>
      <c r="J70" s="1426" t="s">
        <v>4280</v>
      </c>
      <c r="K70" s="142" t="s">
        <v>4171</v>
      </c>
      <c r="L70" s="148"/>
      <c r="M70" s="2545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6" cm="1">
        <f t="array" ref="F71">INDEX('6층_부하량'!E3:E3000,MATCH(1,("6-DaHall 1-PDU-14"='6층_부하량'!A3:A3000)*(39='6층_부하량'!B3:B3000),0))</f>
        <v>0</v>
      </c>
      <c r="G71" s="156"/>
      <c r="H71" s="142" t="s">
        <v>4171</v>
      </c>
      <c r="I71" s="1428" t="s">
        <v>4283</v>
      </c>
      <c r="J71" s="1423" t="s">
        <v>4284</v>
      </c>
      <c r="K71" s="142" t="s">
        <v>4171</v>
      </c>
      <c r="L71" s="156"/>
      <c r="M71" s="156"/>
      <c r="N71" s="2546" cm="1">
        <f t="array" ref="N71">INDEX('6층_부하량'!E3:E3000,MATCH(1,("6-DaHall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6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8" t="s">
        <v>4628</v>
      </c>
      <c r="J72" s="1423" t="s">
        <v>4416</v>
      </c>
      <c r="K72" s="142" t="s">
        <v>4171</v>
      </c>
      <c r="L72" s="2546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5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4171</v>
      </c>
      <c r="I73" s="1428" t="s">
        <v>4418</v>
      </c>
      <c r="J73" s="1423" t="s">
        <v>4419</v>
      </c>
      <c r="K73" s="142" t="s">
        <v>4171</v>
      </c>
      <c r="L73" s="148"/>
      <c r="M73" s="2545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6" cm="1">
        <f t="array" ref="F74">INDEX('6층_부하량'!E3:E3000,MATCH(1,("6-DaHall 1-PDU-14"='6층_부하량'!A3:A3000)*(45='6층_부하량'!B3:B3000),0))</f>
        <v>0</v>
      </c>
      <c r="G74" s="156"/>
      <c r="H74" s="142" t="s">
        <v>4171</v>
      </c>
      <c r="I74" s="1428" t="s">
        <v>4420</v>
      </c>
      <c r="J74" s="1423" t="s">
        <v>4421</v>
      </c>
      <c r="K74" s="142" t="s">
        <v>4171</v>
      </c>
      <c r="L74" s="156"/>
      <c r="M74" s="156"/>
      <c r="N74" s="2546" cm="1">
        <f t="array" ref="N74">INDEX('6층_부하량'!E3:E3000,MATCH(1,("6-DaHall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6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8" t="s">
        <v>4422</v>
      </c>
      <c r="J75" s="1423" t="s">
        <v>4423</v>
      </c>
      <c r="K75" s="142" t="s">
        <v>4171</v>
      </c>
      <c r="L75" s="2546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5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4171</v>
      </c>
      <c r="I76" s="1428" t="s">
        <v>4424</v>
      </c>
      <c r="J76" s="1423" t="s">
        <v>4425</v>
      </c>
      <c r="K76" s="142" t="s">
        <v>4171</v>
      </c>
      <c r="L76" s="148"/>
      <c r="M76" s="2545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6" cm="1">
        <f t="array" ref="F77">INDEX('6층_부하량'!E3:E3000,MATCH(1,("6-DaHall 1-PDU-14"='6층_부하량'!A3:A3000)*(51='6층_부하량'!B3:B3000),0))</f>
        <v>0</v>
      </c>
      <c r="G77" s="156"/>
      <c r="H77" s="142" t="s">
        <v>4171</v>
      </c>
      <c r="I77" s="1428" t="s">
        <v>4426</v>
      </c>
      <c r="J77" s="1423" t="s">
        <v>4427</v>
      </c>
      <c r="K77" s="142" t="s">
        <v>4171</v>
      </c>
      <c r="L77" s="156"/>
      <c r="M77" s="156"/>
      <c r="N77" s="2546" cm="1">
        <f t="array" ref="N77">INDEX('6층_부하량'!E3:E3000,MATCH(1,("6-DaHall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9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31" t="s">
        <v>4429</v>
      </c>
      <c r="J78" s="1427" t="s">
        <v>4430</v>
      </c>
      <c r="K78" s="165" t="s">
        <v>4171</v>
      </c>
      <c r="L78" s="2549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818" t="s">
        <v>4635</v>
      </c>
      <c r="D81" s="3818"/>
      <c r="E81" s="3818"/>
      <c r="F81" s="172"/>
      <c r="G81" s="172"/>
      <c r="H81" s="132"/>
      <c r="I81" s="3823" t="s">
        <v>4636</v>
      </c>
      <c r="J81" s="382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4136</v>
      </c>
      <c r="L82" s="1342">
        <v>0</v>
      </c>
      <c r="M82" s="1343">
        <v>0</v>
      </c>
      <c r="N82" s="1344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4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4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5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5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6" cm="1">
        <f t="array" ref="F86">INDEX('6층_부하량'!E3:E3000,MATCH(1,("6-DaHall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6" cm="1">
        <f t="array" ref="N86">INDEX('6층_부하량'!E3:E3000,MATCH(1,("6-DaHall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6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6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6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6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6" cm="1">
        <f t="array" ref="F89">INDEX('6층_부하량'!E3:E3000,MATCH(1,("6-DaHall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6" cm="1">
        <f t="array" ref="N89">INDEX('6층_부하량'!E3:E3000,MATCH(1,("6-DaHall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6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6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6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6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51" cm="1">
        <f t="array" ref="F92">INDEX('6층_부하량'!E3:E3000,MATCH(1,("6-DaHall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51" cm="1">
        <f t="array" ref="N92">INDEX('6층_부하량'!E3:E3000,MATCH(1,("6-DaHall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8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3" t="s">
        <v>4243</v>
      </c>
      <c r="J93" s="296" t="s">
        <v>4183</v>
      </c>
      <c r="K93" s="155" t="s">
        <v>4171</v>
      </c>
      <c r="L93" s="2548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6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4171</v>
      </c>
      <c r="I94" s="1434" t="s">
        <v>4247</v>
      </c>
      <c r="J94" s="292" t="s">
        <v>4187</v>
      </c>
      <c r="K94" s="142" t="s">
        <v>4171</v>
      </c>
      <c r="L94" s="156"/>
      <c r="M94" s="2546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6" cm="1">
        <f t="array" ref="F95">INDEX('6층_부하량'!E3:E3000,MATCH(1,("6-DaHall 1-PDU-09"='6층_부하량'!A3:A3000)*(23='6층_부하량'!B3:B3000),0))</f>
        <v>0</v>
      </c>
      <c r="G95" s="156"/>
      <c r="H95" s="142" t="s">
        <v>4171</v>
      </c>
      <c r="I95" s="1434" t="s">
        <v>4251</v>
      </c>
      <c r="J95" s="292" t="s">
        <v>4253</v>
      </c>
      <c r="K95" s="142" t="s">
        <v>4171</v>
      </c>
      <c r="L95" s="156"/>
      <c r="M95" s="156"/>
      <c r="N95" s="2546" cm="1">
        <f t="array" ref="N95">INDEX('6층_부하량'!E3:E3000,MATCH(1,("6-DaHall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6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4" t="s">
        <v>4256</v>
      </c>
      <c r="J96" s="292" t="s">
        <v>4258</v>
      </c>
      <c r="K96" s="142" t="s">
        <v>4171</v>
      </c>
      <c r="L96" s="2546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6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4171</v>
      </c>
      <c r="I97" s="1434" t="s">
        <v>4261</v>
      </c>
      <c r="J97" s="292" t="s">
        <v>4262</v>
      </c>
      <c r="K97" s="142" t="s">
        <v>4171</v>
      </c>
      <c r="L97" s="156"/>
      <c r="M97" s="2546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6" cm="1">
        <f t="array" ref="F98">INDEX('6층_부하량'!E3:E3000,MATCH(1,("6-DaHall 1-PDU-09"='6층_부하량'!A3:A3000)*(29='6층_부하량'!B3:B3000),0))</f>
        <v>0</v>
      </c>
      <c r="G98" s="156"/>
      <c r="H98" s="142" t="s">
        <v>4171</v>
      </c>
      <c r="I98" s="1434" t="s">
        <v>4264</v>
      </c>
      <c r="J98" s="292" t="s">
        <v>4265</v>
      </c>
      <c r="K98" s="142" t="s">
        <v>4171</v>
      </c>
      <c r="L98" s="156"/>
      <c r="M98" s="156"/>
      <c r="N98" s="2546" cm="1">
        <f t="array" ref="N98">INDEX('6층_부하량'!E3:E3000,MATCH(1,("6-DaHall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6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6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6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4171</v>
      </c>
      <c r="I100" s="1434" t="s">
        <v>4270</v>
      </c>
      <c r="J100" s="292" t="s">
        <v>4271</v>
      </c>
      <c r="K100" s="142" t="s">
        <v>4171</v>
      </c>
      <c r="L100" s="156"/>
      <c r="M100" s="2546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6" cm="1">
        <f t="array" ref="F101">INDEX('6층_부하량'!E3:E3000,MATCH(1,("6-DaHall 1-PDU-09"='6층_부하량'!A3:A3000)*(35='6층_부하량'!B3:B3000),0))</f>
        <v>0</v>
      </c>
      <c r="G101" s="156"/>
      <c r="H101" s="142" t="s">
        <v>4171</v>
      </c>
      <c r="I101" s="1428" t="s">
        <v>4274</v>
      </c>
      <c r="J101" s="292" t="s">
        <v>4276</v>
      </c>
      <c r="K101" s="142" t="s">
        <v>4171</v>
      </c>
      <c r="L101" s="156"/>
      <c r="M101" s="156"/>
      <c r="N101" s="2546" cm="1">
        <f t="array" ref="N101">INDEX('6층_부하량'!E3:E3000,MATCH(1,("6-DaHall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6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8" t="s">
        <v>4279</v>
      </c>
      <c r="J102" s="1426" t="s">
        <v>4280</v>
      </c>
      <c r="K102" s="142" t="s">
        <v>4171</v>
      </c>
      <c r="L102" s="2546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6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4171</v>
      </c>
      <c r="I103" s="1434" t="s">
        <v>4283</v>
      </c>
      <c r="J103" s="1426" t="s">
        <v>4284</v>
      </c>
      <c r="K103" s="142" t="s">
        <v>4171</v>
      </c>
      <c r="L103" s="156"/>
      <c r="M103" s="2546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6" cm="1">
        <f t="array" ref="F104">INDEX('6층_부하량'!E3:E3000,MATCH(1,("6-DaHall 1-PDU-09"='6층_부하량'!A3:A3000)*(41='6층_부하량'!B3:B3000),0))</f>
        <v>0</v>
      </c>
      <c r="G104" s="156"/>
      <c r="H104" s="142" t="s">
        <v>4171</v>
      </c>
      <c r="I104" s="1428" t="s">
        <v>4628</v>
      </c>
      <c r="J104" s="1426" t="s">
        <v>4416</v>
      </c>
      <c r="K104" s="142" t="s">
        <v>4171</v>
      </c>
      <c r="L104" s="156"/>
      <c r="M104" s="156"/>
      <c r="N104" s="2546" cm="1">
        <f t="array" ref="N104">INDEX('6층_부하량'!E3:E3000,MATCH(1,("6-DaHall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6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8" t="s">
        <v>4418</v>
      </c>
      <c r="J105" s="1426" t="s">
        <v>4419</v>
      </c>
      <c r="K105" s="142" t="s">
        <v>4171</v>
      </c>
      <c r="L105" s="2546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6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4171</v>
      </c>
      <c r="I106" s="1428" t="s">
        <v>4420</v>
      </c>
      <c r="J106" s="1426" t="s">
        <v>4421</v>
      </c>
      <c r="K106" s="142" t="s">
        <v>4171</v>
      </c>
      <c r="L106" s="156"/>
      <c r="M106" s="2546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6" cm="1">
        <f t="array" ref="F107">INDEX('6층_부하량'!E3:E3000,MATCH(1,("6-DaHall 1-PDU-09"='6층_부하량'!A3:A3000)*(47='6층_부하량'!B3:B3000),0))</f>
        <v>0</v>
      </c>
      <c r="G107" s="156"/>
      <c r="H107" s="142" t="s">
        <v>4171</v>
      </c>
      <c r="I107" s="1434" t="s">
        <v>4422</v>
      </c>
      <c r="J107" s="1426" t="s">
        <v>4423</v>
      </c>
      <c r="K107" s="142" t="s">
        <v>4171</v>
      </c>
      <c r="L107" s="156"/>
      <c r="M107" s="156"/>
      <c r="N107" s="2546" cm="1">
        <f t="array" ref="N107">INDEX('6층_부하량'!E3:E3000,MATCH(1,("6-DaHall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9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5" t="s">
        <v>4424</v>
      </c>
      <c r="J108" s="1436" t="s">
        <v>4425</v>
      </c>
      <c r="K108" s="165" t="s">
        <v>4171</v>
      </c>
      <c r="L108" s="2549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818" t="s">
        <v>4687</v>
      </c>
      <c r="D111" s="3818"/>
      <c r="E111" s="3818"/>
      <c r="F111" s="172"/>
      <c r="G111" s="172"/>
      <c r="H111" s="132"/>
      <c r="I111" s="3823" t="s">
        <v>4636</v>
      </c>
      <c r="J111" s="382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4136</v>
      </c>
      <c r="L112" s="1342">
        <v>0</v>
      </c>
      <c r="M112" s="1343">
        <v>0</v>
      </c>
      <c r="N112" s="1344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4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4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5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5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6" cm="1">
        <f t="array" ref="F116">INDEX('6층_부하량'!E3:E3000,MATCH(1,("6-DaHall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6" cm="1">
        <f t="array" ref="N116">INDEX('6층_부하량'!E3:E3000,MATCH(1,("6-DaHall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6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6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6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6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6" cm="1">
        <f t="array" ref="F119">INDEX('6층_부하량'!E3:E3000,MATCH(1,("6-DaHall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6" cm="1">
        <f t="array" ref="N119">INDEX('6층_부하량'!E3:E3000,MATCH(1,("6-DaHall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6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6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6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6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51" cm="1">
        <f t="array" ref="F122">INDEX('6층_부하량'!E3:E3000,MATCH(1,("6-DaHall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51" cm="1">
        <f t="array" ref="N122">INDEX('6층_부하량'!E3:E3000,MATCH(1,("6-DaHall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8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3" t="s">
        <v>4243</v>
      </c>
      <c r="J123" s="296" t="s">
        <v>4183</v>
      </c>
      <c r="K123" s="155" t="s">
        <v>4171</v>
      </c>
      <c r="L123" s="2548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6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6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6" cm="1">
        <f t="array" ref="F125">INDEX('6층_부하량'!E3:E3000,MATCH(1,("6-DaHall 1-PDU-10"='6층_부하량'!A3:A3000)*(23='6층_부하량'!B3:B3000),0))</f>
        <v>0</v>
      </c>
      <c r="G125" s="156"/>
      <c r="H125" s="142" t="s">
        <v>4171</v>
      </c>
      <c r="I125" s="1434" t="s">
        <v>4251</v>
      </c>
      <c r="J125" s="1426" t="s">
        <v>4253</v>
      </c>
      <c r="K125" s="142" t="s">
        <v>4171</v>
      </c>
      <c r="L125" s="156"/>
      <c r="M125" s="156"/>
      <c r="N125" s="2546" cm="1">
        <f t="array" ref="N125">INDEX('6층_부하량'!E3:E3000,MATCH(1,("6-DaHall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6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4" t="s">
        <v>4256</v>
      </c>
      <c r="J126" s="292" t="s">
        <v>4258</v>
      </c>
      <c r="K126" s="142" t="s">
        <v>4171</v>
      </c>
      <c r="L126" s="2546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6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4171</v>
      </c>
      <c r="I127" s="1434" t="s">
        <v>4261</v>
      </c>
      <c r="J127" s="292" t="s">
        <v>4262</v>
      </c>
      <c r="K127" s="142" t="s">
        <v>4171</v>
      </c>
      <c r="L127" s="156"/>
      <c r="M127" s="2546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6" cm="1">
        <f t="array" ref="F128">INDEX('6층_부하량'!E3:E3000,MATCH(1,("6-DaHall 1-PDU-10"='6층_부하량'!A3:A3000)*(29='6층_부하량'!B3:B3000),0))</f>
        <v>0</v>
      </c>
      <c r="G128" s="156"/>
      <c r="H128" s="142" t="s">
        <v>4171</v>
      </c>
      <c r="I128" s="1434" t="s">
        <v>4264</v>
      </c>
      <c r="J128" s="292" t="s">
        <v>4265</v>
      </c>
      <c r="K128" s="142" t="s">
        <v>4171</v>
      </c>
      <c r="L128" s="156"/>
      <c r="M128" s="156"/>
      <c r="N128" s="2546" cm="1">
        <f t="array" ref="N128">INDEX('6층_부하량'!E3:E3000,MATCH(1,("6-DaHall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6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4" t="s">
        <v>4266</v>
      </c>
      <c r="J129" s="292" t="s">
        <v>4267</v>
      </c>
      <c r="K129" s="142" t="s">
        <v>4171</v>
      </c>
      <c r="L129" s="2546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6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4171</v>
      </c>
      <c r="I130" s="1434" t="s">
        <v>4270</v>
      </c>
      <c r="J130" s="292" t="s">
        <v>4271</v>
      </c>
      <c r="K130" s="142" t="s">
        <v>4171</v>
      </c>
      <c r="L130" s="156"/>
      <c r="M130" s="2546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6" cm="1">
        <f t="array" ref="F131">INDEX('6층_부하량'!E3:E3000,MATCH(1,("6-DaHall 1-PDU-10"='6층_부하량'!A3:A3000)*(35='6층_부하량'!B3:B3000),0))</f>
        <v>0</v>
      </c>
      <c r="G131" s="156"/>
      <c r="H131" s="142" t="s">
        <v>4171</v>
      </c>
      <c r="I131" s="1428" t="s">
        <v>4274</v>
      </c>
      <c r="J131" s="292" t="s">
        <v>4276</v>
      </c>
      <c r="K131" s="142" t="s">
        <v>4171</v>
      </c>
      <c r="L131" s="156"/>
      <c r="M131" s="156"/>
      <c r="N131" s="2546" cm="1">
        <f t="array" ref="N131">INDEX('6층_부하량'!E3:E3000,MATCH(1,("6-DaHall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6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8" t="s">
        <v>4279</v>
      </c>
      <c r="J132" s="1426" t="s">
        <v>4280</v>
      </c>
      <c r="K132" s="142" t="s">
        <v>4171</v>
      </c>
      <c r="L132" s="2546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6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4171</v>
      </c>
      <c r="I133" s="1434" t="s">
        <v>4283</v>
      </c>
      <c r="J133" s="1426" t="s">
        <v>4284</v>
      </c>
      <c r="K133" s="142" t="s">
        <v>4171</v>
      </c>
      <c r="L133" s="156"/>
      <c r="M133" s="2546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6" cm="1">
        <f t="array" ref="F134">INDEX('6층_부하량'!E3:E3000,MATCH(1,("6-DaHall 1-PDU-10"='6층_부하량'!A3:A3000)*(41='6층_부하량'!B3:B3000),0))</f>
        <v>0</v>
      </c>
      <c r="G134" s="156"/>
      <c r="H134" s="142" t="s">
        <v>4171</v>
      </c>
      <c r="I134" s="1428" t="s">
        <v>4628</v>
      </c>
      <c r="J134" s="1426" t="s">
        <v>4416</v>
      </c>
      <c r="K134" s="142" t="s">
        <v>4171</v>
      </c>
      <c r="L134" s="156"/>
      <c r="M134" s="156"/>
      <c r="N134" s="2546" cm="1">
        <f t="array" ref="N134">INDEX('6층_부하량'!E3:E3000,MATCH(1,("6-DaHall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6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8" t="s">
        <v>4418</v>
      </c>
      <c r="J135" s="1426" t="s">
        <v>4419</v>
      </c>
      <c r="K135" s="142" t="s">
        <v>4171</v>
      </c>
      <c r="L135" s="2546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6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4171</v>
      </c>
      <c r="I136" s="1428" t="s">
        <v>4420</v>
      </c>
      <c r="J136" s="1426" t="s">
        <v>4421</v>
      </c>
      <c r="K136" s="142" t="s">
        <v>4171</v>
      </c>
      <c r="L136" s="156"/>
      <c r="M136" s="2546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6" cm="1">
        <f t="array" ref="F137">INDEX('6층_부하량'!E3:E3000,MATCH(1,("6-DaHall 1-PDU-10"='6층_부하량'!A3:A3000)*(47='6층_부하량'!B3:B3000),0))</f>
        <v>0</v>
      </c>
      <c r="G137" s="156"/>
      <c r="H137" s="142" t="s">
        <v>4171</v>
      </c>
      <c r="I137" s="1434" t="s">
        <v>4422</v>
      </c>
      <c r="J137" s="292" t="s">
        <v>4423</v>
      </c>
      <c r="K137" s="142" t="s">
        <v>4171</v>
      </c>
      <c r="L137" s="156"/>
      <c r="M137" s="156"/>
      <c r="N137" s="2546" cm="1">
        <f t="array" ref="N137">INDEX('6층_부하량'!E3:E3000,MATCH(1,("6-DaHall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9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5" t="s">
        <v>4424</v>
      </c>
      <c r="J138" s="1436" t="s">
        <v>4425</v>
      </c>
      <c r="K138" s="165" t="s">
        <v>4171</v>
      </c>
      <c r="L138" s="2549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818" t="s">
        <v>4736</v>
      </c>
      <c r="D141" s="3818"/>
      <c r="E141" s="3818"/>
      <c r="F141" s="172"/>
      <c r="G141" s="172"/>
      <c r="H141" s="132"/>
      <c r="I141" s="3823" t="s">
        <v>4636</v>
      </c>
      <c r="J141" s="382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4136</v>
      </c>
      <c r="L142" s="1342">
        <v>5.0999999999999996</v>
      </c>
      <c r="M142" s="1343">
        <v>0</v>
      </c>
      <c r="N142" s="1344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4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2" t="s">
        <v>4206</v>
      </c>
      <c r="J144" s="290" t="s">
        <v>4152</v>
      </c>
      <c r="K144" s="141" t="s">
        <v>4171</v>
      </c>
      <c r="L144" s="2544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5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5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6" cm="1">
        <f t="array" ref="F146">INDEX('6층_부하량'!E3:E3000,MATCH(1,("6-DaHall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6" cm="1">
        <f t="array" ref="N146">INDEX('6층_부하량'!E3:E3000,MATCH(1,("6-DaHall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6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6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6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6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6" cm="1">
        <f t="array" ref="F149">INDEX('6층_부하량'!E3:E3000,MATCH(1,("6-DaHall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6" cm="1">
        <f t="array" ref="N149">INDEX('6층_부하량'!E3:E3000,MATCH(1,("6-DaHall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6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6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6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6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51" cm="1">
        <f t="array" ref="F152">INDEX('6층_부하량'!E3:E3000,MATCH(1,("6-DaHall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51" cm="1">
        <f t="array" ref="N152">INDEX('6층_부하량'!E3:E3000,MATCH(1,("6-DaHall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8" cm="1">
        <f t="array" ref="D153">INDEX('6층_부하량'!C3:C3000,MATCH(1,("6-DaHall 1-PDU-11"='6층_부하량'!A3:A3000)*(19='6층_부하량'!B3:B3000),0))</f>
        <v>4.84</v>
      </c>
      <c r="E153" s="178"/>
      <c r="F153" s="178"/>
      <c r="G153" s="162"/>
      <c r="H153" s="141" t="s">
        <v>4171</v>
      </c>
      <c r="I153" s="1433" t="s">
        <v>4243</v>
      </c>
      <c r="J153" s="1437" t="s">
        <v>4183</v>
      </c>
      <c r="K153" s="141" t="s">
        <v>4171</v>
      </c>
      <c r="L153" s="2548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9" t="s">
        <v>4756</v>
      </c>
      <c r="B154" s="155" t="s">
        <v>4208</v>
      </c>
      <c r="C154" s="188" t="s">
        <v>4149</v>
      </c>
      <c r="D154" s="156"/>
      <c r="E154" s="2546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4171</v>
      </c>
      <c r="I154" s="1434" t="s">
        <v>4247</v>
      </c>
      <c r="J154" s="1426" t="s">
        <v>4187</v>
      </c>
      <c r="K154" s="155" t="s">
        <v>4171</v>
      </c>
      <c r="L154" s="156"/>
      <c r="M154" s="2546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6" cm="1">
        <f t="array" ref="F155">INDEX('6층_부하량'!E3:E3000,MATCH(1,("6-DaHall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6" t="s">
        <v>4253</v>
      </c>
      <c r="K155" s="142" t="s">
        <v>4171</v>
      </c>
      <c r="L155" s="156"/>
      <c r="M155" s="156"/>
      <c r="N155" s="2546" cm="1">
        <f t="array" ref="N155">INDEX('6층_부하량'!E3:E3000,MATCH(1,("6-DaHall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6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6" t="s">
        <v>4258</v>
      </c>
      <c r="K156" s="142" t="s">
        <v>4171</v>
      </c>
      <c r="L156" s="2546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6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6" t="s">
        <v>4262</v>
      </c>
      <c r="K157" s="142" t="s">
        <v>4171</v>
      </c>
      <c r="L157" s="156"/>
      <c r="M157" s="2546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6" cm="1">
        <f t="array" ref="F158">INDEX('6층_부하량'!E3:E3000,MATCH(1,("6-DaHall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6" t="s">
        <v>4265</v>
      </c>
      <c r="K158" s="142" t="s">
        <v>4171</v>
      </c>
      <c r="L158" s="156"/>
      <c r="M158" s="156"/>
      <c r="N158" s="2546" cm="1">
        <f t="array" ref="N158">INDEX('6층_부하량'!E3:E3000,MATCH(1,("6-DaHall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6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6" t="s">
        <v>4267</v>
      </c>
      <c r="K159" s="142" t="s">
        <v>4171</v>
      </c>
      <c r="L159" s="2546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6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6" t="s">
        <v>4271</v>
      </c>
      <c r="K160" s="142" t="s">
        <v>4171</v>
      </c>
      <c r="L160" s="156"/>
      <c r="M160" s="2546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6" cm="1">
        <f t="array" ref="F161">INDEX('6층_부하량'!E3:E3000,MATCH(1,("6-DaHall 1-PDU-11"='6층_부하량'!A3:A3000)*(35='6층_부하량'!B3:B3000),0))</f>
        <v>0</v>
      </c>
      <c r="G161" s="156"/>
      <c r="H161" s="142" t="s">
        <v>4171</v>
      </c>
      <c r="I161" s="1428" t="s">
        <v>4274</v>
      </c>
      <c r="J161" s="1426" t="s">
        <v>4276</v>
      </c>
      <c r="K161" s="142" t="s">
        <v>4171</v>
      </c>
      <c r="L161" s="156"/>
      <c r="M161" s="156"/>
      <c r="N161" s="2546" cm="1">
        <f t="array" ref="N161">INDEX('6층_부하량'!E3:E3000,MATCH(1,("6-DaHall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6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8" t="s">
        <v>4279</v>
      </c>
      <c r="J162" s="1426" t="s">
        <v>4280</v>
      </c>
      <c r="K162" s="142" t="s">
        <v>4171</v>
      </c>
      <c r="L162" s="2546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6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4171</v>
      </c>
      <c r="I163" s="1434" t="s">
        <v>4283</v>
      </c>
      <c r="J163" s="1426" t="s">
        <v>4284</v>
      </c>
      <c r="K163" s="142" t="s">
        <v>4171</v>
      </c>
      <c r="L163" s="156"/>
      <c r="M163" s="2546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6" cm="1">
        <f t="array" ref="F164">INDEX('6층_부하량'!E3:E3000,MATCH(1,("6-DaHall 1-PDU-11"='6층_부하량'!A3:A3000)*(41='6층_부하량'!B3:B3000),0))</f>
        <v>0</v>
      </c>
      <c r="G164" s="156"/>
      <c r="H164" s="142" t="s">
        <v>4171</v>
      </c>
      <c r="I164" s="1428" t="s">
        <v>4628</v>
      </c>
      <c r="J164" s="1426" t="s">
        <v>4416</v>
      </c>
      <c r="K164" s="142" t="s">
        <v>4171</v>
      </c>
      <c r="L164" s="156"/>
      <c r="M164" s="156"/>
      <c r="N164" s="2546" cm="1">
        <f t="array" ref="N164">INDEX('6층_부하량'!E3:E3000,MATCH(1,("6-DaHall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6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8" t="s">
        <v>4418</v>
      </c>
      <c r="J165" s="1426" t="s">
        <v>4419</v>
      </c>
      <c r="K165" s="142" t="s">
        <v>4171</v>
      </c>
      <c r="L165" s="2546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6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4171</v>
      </c>
      <c r="I166" s="1428" t="s">
        <v>4420</v>
      </c>
      <c r="J166" s="1426" t="s">
        <v>4421</v>
      </c>
      <c r="K166" s="142" t="s">
        <v>4171</v>
      </c>
      <c r="L166" s="156"/>
      <c r="M166" s="2546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1000" t="s">
        <v>4781</v>
      </c>
      <c r="B167" s="142" t="s">
        <v>4208</v>
      </c>
      <c r="C167" s="163" t="s">
        <v>4149</v>
      </c>
      <c r="D167" s="156"/>
      <c r="E167" s="156"/>
      <c r="F167" s="2546" cm="1">
        <f t="array" ref="F167">INDEX('6층_부하량'!E3:E3000,MATCH(1,("6-DaHall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6" t="s">
        <v>4423</v>
      </c>
      <c r="K167" s="142" t="s">
        <v>4171</v>
      </c>
      <c r="L167" s="156"/>
      <c r="M167" s="156"/>
      <c r="N167" s="2546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1" t="s">
        <v>4782</v>
      </c>
      <c r="B168" s="165" t="s">
        <v>4208</v>
      </c>
      <c r="C168" s="183" t="s">
        <v>4149</v>
      </c>
      <c r="D168" s="2549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6" t="s">
        <v>4425</v>
      </c>
      <c r="K168" s="165" t="s">
        <v>4171</v>
      </c>
      <c r="L168" s="2549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4.84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818" t="s">
        <v>4783</v>
      </c>
      <c r="D170" s="3818"/>
      <c r="E170" s="3818"/>
      <c r="F170" s="172"/>
      <c r="G170" s="172"/>
      <c r="H170" s="132"/>
      <c r="I170" s="3823" t="s">
        <v>4636</v>
      </c>
      <c r="J170" s="382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4136</v>
      </c>
      <c r="L171" s="1342">
        <v>5.0999999999999996</v>
      </c>
      <c r="M171" s="1343">
        <v>0</v>
      </c>
      <c r="N171" s="1344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4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2" t="s">
        <v>4206</v>
      </c>
      <c r="J173" s="290" t="s">
        <v>4152</v>
      </c>
      <c r="K173" s="141" t="s">
        <v>4171</v>
      </c>
      <c r="L173" s="2544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5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5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6" cm="1">
        <f t="array" ref="F175">INDEX('6층_부하량'!E3:E3000,MATCH(1,("6-DaHall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6" cm="1">
        <f t="array" ref="N175">INDEX('6층_부하량'!E3:E3000,MATCH(1,("6-DaHall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6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6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6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6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6" cm="1">
        <f t="array" ref="F178">INDEX('6층_부하량'!E3:E3000,MATCH(1,("6-DaHall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6" cm="1">
        <f t="array" ref="N178">INDEX('6층_부하량'!E3:E3000,MATCH(1,("6-DaHall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6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8" t="s">
        <v>4230</v>
      </c>
      <c r="J179" s="1426" t="s">
        <v>4175</v>
      </c>
      <c r="K179" s="142" t="s">
        <v>4171</v>
      </c>
      <c r="L179" s="2546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6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6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51" cm="1">
        <f t="array" ref="F181">INDEX('6층_부하량'!E3:E3000,MATCH(1,("6-DaHall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51" cm="1">
        <f t="array" ref="N181">INDEX('6층_부하량'!E3:E3000,MATCH(1,("6-DaHall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8" cm="1">
        <f t="array" ref="D182">INDEX('6층_부하량'!C3:C3000,MATCH(1,("6-DaHall 1-PDU-12"='6층_부하량'!A3:A3000)*(19='6층_부하량'!B3:B3000),0))</f>
        <v>4.79</v>
      </c>
      <c r="E182" s="178"/>
      <c r="F182" s="178"/>
      <c r="G182" s="162"/>
      <c r="H182" s="141" t="s">
        <v>4171</v>
      </c>
      <c r="I182" s="295" t="s">
        <v>4243</v>
      </c>
      <c r="J182" s="1437" t="s">
        <v>4183</v>
      </c>
      <c r="K182" s="141" t="s">
        <v>4171</v>
      </c>
      <c r="L182" s="2548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9" t="s">
        <v>4803</v>
      </c>
      <c r="B183" s="155" t="s">
        <v>4208</v>
      </c>
      <c r="C183" s="188" t="s">
        <v>4149</v>
      </c>
      <c r="D183" s="156"/>
      <c r="E183" s="2546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4171</v>
      </c>
      <c r="I183" s="1434" t="s">
        <v>4247</v>
      </c>
      <c r="J183" s="1426" t="s">
        <v>4187</v>
      </c>
      <c r="K183" s="155" t="s">
        <v>4171</v>
      </c>
      <c r="L183" s="156"/>
      <c r="M183" s="2546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6" cm="1">
        <f t="array" ref="F184">INDEX('6층_부하량'!E3:E3000,MATCH(1,("6-DaHall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6" t="s">
        <v>4253</v>
      </c>
      <c r="K184" s="142" t="s">
        <v>4171</v>
      </c>
      <c r="L184" s="156"/>
      <c r="M184" s="156"/>
      <c r="N184" s="2546" cm="1">
        <f t="array" ref="N184">INDEX('6층_부하량'!E3:E3000,MATCH(1,("6-DaHall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6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6" t="s">
        <v>4258</v>
      </c>
      <c r="K185" s="142" t="s">
        <v>4171</v>
      </c>
      <c r="L185" s="2546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6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6" t="s">
        <v>4262</v>
      </c>
      <c r="K186" s="142" t="s">
        <v>4171</v>
      </c>
      <c r="L186" s="156"/>
      <c r="M186" s="2546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6" cm="1">
        <f t="array" ref="F187">INDEX('6층_부하량'!E3:E3000,MATCH(1,("6-DaHall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6" t="s">
        <v>4265</v>
      </c>
      <c r="K187" s="142" t="s">
        <v>4171</v>
      </c>
      <c r="L187" s="156"/>
      <c r="M187" s="156"/>
      <c r="N187" s="2546" cm="1">
        <f t="array" ref="N187">INDEX('6층_부하량'!E3:E3000,MATCH(1,("6-DaHall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6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6" t="s">
        <v>4267</v>
      </c>
      <c r="K188" s="142" t="s">
        <v>4171</v>
      </c>
      <c r="L188" s="2546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6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6" t="s">
        <v>4271</v>
      </c>
      <c r="K189" s="142" t="s">
        <v>4171</v>
      </c>
      <c r="L189" s="156"/>
      <c r="M189" s="2546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6" cm="1">
        <f t="array" ref="F190">INDEX('6층_부하량'!E3:E3000,MATCH(1,("6-DaHall 1-PDU-12"='6층_부하량'!A3:A3000)*(35='6층_부하량'!B3:B3000),0))</f>
        <v>0</v>
      </c>
      <c r="G190" s="156"/>
      <c r="H190" s="142" t="s">
        <v>4171</v>
      </c>
      <c r="I190" s="1428" t="s">
        <v>4274</v>
      </c>
      <c r="J190" s="1426" t="s">
        <v>4276</v>
      </c>
      <c r="K190" s="142" t="s">
        <v>4171</v>
      </c>
      <c r="L190" s="156"/>
      <c r="M190" s="156"/>
      <c r="N190" s="2546" cm="1">
        <f t="array" ref="N190">INDEX('6층_부하량'!E3:E3000,MATCH(1,("6-DaHall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6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8" t="s">
        <v>4279</v>
      </c>
      <c r="J191" s="1426" t="s">
        <v>4280</v>
      </c>
      <c r="K191" s="142" t="s">
        <v>4171</v>
      </c>
      <c r="L191" s="2546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6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4171</v>
      </c>
      <c r="I192" s="1434" t="s">
        <v>4283</v>
      </c>
      <c r="J192" s="1426" t="s">
        <v>4284</v>
      </c>
      <c r="K192" s="142" t="s">
        <v>4171</v>
      </c>
      <c r="L192" s="156"/>
      <c r="M192" s="2546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6" cm="1">
        <f t="array" ref="F193">INDEX('6층_부하량'!E3:E3000,MATCH(1,("6-DaHall 1-PDU-12"='6층_부하량'!A3:A3000)*(41='6층_부하량'!B3:B3000),0))</f>
        <v>0</v>
      </c>
      <c r="G193" s="156"/>
      <c r="H193" s="142" t="s">
        <v>4171</v>
      </c>
      <c r="I193" s="1428" t="s">
        <v>4628</v>
      </c>
      <c r="J193" s="1426" t="s">
        <v>4416</v>
      </c>
      <c r="K193" s="142" t="s">
        <v>4171</v>
      </c>
      <c r="L193" s="156"/>
      <c r="M193" s="156"/>
      <c r="N193" s="2546" cm="1">
        <f t="array" ref="N193">INDEX('6층_부하량'!E3:E3000,MATCH(1,("6-DaHall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6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8" t="s">
        <v>4418</v>
      </c>
      <c r="J194" s="292" t="s">
        <v>4419</v>
      </c>
      <c r="K194" s="142" t="s">
        <v>4171</v>
      </c>
      <c r="L194" s="2546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6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4171</v>
      </c>
      <c r="I195" s="1428" t="s">
        <v>4420</v>
      </c>
      <c r="J195" s="1426" t="s">
        <v>4421</v>
      </c>
      <c r="K195" s="142" t="s">
        <v>4171</v>
      </c>
      <c r="L195" s="156"/>
      <c r="M195" s="2546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1000" t="s">
        <v>4781</v>
      </c>
      <c r="B196" s="142" t="s">
        <v>4208</v>
      </c>
      <c r="C196" s="163" t="s">
        <v>4149</v>
      </c>
      <c r="D196" s="156"/>
      <c r="E196" s="156"/>
      <c r="F196" s="2546" cm="1">
        <f t="array" ref="F196">INDEX('6층_부하량'!E3:E3000,MATCH(1,("6-DaHall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6" t="s">
        <v>4423</v>
      </c>
      <c r="K196" s="142" t="s">
        <v>4171</v>
      </c>
      <c r="L196" s="156"/>
      <c r="M196" s="156"/>
      <c r="N196" s="2546" cm="1">
        <f t="array" ref="N196">INDEX('6층_부하량'!E3:E3000,MATCH(1,("6-DaHall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1" t="s">
        <v>4782</v>
      </c>
      <c r="B197" s="165" t="s">
        <v>4208</v>
      </c>
      <c r="C197" s="183" t="s">
        <v>4149</v>
      </c>
      <c r="D197" s="2549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6" t="s">
        <v>4425</v>
      </c>
      <c r="K197" s="165" t="s">
        <v>4171</v>
      </c>
      <c r="L197" s="2549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4.79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818" t="s">
        <v>4830</v>
      </c>
      <c r="D199" s="3818"/>
      <c r="E199" s="3818"/>
      <c r="F199" s="172"/>
      <c r="G199" s="172"/>
      <c r="H199" s="132"/>
      <c r="I199" s="3823" t="s">
        <v>4636</v>
      </c>
      <c r="J199" s="382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4136</v>
      </c>
      <c r="L200" s="1342">
        <v>21.6</v>
      </c>
      <c r="M200" s="1343">
        <v>21.2</v>
      </c>
      <c r="N200" s="1344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4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2" t="s">
        <v>4206</v>
      </c>
      <c r="J202" s="1439" t="s">
        <v>4152</v>
      </c>
      <c r="K202" s="141" t="s">
        <v>4171</v>
      </c>
      <c r="L202" s="2544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5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4171</v>
      </c>
      <c r="I203" s="1428" t="s">
        <v>4211</v>
      </c>
      <c r="J203" s="1426" t="s">
        <v>4157</v>
      </c>
      <c r="K203" s="142" t="s">
        <v>4171</v>
      </c>
      <c r="L203" s="148"/>
      <c r="M203" s="2545" cm="1">
        <f t="array" ref="M203">INDEX('6층_부하량'!D3:D3000,MATCH(1,("6-DaHall 1-PDU-01"='6층_부하량'!A3:A3000)*(4='6층_부하량'!B3:B3000),0))</f>
        <v>2.6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6" cm="1">
        <f t="array" ref="F204">INDEX('6층_부하량'!E3:E3000,MATCH(1,("6-DaHall 1-PDU-01"='6층_부하량'!A3:A3000)*(5='6층_부하량'!B3:B3000),0))</f>
        <v>0</v>
      </c>
      <c r="G204" s="156"/>
      <c r="H204" s="142" t="s">
        <v>4171</v>
      </c>
      <c r="I204" s="1428" t="s">
        <v>4214</v>
      </c>
      <c r="J204" s="1426" t="s">
        <v>4162</v>
      </c>
      <c r="K204" s="142" t="s">
        <v>4171</v>
      </c>
      <c r="L204" s="156"/>
      <c r="M204" s="156"/>
      <c r="N204" s="2546" cm="1">
        <f t="array" ref="N204">INDEX('6층_부하량'!E3:E3000,MATCH(1,("6-DaHall 1-PDU-01"='6층_부하량'!A3:A3000)*(6='6층_부하량'!B3:B3000),0))</f>
        <v>2.87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1" t="s">
        <v>4837</v>
      </c>
      <c r="B205" s="142" t="s">
        <v>4208</v>
      </c>
      <c r="C205" s="1148" t="s">
        <v>4149</v>
      </c>
      <c r="D205" s="2546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8" t="s">
        <v>4218</v>
      </c>
      <c r="J205" s="1426" t="s">
        <v>4167</v>
      </c>
      <c r="K205" s="142" t="s">
        <v>4171</v>
      </c>
      <c r="L205" s="2546" cm="1">
        <f t="array" ref="L205">INDEX('6층_부하량'!C3:C3000,MATCH(1,("6-DaHall 1-PDU-01"='6층_부하량'!A3:A3000)*(8='6층_부하량'!B3:B3000),0))</f>
        <v>4.5999999999999996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2" t="s">
        <v>4839</v>
      </c>
      <c r="B206" s="142" t="s">
        <v>4208</v>
      </c>
      <c r="C206" s="1148" t="s">
        <v>4149</v>
      </c>
      <c r="D206" s="156"/>
      <c r="E206" s="2546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4171</v>
      </c>
      <c r="I206" s="1428" t="s">
        <v>4221</v>
      </c>
      <c r="J206" s="1426" t="s">
        <v>4170</v>
      </c>
      <c r="K206" s="142" t="s">
        <v>4171</v>
      </c>
      <c r="L206" s="156"/>
      <c r="M206" s="2546" cm="1">
        <f t="array" ref="M206">INDEX('6층_부하량'!D3:D3000,MATCH(1,("6-DaHall 1-PDU-01"='6층_부하량'!A3:A3000)*(10='6층_부하량'!B3:B3000),0))</f>
        <v>7.12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1" t="s">
        <v>4841</v>
      </c>
      <c r="B207" s="142" t="s">
        <v>4208</v>
      </c>
      <c r="C207" s="1148" t="s">
        <v>4149</v>
      </c>
      <c r="D207" s="156"/>
      <c r="E207" s="156"/>
      <c r="F207" s="2546" cm="1">
        <f t="array" ref="F207">INDEX('6층_부하량'!E3:E3000,MATCH(1,("6-DaHall 1-PDU-01"='6층_부하량'!A3:A3000)*(11='6층_부하량'!B3:B3000),0))</f>
        <v>0</v>
      </c>
      <c r="G207" s="156"/>
      <c r="H207" s="142" t="s">
        <v>4171</v>
      </c>
      <c r="I207" s="1428" t="s">
        <v>4226</v>
      </c>
      <c r="J207" s="1426" t="s">
        <v>4173</v>
      </c>
      <c r="K207" s="142" t="s">
        <v>4171</v>
      </c>
      <c r="L207" s="156"/>
      <c r="M207" s="156"/>
      <c r="N207" s="2546" cm="1">
        <f t="array" ref="N207">INDEX('6층_부하량'!E3:E3000,MATCH(1,("6-DaHall 1-PDU-01"='6층_부하량'!A3:A3000)*(12='6층_부하량'!B3:B3000),0))</f>
        <v>6.85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2" t="s">
        <v>4843</v>
      </c>
      <c r="B208" s="142" t="s">
        <v>4208</v>
      </c>
      <c r="C208" s="1148" t="s">
        <v>4149</v>
      </c>
      <c r="D208" s="2546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8" t="s">
        <v>4230</v>
      </c>
      <c r="J208" s="1426" t="s">
        <v>4175</v>
      </c>
      <c r="K208" s="142" t="s">
        <v>4171</v>
      </c>
      <c r="L208" s="2546" cm="1">
        <f t="array" ref="L208">INDEX('6층_부하량'!C3:C3000,MATCH(1,("6-DaHall 1-PDU-01"='6층_부하량'!A3:A3000)*(14='6층_부하량'!B3:B3000),0))</f>
        <v>4.63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1" t="s">
        <v>4845</v>
      </c>
      <c r="B209" s="142" t="s">
        <v>4208</v>
      </c>
      <c r="C209" s="1148" t="s">
        <v>4149</v>
      </c>
      <c r="D209" s="156"/>
      <c r="E209" s="2546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4171</v>
      </c>
      <c r="I209" s="1428" t="s">
        <v>4234</v>
      </c>
      <c r="J209" s="1426" t="s">
        <v>4177</v>
      </c>
      <c r="K209" s="142" t="s">
        <v>4171</v>
      </c>
      <c r="L209" s="156"/>
      <c r="M209" s="2546" cm="1">
        <f t="array" ref="M209">INDEX('6층_부하량'!D3:D3000,MATCH(1,("6-DaHall 1-PDU-01"='6층_부하량'!A3:A3000)*(16='6층_부하량'!B3:B3000),0))</f>
        <v>4.6899999999999995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3" t="s">
        <v>4847</v>
      </c>
      <c r="B210" s="158" t="s">
        <v>4208</v>
      </c>
      <c r="C210" s="1149" t="s">
        <v>4149</v>
      </c>
      <c r="D210" s="176"/>
      <c r="E210" s="176"/>
      <c r="F210" s="2551" cm="1">
        <f t="array" ref="F210">INDEX('6층_부하량'!E3:E3000,MATCH(1,("6-DaHall 1-PDU-01"='6층_부하량'!A3:A3000)*(17='6층_부하량'!B3:B3000),0))</f>
        <v>0</v>
      </c>
      <c r="G210" s="159"/>
      <c r="H210" s="158" t="s">
        <v>4171</v>
      </c>
      <c r="I210" s="1438" t="s">
        <v>4238</v>
      </c>
      <c r="J210" s="294" t="s">
        <v>4179</v>
      </c>
      <c r="K210" s="158" t="s">
        <v>4171</v>
      </c>
      <c r="L210" s="176"/>
      <c r="M210" s="176"/>
      <c r="N210" s="2551" cm="1">
        <f t="array" ref="N210">INDEX('6층_부하량'!E3:E3000,MATCH(1,("6-DaHall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8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3" t="s">
        <v>4243</v>
      </c>
      <c r="J211" s="296" t="s">
        <v>4183</v>
      </c>
      <c r="K211" s="141" t="s">
        <v>4171</v>
      </c>
      <c r="L211" s="2548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6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4171</v>
      </c>
      <c r="I212" s="1434" t="s">
        <v>4247</v>
      </c>
      <c r="J212" s="292" t="s">
        <v>4187</v>
      </c>
      <c r="K212" s="155" t="s">
        <v>4171</v>
      </c>
      <c r="L212" s="156"/>
      <c r="M212" s="2546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6" cm="1">
        <f t="array" ref="F213">INDEX('6층_부하량'!E3:E3000,MATCH(1,("6-DaHall 1-PDU-01"='6층_부하량'!A3:A3000)*(23='6층_부하량'!B3:B3000),0))</f>
        <v>0</v>
      </c>
      <c r="G213" s="156"/>
      <c r="H213" s="142" t="s">
        <v>4171</v>
      </c>
      <c r="I213" s="1434" t="s">
        <v>4251</v>
      </c>
      <c r="J213" s="292" t="s">
        <v>4253</v>
      </c>
      <c r="K213" s="142" t="s">
        <v>4171</v>
      </c>
      <c r="L213" s="156"/>
      <c r="M213" s="156"/>
      <c r="N213" s="2546" cm="1">
        <f t="array" ref="N213">INDEX('6층_부하량'!E3:E3000,MATCH(1,("6-DaHall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6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4" t="s">
        <v>4256</v>
      </c>
      <c r="J214" s="292" t="s">
        <v>4258</v>
      </c>
      <c r="K214" s="142" t="s">
        <v>4171</v>
      </c>
      <c r="L214" s="2546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6" cm="1">
        <f t="array" ref="E215">INDEX('6층_부하량'!D3:D3000,MATCH(1,("6-DaHall 1-PDU-01"='6층_부하량'!A3:A3000)*(27='6층_부하량'!B3:B3000),0))</f>
        <v>2.25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6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6" cm="1">
        <f t="array" ref="F216">INDEX('6층_부하량'!E3:E3000,MATCH(1,("6-DaHall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6" t="s">
        <v>4265</v>
      </c>
      <c r="K216" s="142" t="s">
        <v>4171</v>
      </c>
      <c r="L216" s="156"/>
      <c r="M216" s="156"/>
      <c r="N216" s="2546" cm="1">
        <f t="array" ref="N216">INDEX('6층_부하량'!E3:E3000,MATCH(1,("6-DaHall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6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6" t="s">
        <v>4267</v>
      </c>
      <c r="K217" s="142" t="s">
        <v>4171</v>
      </c>
      <c r="L217" s="2546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6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6" t="s">
        <v>4271</v>
      </c>
      <c r="K218" s="142" t="s">
        <v>4171</v>
      </c>
      <c r="L218" s="156"/>
      <c r="M218" s="2546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6" cm="1">
        <f t="array" ref="F219">INDEX('6층_부하량'!E3:E3000,MATCH(1,("6-DaHall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6" t="s">
        <v>4276</v>
      </c>
      <c r="K219" s="142" t="s">
        <v>4171</v>
      </c>
      <c r="L219" s="156"/>
      <c r="M219" s="156"/>
      <c r="N219" s="2546" cm="1">
        <f t="array" ref="N219">INDEX('6층_부하량'!E3:E3000,MATCH(1,("6-DaHall 1-PDU-01"='6층_부하량'!A3:A3000)*(36='6층_부하량'!B3:B3000),0))</f>
        <v>1.02</v>
      </c>
      <c r="O219" s="156"/>
      <c r="P219" s="156" t="s">
        <v>4208</v>
      </c>
      <c r="Q219" s="188" t="s">
        <v>4149</v>
      </c>
      <c r="R219" s="2038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6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6" t="s">
        <v>4280</v>
      </c>
      <c r="K220" s="142" t="s">
        <v>4171</v>
      </c>
      <c r="L220" s="2546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6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6" t="s">
        <v>4284</v>
      </c>
      <c r="K221" s="142" t="s">
        <v>4171</v>
      </c>
      <c r="L221" s="156"/>
      <c r="M221" s="2546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6" cm="1">
        <f t="array" ref="F222">INDEX('6층_부하량'!E3:E3000,MATCH(1,("6-DaHall 1-PDU-01"='6층_부하량'!A3:A3000)*(41='6층_부하량'!B3:B3000),0))</f>
        <v>0.64</v>
      </c>
      <c r="G222" s="156"/>
      <c r="H222" s="142" t="s">
        <v>4171</v>
      </c>
      <c r="I222" s="291" t="s">
        <v>4628</v>
      </c>
      <c r="J222" s="1426" t="s">
        <v>4416</v>
      </c>
      <c r="K222" s="142" t="s">
        <v>4171</v>
      </c>
      <c r="L222" s="156"/>
      <c r="M222" s="156"/>
      <c r="N222" s="2546" cm="1">
        <f t="array" ref="N222">INDEX('6층_부하량'!E3:E3000,MATCH(1,("6-DaHall 1-PDU-01"='6층_부하량'!A3:A3000)*(42='6층_부하량'!B3:B3000),0))</f>
        <v>3.56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6" cm="1">
        <f t="array" ref="D223">INDEX('6층_부하량'!C3:C3000,MATCH(1,("6-DaHall 1-PDU-01"='6층_부하량'!A3:A3000)*(43='6층_부하량'!B3:B3000),0))</f>
        <v>2.96</v>
      </c>
      <c r="E223" s="156"/>
      <c r="F223" s="156"/>
      <c r="G223" s="156"/>
      <c r="H223" s="142" t="s">
        <v>4171</v>
      </c>
      <c r="I223" s="291" t="s">
        <v>4418</v>
      </c>
      <c r="J223" s="1426" t="s">
        <v>4419</v>
      </c>
      <c r="K223" s="142" t="s">
        <v>4171</v>
      </c>
      <c r="L223" s="2546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8" t="s">
        <v>1988</v>
      </c>
      <c r="S223" s="2071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6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3" t="s">
        <v>4421</v>
      </c>
      <c r="K224" s="142" t="s">
        <v>4171</v>
      </c>
      <c r="L224" s="156"/>
      <c r="M224" s="2546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4208</v>
      </c>
      <c r="Q224" s="163" t="s">
        <v>4149</v>
      </c>
      <c r="R224" s="2242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6" cm="1">
        <f t="array" ref="F225">INDEX('6층_부하량'!E3:E3000,MATCH(1,("6-DaHall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6" t="s">
        <v>4423</v>
      </c>
      <c r="K225" s="142" t="s">
        <v>4171</v>
      </c>
      <c r="L225" s="156"/>
      <c r="M225" s="156"/>
      <c r="N225" s="2546" cm="1">
        <f t="array" ref="N225">INDEX('6층_부하량'!E3:E3000,MATCH(1,("6-DaHall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9" cm="1">
        <f t="array" ref="D226">INDEX('6층_부하량'!C3:C3000,MATCH(1,("6-DaHall 1-PDU-01"='6층_부하량'!A3:A3000)*(49='6층_부하량'!B3:B3000),0))</f>
        <v>3.07</v>
      </c>
      <c r="E226" s="166"/>
      <c r="F226" s="166"/>
      <c r="G226" s="166"/>
      <c r="H226" s="165" t="s">
        <v>4171</v>
      </c>
      <c r="I226" s="299" t="s">
        <v>4424</v>
      </c>
      <c r="J226" s="1436" t="s">
        <v>4425</v>
      </c>
      <c r="K226" s="165" t="s">
        <v>4171</v>
      </c>
      <c r="L226" s="2549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17.209999999999997</v>
      </c>
      <c r="M227" s="127">
        <f>SUM(E202:E226,M202:M226)</f>
        <v>17.209999999999997</v>
      </c>
      <c r="N227" s="127">
        <f>SUM(F202:F226,N202:N226)</f>
        <v>14.94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818" t="s">
        <v>4879</v>
      </c>
      <c r="D229" s="3818"/>
      <c r="E229" s="3818"/>
      <c r="F229" s="172"/>
      <c r="G229" s="172"/>
      <c r="H229" s="132"/>
      <c r="I229" s="3823" t="s">
        <v>4636</v>
      </c>
      <c r="J229" s="382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4136</v>
      </c>
      <c r="L230" s="1342">
        <v>19.2</v>
      </c>
      <c r="M230" s="1343">
        <v>18.8</v>
      </c>
      <c r="N230" s="1344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4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2" t="s">
        <v>4206</v>
      </c>
      <c r="J232" s="290" t="s">
        <v>4152</v>
      </c>
      <c r="K232" s="141" t="s">
        <v>4171</v>
      </c>
      <c r="L232" s="2544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5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4171</v>
      </c>
      <c r="I233" s="1428" t="s">
        <v>4211</v>
      </c>
      <c r="J233" s="292" t="s">
        <v>4157</v>
      </c>
      <c r="K233" s="142" t="s">
        <v>4171</v>
      </c>
      <c r="L233" s="148"/>
      <c r="M233" s="2545" cm="1">
        <f t="array" ref="M233">INDEX('6층_부하량'!D3:D3000,MATCH(1,("6-DaHall 1-PDU-02"='6층_부하량'!A3:A3000)*(4='6층_부하량'!B3:B3000),0))</f>
        <v>1.76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6" cm="1">
        <f t="array" ref="F234">INDEX('6층_부하량'!E3:E3000,MATCH(1,("6-DaHall 1-PDU-02"='6층_부하량'!A3:A3000)*(5='6층_부하량'!B3:B3000),0))</f>
        <v>0</v>
      </c>
      <c r="G234" s="156"/>
      <c r="H234" s="142" t="s">
        <v>4171</v>
      </c>
      <c r="I234" s="1428" t="s">
        <v>4214</v>
      </c>
      <c r="J234" s="292" t="s">
        <v>4162</v>
      </c>
      <c r="K234" s="142" t="s">
        <v>4171</v>
      </c>
      <c r="L234" s="156"/>
      <c r="M234" s="156"/>
      <c r="N234" s="2546" cm="1">
        <f t="array" ref="N234">INDEX('6층_부하량'!E3:E3000,MATCH(1,("6-DaHall 1-PDU-02"='6층_부하량'!A3:A3000)*(6='6층_부하량'!B3:B3000),0))</f>
        <v>4.8899999999999997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1" t="s">
        <v>4886</v>
      </c>
      <c r="B235" s="142" t="s">
        <v>4208</v>
      </c>
      <c r="C235" s="1148" t="s">
        <v>4149</v>
      </c>
      <c r="D235" s="2546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6" cm="1">
        <f t="array" ref="L235">INDEX('6층_부하량'!C3:C3000,MATCH(1,("6-DaHall 1-PDU-02"='6층_부하량'!A3:A3000)*(8='6층_부하량'!B3:B3000),0))</f>
        <v>3.07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2" t="s">
        <v>4888</v>
      </c>
      <c r="B236" s="142" t="s">
        <v>4208</v>
      </c>
      <c r="C236" s="1148" t="s">
        <v>4149</v>
      </c>
      <c r="D236" s="156"/>
      <c r="E236" s="2546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6" cm="1">
        <f t="array" ref="M236">INDEX('6층_부하량'!D3:D3000,MATCH(1,("6-DaHall 1-PDU-02"='6층_부하량'!A3:A3000)*(10='6층_부하량'!B3:B3000),0))</f>
        <v>6.91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1" t="s">
        <v>4890</v>
      </c>
      <c r="B237" s="142" t="s">
        <v>4208</v>
      </c>
      <c r="C237" s="1148" t="s">
        <v>4149</v>
      </c>
      <c r="D237" s="156"/>
      <c r="E237" s="156"/>
      <c r="F237" s="2546" cm="1">
        <f t="array" ref="F237">INDEX('6층_부하량'!E3:E3000,MATCH(1,("6-DaHall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6" cm="1">
        <f t="array" ref="N237">INDEX('6층_부하량'!E3:E3000,MATCH(1,("6-DaHall 1-PDU-02"='6층_부하량'!A3:A3000)*(12='6층_부하량'!B3:B3000),0))</f>
        <v>8.85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2" t="s">
        <v>4892</v>
      </c>
      <c r="B238" s="142" t="s">
        <v>4208</v>
      </c>
      <c r="C238" s="1148" t="s">
        <v>4149</v>
      </c>
      <c r="D238" s="2546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6" cm="1">
        <f t="array" ref="L238">INDEX('6층_부하량'!C3:C3000,MATCH(1,("6-DaHall 1-PDU-02"='6층_부하량'!A3:A3000)*(14='6층_부하량'!B3:B3000),0))</f>
        <v>6.03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1" t="s">
        <v>4894</v>
      </c>
      <c r="B239" s="142" t="s">
        <v>4208</v>
      </c>
      <c r="C239" s="1148" t="s">
        <v>4149</v>
      </c>
      <c r="D239" s="156"/>
      <c r="E239" s="2546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6" cm="1">
        <f t="array" ref="M239">INDEX('6층_부하량'!D3:D3000,MATCH(1,("6-DaHall 1-PDU-02"='6층_부하량'!A3:A3000)*(16='6층_부하량'!B3:B3000),0))</f>
        <v>4.72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3" t="s">
        <v>4896</v>
      </c>
      <c r="B240" s="158" t="s">
        <v>4208</v>
      </c>
      <c r="C240" s="1149" t="s">
        <v>4149</v>
      </c>
      <c r="D240" s="176"/>
      <c r="E240" s="176"/>
      <c r="F240" s="2551" cm="1">
        <f t="array" ref="F240">INDEX('6층_부하량'!E3:E3000,MATCH(1,("6-DaHall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40" t="s">
        <v>4179</v>
      </c>
      <c r="K240" s="158" t="s">
        <v>4171</v>
      </c>
      <c r="L240" s="176"/>
      <c r="M240" s="176"/>
      <c r="N240" s="2551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8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3" t="s">
        <v>4243</v>
      </c>
      <c r="J241" s="296" t="s">
        <v>4183</v>
      </c>
      <c r="K241" s="141" t="s">
        <v>4171</v>
      </c>
      <c r="L241" s="2548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6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4171</v>
      </c>
      <c r="I242" s="1434" t="s">
        <v>4247</v>
      </c>
      <c r="J242" s="292" t="s">
        <v>4187</v>
      </c>
      <c r="K242" s="155" t="s">
        <v>4171</v>
      </c>
      <c r="L242" s="156"/>
      <c r="M242" s="2546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6" cm="1">
        <f t="array" ref="F243">INDEX('6층_부하량'!E3:E3000,MATCH(1,("6-DaHall 1-PDU-02"='6층_부하량'!A3:A3000)*(23='6층_부하량'!B3:B3000),0))</f>
        <v>0</v>
      </c>
      <c r="G243" s="156"/>
      <c r="H243" s="142" t="s">
        <v>4171</v>
      </c>
      <c r="I243" s="1434" t="s">
        <v>4251</v>
      </c>
      <c r="J243" s="292" t="s">
        <v>4253</v>
      </c>
      <c r="K243" s="142" t="s">
        <v>4171</v>
      </c>
      <c r="L243" s="156"/>
      <c r="M243" s="156"/>
      <c r="N243" s="2546" cm="1">
        <f t="array" ref="N243">INDEX('6층_부하량'!E3:E3000,MATCH(1,("6-DaHall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6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4" t="s">
        <v>4256</v>
      </c>
      <c r="J244" s="292" t="s">
        <v>4258</v>
      </c>
      <c r="K244" s="142" t="s">
        <v>4171</v>
      </c>
      <c r="L244" s="2546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6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6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6" cm="1">
        <f t="array" ref="F246">INDEX('6층_부하량'!E3:E3000,MATCH(1,("6-DaHall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6" cm="1">
        <f t="array" ref="N246">INDEX('6층_부하량'!E3:E3000,MATCH(1,("6-DaHall 1-PDU-02"='6층_부하량'!A3:A3000)*(30='6층_부하량'!B3:B3000),0))</f>
        <v>3.15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6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6" t="s">
        <v>4267</v>
      </c>
      <c r="K247" s="142" t="s">
        <v>4171</v>
      </c>
      <c r="L247" s="2546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6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6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6" cm="1">
        <f t="array" ref="F249">INDEX('6층_부하량'!E3:E3000,MATCH(1,("6-DaHall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6" cm="1">
        <f t="array" ref="N249">INDEX('6층_부하량'!E3:E3000,MATCH(1,("6-DaHall 1-PDU-02"='6층_부하량'!A3:A3000)*(36='6층_부하량'!B3:B3000),0))</f>
        <v>1.1000000000000001</v>
      </c>
      <c r="O249" s="156"/>
      <c r="P249" s="148" t="s">
        <v>4208</v>
      </c>
      <c r="Q249" s="163" t="s">
        <v>4149</v>
      </c>
      <c r="R249" s="2038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6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6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6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6" t="s">
        <v>4284</v>
      </c>
      <c r="K251" s="142" t="s">
        <v>4171</v>
      </c>
      <c r="L251" s="156"/>
      <c r="M251" s="2546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6" cm="1">
        <f t="array" ref="F252">INDEX('6층_부하량'!E3:E3000,MATCH(1,("6-DaHall 1-PDU-02"='6층_부하량'!A3:A3000)*(41='6층_부하량'!B3:B3000),0))</f>
        <v>0.48</v>
      </c>
      <c r="G252" s="156"/>
      <c r="H252" s="142" t="s">
        <v>4171</v>
      </c>
      <c r="I252" s="291" t="s">
        <v>4628</v>
      </c>
      <c r="J252" s="1426" t="s">
        <v>4416</v>
      </c>
      <c r="K252" s="142" t="s">
        <v>4171</v>
      </c>
      <c r="L252" s="156"/>
      <c r="M252" s="156"/>
      <c r="N252" s="2546" cm="1">
        <f t="array" ref="N252">INDEX('6층_부하량'!E3:E3000,MATCH(1,("6-DaHall 1-PDU-02"='6층_부하량'!A3:A3000)*(42='6층_부하량'!B3:B3000),0))</f>
        <v>3.75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6" cm="1">
        <f t="array" ref="D253">INDEX('6층_부하량'!C3:C3000,MATCH(1,("6-DaHall 1-PDU-02"='6층_부하량'!A3:A3000)*(43='6층_부하량'!B3:B3000),0))</f>
        <v>3.52</v>
      </c>
      <c r="E253" s="156"/>
      <c r="F253" s="156"/>
      <c r="G253" s="156"/>
      <c r="H253" s="142" t="s">
        <v>4171</v>
      </c>
      <c r="I253" s="291" t="s">
        <v>4418</v>
      </c>
      <c r="J253" s="1426" t="s">
        <v>4419</v>
      </c>
      <c r="K253" s="142" t="s">
        <v>4171</v>
      </c>
      <c r="L253" s="2546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8" t="s">
        <v>1988</v>
      </c>
      <c r="S253" s="2071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6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4171</v>
      </c>
      <c r="I254" s="1428" t="s">
        <v>4420</v>
      </c>
      <c r="J254" s="1426" t="s">
        <v>4421</v>
      </c>
      <c r="K254" s="142" t="s">
        <v>4171</v>
      </c>
      <c r="L254" s="156"/>
      <c r="M254" s="2546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6" cm="1">
        <f t="array" ref="F255">INDEX('6층_부하량'!E3:E3000,MATCH(1,("6-DaHall 1-PDU-02"='6층_부하량'!A3:A3000)*(47='6층_부하량'!B3:B3000),0))</f>
        <v>0</v>
      </c>
      <c r="G255" s="156"/>
      <c r="H255" s="142" t="s">
        <v>4171</v>
      </c>
      <c r="I255" s="1434" t="s">
        <v>4422</v>
      </c>
      <c r="J255" s="292" t="s">
        <v>4423</v>
      </c>
      <c r="K255" s="142" t="s">
        <v>4171</v>
      </c>
      <c r="L255" s="156"/>
      <c r="M255" s="156"/>
      <c r="N255" s="2546" cm="1">
        <f t="array" ref="N255">INDEX('6층_부하량'!E3:E3000,MATCH(1,("6-DaHall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9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5" t="s">
        <v>4424</v>
      </c>
      <c r="J256" s="1436" t="s">
        <v>4425</v>
      </c>
      <c r="K256" s="165" t="s">
        <v>4171</v>
      </c>
      <c r="L256" s="2549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14.09</v>
      </c>
      <c r="M257" s="130">
        <f>SUM(E232:E256,M232:M256)</f>
        <v>14.719999999999999</v>
      </c>
      <c r="N257" s="130">
        <f>SUM(F232:F256,N232:N256)</f>
        <v>22.22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818" t="s">
        <v>4927</v>
      </c>
      <c r="D259" s="3818"/>
      <c r="E259" s="3818"/>
      <c r="F259" s="172"/>
      <c r="G259" s="172"/>
      <c r="H259" s="132"/>
      <c r="I259" s="3823" t="s">
        <v>4636</v>
      </c>
      <c r="J259" s="382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4136</v>
      </c>
      <c r="L260" s="1342">
        <v>20.7</v>
      </c>
      <c r="M260" s="1343">
        <v>21.3</v>
      </c>
      <c r="N260" s="1344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4" cm="1">
        <f t="array" ref="D262">INDEX('6층_부하량'!C3:C3000,MATCH(1,("6-DaHall 1-PDU-03"='6층_부하량'!A3:A3000)*(1='6층_부하량'!B3:B3000),0))</f>
        <v>2.87</v>
      </c>
      <c r="E262" s="143"/>
      <c r="F262" s="143"/>
      <c r="G262" s="143"/>
      <c r="H262" s="141" t="s">
        <v>4171</v>
      </c>
      <c r="I262" s="1432" t="s">
        <v>4206</v>
      </c>
      <c r="J262" s="1439" t="s">
        <v>4152</v>
      </c>
      <c r="K262" s="141" t="s">
        <v>4171</v>
      </c>
      <c r="L262" s="2544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5" cm="1">
        <f t="array" ref="E263">INDEX('6층_부하량'!D3:D3000,MATCH(1,("6-DaHall 1-PDU-03"='6층_부하량'!A3:A3000)*(3='6층_부하량'!B3:B3000),0))</f>
        <v>2.39</v>
      </c>
      <c r="F263" s="148"/>
      <c r="G263" s="148"/>
      <c r="H263" s="142" t="s">
        <v>4171</v>
      </c>
      <c r="I263" s="1428" t="s">
        <v>4211</v>
      </c>
      <c r="J263" s="1426" t="s">
        <v>4157</v>
      </c>
      <c r="K263" s="142" t="s">
        <v>4171</v>
      </c>
      <c r="L263" s="148"/>
      <c r="M263" s="2545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6" cm="1">
        <f t="array" ref="F264">INDEX('6층_부하량'!E3:E3000,MATCH(1,("6-DaHall 1-PDU-03"='6층_부하량'!A3:A3000)*(5='6층_부하량'!B3:B3000),0))</f>
        <v>0.79</v>
      </c>
      <c r="G264" s="156"/>
      <c r="H264" s="142" t="s">
        <v>4171</v>
      </c>
      <c r="I264" s="1434" t="s">
        <v>4214</v>
      </c>
      <c r="J264" s="1423" t="s">
        <v>4162</v>
      </c>
      <c r="K264" s="142" t="s">
        <v>4171</v>
      </c>
      <c r="L264" s="156"/>
      <c r="M264" s="156"/>
      <c r="N264" s="2546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6" cm="1">
        <f t="array" ref="D265">INDEX('6층_부하량'!C3:C3000,MATCH(1,("6-DaHall 1-PDU-03"='6층_부하량'!A3:A3000)*(7='6층_부하량'!B3:B3000),0))</f>
        <v>3.7199999999999998</v>
      </c>
      <c r="E265" s="156"/>
      <c r="F265" s="156"/>
      <c r="G265" s="156"/>
      <c r="H265" s="142" t="s">
        <v>4171</v>
      </c>
      <c r="I265" s="1434" t="s">
        <v>4218</v>
      </c>
      <c r="J265" s="1423" t="s">
        <v>4167</v>
      </c>
      <c r="K265" s="142" t="s">
        <v>4171</v>
      </c>
      <c r="L265" s="2546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6" cm="1">
        <f t="array" ref="E266">INDEX('6층_부하량'!D3:D3000,MATCH(1,("6-DaHall 1-PDU-03"='6층_부하량'!A3:A3000)*(9='6층_부하량'!B3:B3000),0))</f>
        <v>2.77</v>
      </c>
      <c r="F266" s="156"/>
      <c r="G266" s="156"/>
      <c r="H266" s="142" t="s">
        <v>4171</v>
      </c>
      <c r="I266" s="1434" t="s">
        <v>4221</v>
      </c>
      <c r="J266" s="1423" t="s">
        <v>4170</v>
      </c>
      <c r="K266" s="142" t="s">
        <v>4171</v>
      </c>
      <c r="L266" s="156"/>
      <c r="M266" s="2546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6" cm="1">
        <f t="array" ref="F267">INDEX('6층_부하량'!E3:E3000,MATCH(1,("6-DaHall 1-PDU-03"='6층_부하량'!A3:A3000)*(11='6층_부하량'!B3:B3000),0))</f>
        <v>1.21</v>
      </c>
      <c r="G267" s="156" t="s">
        <v>4939</v>
      </c>
      <c r="H267" s="142" t="s">
        <v>4171</v>
      </c>
      <c r="I267" s="1434" t="s">
        <v>4226</v>
      </c>
      <c r="J267" s="1423" t="s">
        <v>4173</v>
      </c>
      <c r="K267" s="142" t="s">
        <v>4171</v>
      </c>
      <c r="L267" s="156"/>
      <c r="M267" s="156"/>
      <c r="N267" s="2546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6" cm="1">
        <f t="array" ref="D268">INDEX('6층_부하량'!C3:C3000,MATCH(1,("6-DaHall 1-PDU-03"='6층_부하량'!A3:A3000)*(13='6층_부하량'!B3:B3000),0))</f>
        <v>3.21</v>
      </c>
      <c r="E268" s="156"/>
      <c r="F268" s="156"/>
      <c r="G268" s="156"/>
      <c r="H268" s="142" t="s">
        <v>4171</v>
      </c>
      <c r="I268" s="1434" t="s">
        <v>4230</v>
      </c>
      <c r="J268" s="1423" t="s">
        <v>4175</v>
      </c>
      <c r="K268" s="142" t="s">
        <v>4171</v>
      </c>
      <c r="L268" s="2546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6" cm="1">
        <f t="array" ref="E269">INDEX('6층_부하량'!D3:D3000,MATCH(1,("6-DaHall 1-PDU-03"='6층_부하량'!A3:A3000)*(15='6층_부하량'!B3:B3000),0))</f>
        <v>3.86</v>
      </c>
      <c r="F269" s="156"/>
      <c r="G269" s="156"/>
      <c r="H269" s="142" t="s">
        <v>4171</v>
      </c>
      <c r="I269" s="1434" t="s">
        <v>4234</v>
      </c>
      <c r="J269" s="150" t="s">
        <v>4177</v>
      </c>
      <c r="K269" s="142" t="s">
        <v>4171</v>
      </c>
      <c r="L269" s="156"/>
      <c r="M269" s="2546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51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4171</v>
      </c>
      <c r="I270" s="1441" t="s">
        <v>4238</v>
      </c>
      <c r="J270" s="191" t="s">
        <v>4179</v>
      </c>
      <c r="K270" s="158" t="s">
        <v>4171</v>
      </c>
      <c r="L270" s="176"/>
      <c r="M270" s="176"/>
      <c r="N270" s="2551" cm="1">
        <f t="array" ref="N270">INDEX('6층_부하량'!E3:E3000,MATCH(1,("6-DaHall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8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2" t="s">
        <v>4243</v>
      </c>
      <c r="J271" s="1444" t="s">
        <v>4183</v>
      </c>
      <c r="K271" s="141" t="s">
        <v>4171</v>
      </c>
      <c r="L271" s="2548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6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4171</v>
      </c>
      <c r="I272" s="1433" t="s">
        <v>4247</v>
      </c>
      <c r="J272" s="180" t="s">
        <v>4187</v>
      </c>
      <c r="K272" s="155" t="s">
        <v>4171</v>
      </c>
      <c r="L272" s="156"/>
      <c r="M272" s="2546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6" cm="1">
        <f t="array" ref="F273">INDEX('6층_부하량'!E3:E3000,MATCH(1,("6-DaHall 1-PDU-03"='6층_부하량'!A3:A3000)*(23='6층_부하량'!B3:B3000),0))</f>
        <v>0</v>
      </c>
      <c r="G273" s="156"/>
      <c r="H273" s="142" t="s">
        <v>4171</v>
      </c>
      <c r="I273" s="1434" t="s">
        <v>4251</v>
      </c>
      <c r="J273" s="150" t="s">
        <v>4253</v>
      </c>
      <c r="K273" s="142" t="s">
        <v>4171</v>
      </c>
      <c r="L273" s="156"/>
      <c r="M273" s="156"/>
      <c r="N273" s="2546" cm="1">
        <f t="array" ref="N273">INDEX('6층_부하량'!E3:E3000,MATCH(1,("6-DaHall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6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4" t="s">
        <v>4256</v>
      </c>
      <c r="J274" s="150" t="s">
        <v>4258</v>
      </c>
      <c r="K274" s="142" t="s">
        <v>4171</v>
      </c>
      <c r="L274" s="2546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6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4171</v>
      </c>
      <c r="I275" s="1434" t="s">
        <v>4261</v>
      </c>
      <c r="J275" s="150" t="s">
        <v>4262</v>
      </c>
      <c r="K275" s="142" t="s">
        <v>4171</v>
      </c>
      <c r="L275" s="156"/>
      <c r="M275" s="2546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6" cm="1">
        <f t="array" ref="F276">INDEX('6층_부하량'!E3:E3000,MATCH(1,("6-DaHall 1-PDU-03"='6층_부하량'!A3:A3000)*(29='6층_부하량'!B3:B3000),0))</f>
        <v>0</v>
      </c>
      <c r="G276" s="156"/>
      <c r="H276" s="142" t="s">
        <v>4171</v>
      </c>
      <c r="I276" s="1434" t="s">
        <v>4264</v>
      </c>
      <c r="J276" s="150" t="s">
        <v>4265</v>
      </c>
      <c r="K276" s="142" t="s">
        <v>4171</v>
      </c>
      <c r="L276" s="156"/>
      <c r="M276" s="156"/>
      <c r="N276" s="2546" cm="1">
        <f t="array" ref="N276">INDEX('6층_부하량'!E3:E3000,MATCH(1,("6-DaHall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6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4" t="s">
        <v>4266</v>
      </c>
      <c r="J277" s="150" t="s">
        <v>4267</v>
      </c>
      <c r="K277" s="142" t="s">
        <v>4171</v>
      </c>
      <c r="L277" s="2546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6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6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6" cm="1">
        <f t="array" ref="F279">INDEX('6층_부하량'!E3:E3000,MATCH(1,("6-DaHall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6" cm="1">
        <f t="array" ref="N279">INDEX('6층_부하량'!E3:E3000,MATCH(1,("6-DaHall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6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4" t="s">
        <v>4279</v>
      </c>
      <c r="J280" s="154" t="s">
        <v>4280</v>
      </c>
      <c r="K280" s="142" t="s">
        <v>4171</v>
      </c>
      <c r="L280" s="2546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6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4171</v>
      </c>
      <c r="I281" s="1434" t="s">
        <v>4283</v>
      </c>
      <c r="J281" s="150" t="s">
        <v>4284</v>
      </c>
      <c r="K281" s="142" t="s">
        <v>4171</v>
      </c>
      <c r="L281" s="156"/>
      <c r="M281" s="2546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6" cm="1">
        <f t="array" ref="F282">INDEX('6층_부하량'!E3:E3000,MATCH(1,("6-DaHall 1-PDU-03"='6층_부하량'!A3:A3000)*(41='6층_부하량'!B3:B3000),0))</f>
        <v>0</v>
      </c>
      <c r="G282" s="156"/>
      <c r="H282" s="142" t="s">
        <v>4171</v>
      </c>
      <c r="I282" s="1434" t="s">
        <v>4628</v>
      </c>
      <c r="J282" s="150" t="s">
        <v>4416</v>
      </c>
      <c r="K282" s="142" t="s">
        <v>4171</v>
      </c>
      <c r="L282" s="156"/>
      <c r="M282" s="156"/>
      <c r="N282" s="2546" cm="1">
        <f t="array" ref="N282">INDEX('6층_부하량'!E3:E3000,MATCH(1,("6-DaHall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6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4" t="s">
        <v>4418</v>
      </c>
      <c r="J283" s="150" t="s">
        <v>4419</v>
      </c>
      <c r="K283" s="142" t="s">
        <v>4171</v>
      </c>
      <c r="L283" s="2546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6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4171</v>
      </c>
      <c r="I284" s="1434" t="s">
        <v>4420</v>
      </c>
      <c r="J284" s="150" t="s">
        <v>4421</v>
      </c>
      <c r="K284" s="142" t="s">
        <v>4171</v>
      </c>
      <c r="L284" s="156"/>
      <c r="M284" s="2546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6" cm="1">
        <f t="array" ref="F285">INDEX('6층_부하량'!E3:E3000,MATCH(1,("6-DaHall 1-PDU-03"='6층_부하량'!A3:A3000)*(47='6층_부하량'!B3:B3000),0))</f>
        <v>0</v>
      </c>
      <c r="G285" s="156"/>
      <c r="H285" s="142" t="s">
        <v>4171</v>
      </c>
      <c r="I285" s="1434" t="s">
        <v>4422</v>
      </c>
      <c r="J285" s="150" t="s">
        <v>4423</v>
      </c>
      <c r="K285" s="142" t="s">
        <v>4171</v>
      </c>
      <c r="L285" s="156"/>
      <c r="M285" s="156"/>
      <c r="N285" s="2546" cm="1">
        <f t="array" ref="N285">INDEX('6층_부하량'!E3:E3000,MATCH(1,("6-DaHall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9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3" t="s">
        <v>4424</v>
      </c>
      <c r="J286" s="1445" t="s">
        <v>4425</v>
      </c>
      <c r="K286" s="165" t="s">
        <v>4171</v>
      </c>
      <c r="L286" s="2549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9.8000000000000007</v>
      </c>
      <c r="M287" s="127">
        <f>SUM(E262:E286,M262:M286)</f>
        <v>9.02</v>
      </c>
      <c r="N287" s="127">
        <f>SUM(F262:F286,N262:N286)</f>
        <v>4.0299999999999994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818" t="s">
        <v>4970</v>
      </c>
      <c r="D289" s="3818"/>
      <c r="E289" s="3818"/>
      <c r="F289" s="172"/>
      <c r="G289" s="172"/>
      <c r="H289" s="132"/>
      <c r="I289" s="3823" t="s">
        <v>4636</v>
      </c>
      <c r="J289" s="382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4136</v>
      </c>
      <c r="L290" s="1342">
        <v>18.600000000000001</v>
      </c>
      <c r="M290" s="1343">
        <v>29.1</v>
      </c>
      <c r="N290" s="1344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4" cm="1">
        <f t="array" ref="D292">INDEX('6층_부하량'!C3:C3000,MATCH(1,("6-DaHall 1-PDU-04"='6층_부하량'!A3:A3000)*(1='6층_부하량'!B3:B3000),0))</f>
        <v>2.17</v>
      </c>
      <c r="E292" s="143"/>
      <c r="F292" s="143"/>
      <c r="G292" s="143"/>
      <c r="H292" s="141" t="s">
        <v>4171</v>
      </c>
      <c r="I292" s="1432" t="s">
        <v>4206</v>
      </c>
      <c r="J292" s="1439" t="s">
        <v>4152</v>
      </c>
      <c r="K292" s="141" t="s">
        <v>4171</v>
      </c>
      <c r="L292" s="2544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5" cm="1">
        <f t="array" ref="E293">INDEX('6층_부하량'!D3:D3000,MATCH(1,("6-DaHall 1-PDU-04"='6층_부하량'!A3:A3000)*(3='6층_부하량'!B3:B3000),0))</f>
        <v>2.83</v>
      </c>
      <c r="F293" s="148"/>
      <c r="G293" s="148"/>
      <c r="H293" s="142" t="s">
        <v>4171</v>
      </c>
      <c r="I293" s="1428" t="s">
        <v>4211</v>
      </c>
      <c r="J293" s="1426" t="s">
        <v>4157</v>
      </c>
      <c r="K293" s="142" t="s">
        <v>4171</v>
      </c>
      <c r="L293" s="148"/>
      <c r="M293" s="2545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6" cm="1">
        <f t="array" ref="F294">INDEX('6층_부하량'!E3:E3000,MATCH(1,("6-DaHall 1-PDU-04"='6층_부하량'!A3:A3000)*(5='6층_부하량'!B3:B3000),0))</f>
        <v>0.83</v>
      </c>
      <c r="G294" s="156"/>
      <c r="H294" s="142" t="s">
        <v>4171</v>
      </c>
      <c r="I294" s="1434" t="s">
        <v>4214</v>
      </c>
      <c r="J294" s="1423" t="s">
        <v>4162</v>
      </c>
      <c r="K294" s="142" t="s">
        <v>4171</v>
      </c>
      <c r="L294" s="156"/>
      <c r="M294" s="156"/>
      <c r="N294" s="2546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6" cm="1">
        <f t="array" ref="D295">INDEX('6층_부하량'!C3:C3000,MATCH(1,("6-DaHall 1-PDU-04"='6층_부하량'!A3:A3000)*(7='6층_부하량'!B3:B3000),0))</f>
        <v>3.96</v>
      </c>
      <c r="E295" s="156"/>
      <c r="F295" s="156"/>
      <c r="G295" s="156"/>
      <c r="H295" s="142" t="s">
        <v>4171</v>
      </c>
      <c r="I295" s="1434" t="s">
        <v>4218</v>
      </c>
      <c r="J295" s="1423" t="s">
        <v>4167</v>
      </c>
      <c r="K295" s="142" t="s">
        <v>4171</v>
      </c>
      <c r="L295" s="2546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6" cm="1">
        <f t="array" ref="E296">INDEX('6층_부하량'!D3:D3000,MATCH(1,("6-DaHall 1-PDU-04"='6층_부하량'!A3:A3000)*(9='6층_부하량'!B3:B3000),0))</f>
        <v>3.24</v>
      </c>
      <c r="F296" s="156"/>
      <c r="G296" s="156"/>
      <c r="H296" s="142" t="s">
        <v>4171</v>
      </c>
      <c r="I296" s="1434" t="s">
        <v>4221</v>
      </c>
      <c r="J296" s="1423" t="s">
        <v>4170</v>
      </c>
      <c r="K296" s="142" t="s">
        <v>4171</v>
      </c>
      <c r="L296" s="156"/>
      <c r="M296" s="2546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6" cm="1">
        <f t="array" ref="F297">INDEX('6층_부하량'!E3:E3000,MATCH(1,("6-DaHall 1-PDU-04"='6층_부하량'!A3:A3000)*(11='6층_부하량'!B3:B3000),0))</f>
        <v>1.8599999999999999</v>
      </c>
      <c r="G297" s="156" t="s">
        <v>4939</v>
      </c>
      <c r="H297" s="142" t="s">
        <v>4171</v>
      </c>
      <c r="I297" s="1434" t="s">
        <v>4226</v>
      </c>
      <c r="J297" s="1423" t="s">
        <v>4173</v>
      </c>
      <c r="K297" s="142" t="s">
        <v>4171</v>
      </c>
      <c r="L297" s="156"/>
      <c r="M297" s="156"/>
      <c r="N297" s="2546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6" cm="1">
        <f t="array" ref="D298">INDEX('6층_부하량'!C3:C3000,MATCH(1,("6-DaHall 1-PDU-04"='6층_부하량'!A3:A3000)*(13='6층_부하량'!B3:B3000),0))</f>
        <v>1.55</v>
      </c>
      <c r="E298" s="156"/>
      <c r="F298" s="156"/>
      <c r="G298" s="156"/>
      <c r="H298" s="142" t="s">
        <v>4171</v>
      </c>
      <c r="I298" s="1434" t="s">
        <v>4230</v>
      </c>
      <c r="J298" s="1423" t="s">
        <v>4175</v>
      </c>
      <c r="K298" s="142" t="s">
        <v>4171</v>
      </c>
      <c r="L298" s="2546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6" cm="1">
        <f t="array" ref="E299">INDEX('6층_부하량'!D3:D3000,MATCH(1,("6-DaHall 1-PDU-04"='6층_부하량'!A3:A3000)*(15='6층_부하량'!B3:B3000),0))</f>
        <v>3.59</v>
      </c>
      <c r="F299" s="156"/>
      <c r="G299" s="156"/>
      <c r="H299" s="142" t="s">
        <v>4171</v>
      </c>
      <c r="I299" s="1434" t="s">
        <v>4234</v>
      </c>
      <c r="J299" s="150" t="s">
        <v>4177</v>
      </c>
      <c r="K299" s="142" t="s">
        <v>4171</v>
      </c>
      <c r="L299" s="156"/>
      <c r="M299" s="2546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51" cm="1">
        <f t="array" ref="F300">INDEX('6층_부하량'!E3:E3000,MATCH(1,("6-DaHall 1-PDU-04"='6층_부하량'!A3:A3000)*(17='6층_부하량'!B3:B3000),0))</f>
        <v>1.8</v>
      </c>
      <c r="G300" s="159"/>
      <c r="H300" s="158" t="s">
        <v>4171</v>
      </c>
      <c r="I300" s="1441" t="s">
        <v>4238</v>
      </c>
      <c r="J300" s="191" t="s">
        <v>4179</v>
      </c>
      <c r="K300" s="158" t="s">
        <v>4171</v>
      </c>
      <c r="L300" s="176"/>
      <c r="M300" s="176"/>
      <c r="N300" s="2551" cm="1">
        <f t="array" ref="N300">INDEX('6층_부하량'!E3:E3000,MATCH(1,("6-DaHall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8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2" t="s">
        <v>4243</v>
      </c>
      <c r="J301" s="1444" t="s">
        <v>4183</v>
      </c>
      <c r="K301" s="141" t="s">
        <v>4171</v>
      </c>
      <c r="L301" s="2548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6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4171</v>
      </c>
      <c r="I302" s="1433" t="s">
        <v>4247</v>
      </c>
      <c r="J302" s="180" t="s">
        <v>4187</v>
      </c>
      <c r="K302" s="155" t="s">
        <v>4171</v>
      </c>
      <c r="L302" s="156"/>
      <c r="M302" s="2546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6" cm="1">
        <f t="array" ref="F303">INDEX('6층_부하량'!E3:E3000,MATCH(1,("6-DaHall 1-PDU-04"='6층_부하량'!A3:A3000)*(23='6층_부하량'!B3:B3000),0))</f>
        <v>0</v>
      </c>
      <c r="G303" s="156"/>
      <c r="H303" s="142" t="s">
        <v>4171</v>
      </c>
      <c r="I303" s="1434" t="s">
        <v>4251</v>
      </c>
      <c r="J303" s="150" t="s">
        <v>4253</v>
      </c>
      <c r="K303" s="142" t="s">
        <v>4171</v>
      </c>
      <c r="L303" s="156"/>
      <c r="M303" s="156"/>
      <c r="N303" s="2546" cm="1">
        <f t="array" ref="N303">INDEX('6층_부하량'!E3:E3000,MATCH(1,("6-DaHall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6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4" t="s">
        <v>4256</v>
      </c>
      <c r="J304" s="150" t="s">
        <v>4258</v>
      </c>
      <c r="K304" s="142" t="s">
        <v>4171</v>
      </c>
      <c r="L304" s="2546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6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4171</v>
      </c>
      <c r="I305" s="1434" t="s">
        <v>4261</v>
      </c>
      <c r="J305" s="150" t="s">
        <v>4262</v>
      </c>
      <c r="K305" s="142" t="s">
        <v>4171</v>
      </c>
      <c r="L305" s="156"/>
      <c r="M305" s="2546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6" cm="1">
        <f t="array" ref="F306">INDEX('6층_부하량'!E3:E3000,MATCH(1,("6-DaHall 1-PDU-04"='6층_부하량'!A3:A3000)*(29='6층_부하량'!B3:B3000),0))</f>
        <v>0</v>
      </c>
      <c r="G306" s="156"/>
      <c r="H306" s="142" t="s">
        <v>4171</v>
      </c>
      <c r="I306" s="1434" t="s">
        <v>4264</v>
      </c>
      <c r="J306" s="150" t="s">
        <v>4265</v>
      </c>
      <c r="K306" s="142" t="s">
        <v>4171</v>
      </c>
      <c r="L306" s="156"/>
      <c r="M306" s="156"/>
      <c r="N306" s="2546" cm="1">
        <f t="array" ref="N306">INDEX('6층_부하량'!E3:E3000,MATCH(1,("6-DaHall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6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4" t="s">
        <v>4266</v>
      </c>
      <c r="J307" s="150" t="s">
        <v>4267</v>
      </c>
      <c r="K307" s="142" t="s">
        <v>4171</v>
      </c>
      <c r="L307" s="2546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6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6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6" cm="1">
        <f t="array" ref="F309">INDEX('6층_부하량'!E3:E3000,MATCH(1,("6-DaHall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6" cm="1">
        <f t="array" ref="N309">INDEX('6층_부하량'!E3:E3000,MATCH(1,("6-DaHall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6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4" t="s">
        <v>4279</v>
      </c>
      <c r="J310" s="154" t="s">
        <v>4280</v>
      </c>
      <c r="K310" s="142" t="s">
        <v>4171</v>
      </c>
      <c r="L310" s="2546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6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4171</v>
      </c>
      <c r="I311" s="1434" t="s">
        <v>4283</v>
      </c>
      <c r="J311" s="150" t="s">
        <v>4284</v>
      </c>
      <c r="K311" s="142" t="s">
        <v>4171</v>
      </c>
      <c r="L311" s="156"/>
      <c r="M311" s="2546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6" cm="1">
        <f t="array" ref="F312">INDEX('6층_부하량'!E3:E3000,MATCH(1,("6-DaHall 1-PDU-04"='6층_부하량'!A3:A3000)*(41='6층_부하량'!B3:B3000),0))</f>
        <v>0</v>
      </c>
      <c r="G312" s="156"/>
      <c r="H312" s="142" t="s">
        <v>4171</v>
      </c>
      <c r="I312" s="1434" t="s">
        <v>4628</v>
      </c>
      <c r="J312" s="150" t="s">
        <v>4416</v>
      </c>
      <c r="K312" s="142" t="s">
        <v>4171</v>
      </c>
      <c r="L312" s="156"/>
      <c r="M312" s="156"/>
      <c r="N312" s="2546" cm="1">
        <f t="array" ref="N312">INDEX('6층_부하량'!E3:E3000,MATCH(1,("6-DaHall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6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4" t="s">
        <v>4418</v>
      </c>
      <c r="J313" s="150" t="s">
        <v>4419</v>
      </c>
      <c r="K313" s="142" t="s">
        <v>4171</v>
      </c>
      <c r="L313" s="2546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6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4171</v>
      </c>
      <c r="I314" s="1434" t="s">
        <v>4420</v>
      </c>
      <c r="J314" s="150" t="s">
        <v>4421</v>
      </c>
      <c r="K314" s="142" t="s">
        <v>4171</v>
      </c>
      <c r="L314" s="156"/>
      <c r="M314" s="2546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6" cm="1">
        <f t="array" ref="F315">INDEX('6층_부하량'!E3:E3000,MATCH(1,("6-DaHall 1-PDU-04"='6층_부하량'!A3:A3000)*(47='6층_부하량'!B3:B3000),0))</f>
        <v>0</v>
      </c>
      <c r="G315" s="156"/>
      <c r="H315" s="142" t="s">
        <v>4171</v>
      </c>
      <c r="I315" s="1434" t="s">
        <v>4422</v>
      </c>
      <c r="J315" s="150" t="s">
        <v>4423</v>
      </c>
      <c r="K315" s="142" t="s">
        <v>4171</v>
      </c>
      <c r="L315" s="156"/>
      <c r="M315" s="156"/>
      <c r="N315" s="2546" cm="1">
        <f t="array" ref="N315">INDEX('6층_부하량'!E3:E3000,MATCH(1,("6-DaHall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9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5" t="s">
        <v>4424</v>
      </c>
      <c r="J316" s="1445" t="s">
        <v>4425</v>
      </c>
      <c r="K316" s="165" t="s">
        <v>4171</v>
      </c>
      <c r="L316" s="2549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7.68</v>
      </c>
      <c r="M317" s="127">
        <f>SUM(E292:E316,M292:M316)</f>
        <v>9.66</v>
      </c>
      <c r="N317" s="127">
        <f>SUM(F292:F316,N292:N316)</f>
        <v>4.49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818" t="s">
        <v>5011</v>
      </c>
      <c r="D319" s="3818"/>
      <c r="E319" s="3818"/>
      <c r="F319" s="172"/>
      <c r="G319" s="172"/>
      <c r="H319" s="132"/>
      <c r="I319" s="3823" t="s">
        <v>4288</v>
      </c>
      <c r="J319" s="382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4136</v>
      </c>
      <c r="L320" s="1342">
        <v>19.5</v>
      </c>
      <c r="M320" s="1343">
        <v>43.6</v>
      </c>
      <c r="N320" s="1344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4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4" cm="1">
        <f t="array" ref="M322">INDEX('6층_부하량'!D3:D3000,MATCH(1,("6-DaHall 1-PDU-05"='6층_부하량'!A3:A3000)*(2='6층_부하량'!B3:B3000),0))</f>
        <v>10.31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5" cm="1">
        <f t="array" ref="F323">INDEX('6층_부하량'!E3:E3000,MATCH(1,("6-DaHall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5" cm="1">
        <f t="array" ref="N323">INDEX('6층_부하량'!E3:E3000,MATCH(1,("6-DaHall 1-PDU-05"='6층_부하량'!A3:A3000)*(4='6층_부하량'!B3:B3000),0))</f>
        <v>4.99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6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4" t="s">
        <v>4214</v>
      </c>
      <c r="J324" s="150" t="s">
        <v>4162</v>
      </c>
      <c r="K324" s="142" t="s">
        <v>4171</v>
      </c>
      <c r="L324" s="2546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6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6" cm="1">
        <f t="array" ref="M325">INDEX('6층_부하량'!D3:D3000,MATCH(1,("6-DaHall 1-PDU-05"='6층_부하량'!A3:A3000)*(8='6층_부하량'!B3:B3000),0))</f>
        <v>2.39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6" cm="1">
        <f t="array" ref="F326">INDEX('6층_부하량'!E3:E3000,MATCH(1,("6-DaHall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6" cm="1">
        <f t="array" ref="N326">INDEX('6층_부하량'!E3:E3000,MATCH(1,("6-DaHall 1-PDU-05"='6층_부하량'!A3:A3000)*(10='6층_부하량'!B3:B3000),0))</f>
        <v>0.81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6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6" cm="1">
        <f t="array" ref="L327">INDEX('6층_부하량'!C3:C3000,MATCH(1,("6-DaHall 1-PDU-05"='6층_부하량'!A3:A3000)*(12='6층_부하량'!B3:B3000),0))</f>
        <v>1.37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6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6" cm="1">
        <f t="array" ref="M328">INDEX('6층_부하량'!D3:D3000,MATCH(1,("6-DaHall 1-PDU-05"='6층_부하량'!A3:A3000)*(14='6층_부하량'!B3:B3000),0))</f>
        <v>4.7300000000000004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6" cm="1">
        <f t="array" ref="F329">INDEX('6층_부하량'!E3:E3000,MATCH(1,("6-DaHall 1-PDU-05"='6층_부하량'!A3:A3000)*(15='6층_부하량'!B3:B3000),0))</f>
        <v>3.54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6" cm="1">
        <f t="array" ref="N329">INDEX('6층_부하량'!E3:E3000,MATCH(1,("6-DaHall 1-PDU-05"='6층_부하량'!A3:A3000)*(16='6층_부하량'!B3:B3000),0))</f>
        <v>3.19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6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4171</v>
      </c>
      <c r="I330" s="149" t="s">
        <v>4238</v>
      </c>
      <c r="J330" s="1423" t="s">
        <v>4179</v>
      </c>
      <c r="K330" s="142" t="s">
        <v>4171</v>
      </c>
      <c r="L330" s="2546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6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6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6" cm="1">
        <f t="array" ref="F332">INDEX('6층_부하량'!E3:E3000,MATCH(1,("6-DaHall 1-PDU-05"='6층_부하량'!A3:A3000)*(21='6층_부하량'!B3:B3000),0))</f>
        <v>0</v>
      </c>
      <c r="G332" s="156"/>
      <c r="H332" s="142" t="s">
        <v>4171</v>
      </c>
      <c r="I332" s="1434" t="s">
        <v>4247</v>
      </c>
      <c r="J332" s="150" t="s">
        <v>4187</v>
      </c>
      <c r="K332" s="142" t="s">
        <v>4171</v>
      </c>
      <c r="L332" s="156"/>
      <c r="M332" s="156"/>
      <c r="N332" s="2546" cm="1">
        <f t="array" ref="N332">INDEX('6층_부하량'!E3:E3000,MATCH(1,("6-DaHall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8" t="s">
        <v>5034</v>
      </c>
      <c r="B333" s="142" t="s">
        <v>4208</v>
      </c>
      <c r="C333" s="163" t="s">
        <v>4149</v>
      </c>
      <c r="D333" s="2546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6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6" cm="1">
        <f t="array" ref="E334">INDEX('6층_부하량'!D3:D3000,MATCH(1,("6-DaHall 1-PDU-05"='6층_부하량'!A3:A3000)*(25='6층_부하량'!B3:B3000),0))</f>
        <v>2.33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6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51" cm="1">
        <f t="array" ref="F335">INDEX('6층_부하량'!E3:E3000,MATCH(1,("6-DaHall 1-PDU-05"='6층_부하량'!A3:A3000)*(27='6층_부하량'!B3:B3000),0))</f>
        <v>2.04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51" cm="1">
        <f t="array" ref="N335">INDEX('6층_부하량'!E3:E3000,MATCH(1,("6-DaHall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8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8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6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6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6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6" cm="1">
        <f t="array" ref="N338">INDEX('6층_부하량'!E3:E3000,MATCH(1,("6-DaHall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6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6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4" cm="1">
        <f t="array" ref="E340">INDEX('6층_부하량'!D3:D3000,MATCH(1,("6-DaHall 1-PDU-05"='6층_부하량'!A3:A3000)*(37='6층_부하량'!B3:B3000),0))</f>
        <v>2.0099999999999998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4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6" cm="1">
        <f t="array" ref="F341">INDEX('6층_부하량'!E3:E3000,MATCH(1,("6-DaHall 1-PDU-05"='6층_부하량'!A3:A3000)*(39='6층_부하량'!B3:B3000),0))</f>
        <v>2.08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6" cm="1">
        <f t="array" ref="N341">INDEX('6층_부하량'!E3:E3000,MATCH(1,("6-DaHall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6" cm="1">
        <f t="array" ref="D342">INDEX('6층_부하량'!C3:C3000,MATCH(1,("6-DaHall 1-PDU-05"='6층_부하량'!A3:A3000)*(41='6층_부하량'!B3:B3000),0))</f>
        <v>1.29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6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6" cm="1">
        <f t="array" ref="E343">INDEX('6층_부하량'!D3:D3000,MATCH(1,("6-DaHall 1-PDU-05"='6층_부하량'!A3:A3000)*(43='6층_부하량'!B3:B3000),0))</f>
        <v>5.63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6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6" cm="1">
        <f t="array" ref="F344">INDEX('6층_부하량'!E3:E3000,MATCH(1,("6-DaHall 1-PDU-05"='6층_부하량'!A3:A3000)*(45='6층_부하량'!B3:B3000),0))</f>
        <v>4.29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6" cm="1">
        <f t="array" ref="N344">INDEX('6층_부하량'!E3:E3000,MATCH(1,("6-DaHall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4" cm="1">
        <f t="array" ref="D345">INDEX('6층_부하량'!C3:C3000,MATCH(1,("6-DaHall 1-PDU-05"='6층_부하량'!A3:A3000)*(47='6층_부하량'!B3:B3000),0))</f>
        <v>2.93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4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6" cm="1">
        <f t="array" ref="E346">INDEX('6층_부하량'!D3:D3000,MATCH(1,("6-DaHall 1-PDU-05"='6층_부하량'!A3:A3000)*(49='6층_부하량'!B3:B3000),0))</f>
        <v>7.44</v>
      </c>
      <c r="F346" s="156"/>
      <c r="G346" s="156"/>
      <c r="H346" s="142" t="s">
        <v>4171</v>
      </c>
      <c r="I346" s="291" t="s">
        <v>4424</v>
      </c>
      <c r="J346" s="1426" t="s">
        <v>4425</v>
      </c>
      <c r="K346" s="142" t="s">
        <v>4171</v>
      </c>
      <c r="L346" s="156"/>
      <c r="M346" s="2546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4" cm="1">
        <f t="array" ref="F347">INDEX('6층_부하량'!E3:E3000,MATCH(1,("6-DaHall 1-PDU-05"='6층_부하량'!A3:A3000)*(51='6층_부하량'!B3:B3000),0))</f>
        <v>2.04</v>
      </c>
      <c r="G347" s="156"/>
      <c r="H347" s="142" t="s">
        <v>4171</v>
      </c>
      <c r="I347" s="291" t="s">
        <v>4364</v>
      </c>
      <c r="J347" s="1423" t="s">
        <v>4366</v>
      </c>
      <c r="K347" s="142" t="s">
        <v>4171</v>
      </c>
      <c r="L347" s="156"/>
      <c r="M347" s="156"/>
      <c r="N347" s="2554" cm="1">
        <f t="array" ref="N347">INDEX('6층_부하량'!E3:E3000,MATCH(1,("6-DaHall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8" cm="1">
        <f t="array" ref="D348">INDEX('6층_부하량'!C3:C3000,MATCH(1,("6-DaHall 1-PDU-05"='6층_부하량'!A3:A3000)*(53='6층_부하량'!B3:B3000),0))</f>
        <v>2.4900000000000002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8" cm="1">
        <f t="array" ref="L348">INDEX('6층_부하량'!C3:C3000,MATCH(1,("6-DaHall 1-PDU-05"='6층_부하량'!A3:A3000)*(54='6층_부하량'!B3:B3000),0))</f>
        <v>4.1399999999999997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16.170000000000002</v>
      </c>
      <c r="M349" s="130">
        <f>SUM(E322:E348,M322:M348)</f>
        <v>38.350000000000009</v>
      </c>
      <c r="N349" s="130">
        <f>SUM(F322:F348,N322:N348)</f>
        <v>24.089999999999996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818" t="s">
        <v>5066</v>
      </c>
      <c r="D351" s="3818"/>
      <c r="E351" s="3818"/>
      <c r="F351" s="172"/>
      <c r="G351" s="172"/>
      <c r="H351" s="132"/>
      <c r="I351" s="3823" t="s">
        <v>4288</v>
      </c>
      <c r="J351" s="382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4136</v>
      </c>
      <c r="L352" s="1342">
        <v>12.5</v>
      </c>
      <c r="M352" s="1343">
        <v>37.1</v>
      </c>
      <c r="N352" s="1344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4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4" cm="1">
        <f t="array" ref="M354">INDEX('6층_부하량'!D3:D3000,MATCH(1,("6-DaHall 1-PDU-06"='6층_부하량'!A3:A3000)*(2='6층_부하량'!B3:B3000),0))</f>
        <v>9.2799999999999994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5" cm="1">
        <f t="array" ref="F355">INDEX('6층_부하량'!E3:E3000,MATCH(1,("6-DaHall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5" cm="1">
        <f t="array" ref="N355">INDEX('6층_부하량'!E3:E3000,MATCH(1,("6-DaHall 1-PDU-06"='6층_부하량'!A3:A3000)*(4='6층_부하량'!B3:B3000),0))</f>
        <v>3.87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6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8" t="s">
        <v>4214</v>
      </c>
      <c r="J356" s="150" t="s">
        <v>4162</v>
      </c>
      <c r="K356" s="142" t="s">
        <v>4171</v>
      </c>
      <c r="L356" s="2546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6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6" cm="1">
        <f t="array" ref="M357">INDEX('6층_부하량'!D3:D3000,MATCH(1,("6-DaHall 1-PDU-06"='6층_부하량'!A3:A3000)*(8='6층_부하량'!B3:B3000),0))</f>
        <v>3.08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6" cm="1">
        <f t="array" ref="F358">INDEX('6층_부하량'!E3:E3000,MATCH(1,("6-DaHall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6" cm="1">
        <f t="array" ref="N358">INDEX('6층_부하량'!E3:E3000,MATCH(1,("6-DaHall 1-PDU-06"='6층_부하량'!A3:A3000)*(10='6층_부하량'!B3:B3000),0))</f>
        <v>0.53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6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6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6" cm="1">
        <f t="array" ref="E360">INDEX('6층_부하량'!D3:D3000,MATCH(1,("6-DaHall 1-PDU-06"='6층_부하량'!A3:A3000)*(13='6층_부하량'!B3:B3000),0))</f>
        <v>3.49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6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6" cm="1">
        <f t="array" ref="F361">INDEX('6층_부하량'!E3:E3000,MATCH(1,("6-DaHall 1-PDU-06"='6층_부하량'!A3:A3000)*(15='6층_부하량'!B3:B3000),0))</f>
        <v>3.11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6" cm="1">
        <f t="array" ref="N361">INDEX('6층_부하량'!E3:E3000,MATCH(1,("6-DaHall 1-PDU-06"='6층_부하량'!A3:A3000)*(16='6층_부하량'!B3:B3000),0))</f>
        <v>3.81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6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4171</v>
      </c>
      <c r="I362" s="149" t="s">
        <v>4238</v>
      </c>
      <c r="J362" s="1423" t="s">
        <v>4179</v>
      </c>
      <c r="K362" s="142" t="s">
        <v>4171</v>
      </c>
      <c r="L362" s="2546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6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6" t="s">
        <v>4183</v>
      </c>
      <c r="K363" s="142" t="s">
        <v>4171</v>
      </c>
      <c r="L363" s="156"/>
      <c r="M363" s="2546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6" cm="1">
        <f t="array" ref="F364">INDEX('6층_부하량'!E3:E3000,MATCH(1,("6-DaHall 1-PDU-06"='6층_부하량'!A3:A3000)*(21='6층_부하량'!B3:B3000),0))</f>
        <v>0</v>
      </c>
      <c r="G364" s="156"/>
      <c r="H364" s="142" t="s">
        <v>4171</v>
      </c>
      <c r="I364" s="1428" t="s">
        <v>4247</v>
      </c>
      <c r="J364" s="1426" t="s">
        <v>4187</v>
      </c>
      <c r="K364" s="142" t="s">
        <v>4171</v>
      </c>
      <c r="L364" s="156"/>
      <c r="M364" s="156"/>
      <c r="N364" s="2546" cm="1">
        <f t="array" ref="N364">INDEX('6층_부하량'!E3:E3000,MATCH(1,("6-DaHall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8" t="s">
        <v>5088</v>
      </c>
      <c r="B365" s="142" t="s">
        <v>4208</v>
      </c>
      <c r="C365" s="163" t="s">
        <v>4149</v>
      </c>
      <c r="D365" s="2546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6" t="s">
        <v>4253</v>
      </c>
      <c r="K365" s="142" t="s">
        <v>4171</v>
      </c>
      <c r="L365" s="2546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6" cm="1">
        <f t="array" ref="E366">INDEX('6층_부하량'!D3:D3000,MATCH(1,("6-DaHall 1-PDU-06"='6층_부하량'!A3:A3000)*(25='6층_부하량'!B3:B3000),0))</f>
        <v>3.5</v>
      </c>
      <c r="F366" s="156"/>
      <c r="G366" s="156"/>
      <c r="H366" s="142" t="s">
        <v>4171</v>
      </c>
      <c r="I366" s="149" t="s">
        <v>4256</v>
      </c>
      <c r="J366" s="1426" t="s">
        <v>4258</v>
      </c>
      <c r="K366" s="142" t="s">
        <v>4171</v>
      </c>
      <c r="L366" s="156"/>
      <c r="M366" s="2546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51" cm="1">
        <f t="array" ref="F367">INDEX('6층_부하량'!E3:E3000,MATCH(1,("6-DaHall 1-PDU-06"='6층_부하량'!A3:A3000)*(27='6층_부하량'!B3:B3000),0))</f>
        <v>1.32</v>
      </c>
      <c r="G367" s="176"/>
      <c r="H367" s="175" t="s">
        <v>4171</v>
      </c>
      <c r="I367" s="185" t="s">
        <v>4261</v>
      </c>
      <c r="J367" s="1440" t="s">
        <v>4262</v>
      </c>
      <c r="K367" s="175" t="s">
        <v>4171</v>
      </c>
      <c r="L367" s="176"/>
      <c r="M367" s="176"/>
      <c r="N367" s="2551" cm="1">
        <f t="array" ref="N367">INDEX('6층_부하량'!E3:E3000,MATCH(1,("6-DaHall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8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7" t="s">
        <v>4265</v>
      </c>
      <c r="K368" s="155" t="s">
        <v>4171</v>
      </c>
      <c r="L368" s="2548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6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4171</v>
      </c>
      <c r="I369" s="149" t="s">
        <v>4266</v>
      </c>
      <c r="J369" s="1426" t="s">
        <v>4267</v>
      </c>
      <c r="K369" s="142" t="s">
        <v>4171</v>
      </c>
      <c r="L369" s="156"/>
      <c r="M369" s="2546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6" cm="1">
        <f t="array" ref="F370">INDEX('6층_부하량'!E3:E3000,MATCH(1,("6-DaHall 1-PDU-06"='6층_부하량'!A3:A3000)*(33='6층_부하량'!B3:B3000),0))</f>
        <v>1.18</v>
      </c>
      <c r="G370" s="156"/>
      <c r="H370" s="142" t="s">
        <v>4171</v>
      </c>
      <c r="I370" s="149" t="s">
        <v>4270</v>
      </c>
      <c r="J370" s="1426" t="s">
        <v>4271</v>
      </c>
      <c r="K370" s="142" t="s">
        <v>4171</v>
      </c>
      <c r="L370" s="156"/>
      <c r="M370" s="156"/>
      <c r="N370" s="2546" cm="1">
        <f t="array" ref="N370">INDEX('6층_부하량'!E3:E3000,MATCH(1,("6-DaHall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6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6" t="s">
        <v>4276</v>
      </c>
      <c r="K371" s="142" t="s">
        <v>4171</v>
      </c>
      <c r="L371" s="2546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4" cm="1">
        <f t="array" ref="E372">INDEX('6층_부하량'!D3:D3000,MATCH(1,("6-DaHall 1-PDU-06"='6층_부하량'!A3:A3000)*(37='6층_부하량'!B3:B3000),0))</f>
        <v>2.15</v>
      </c>
      <c r="F372" s="156"/>
      <c r="G372" s="156"/>
      <c r="H372" s="142" t="s">
        <v>4171</v>
      </c>
      <c r="I372" s="149" t="s">
        <v>4279</v>
      </c>
      <c r="J372" s="1426" t="s">
        <v>4280</v>
      </c>
      <c r="K372" s="142" t="s">
        <v>4171</v>
      </c>
      <c r="L372" s="156"/>
      <c r="M372" s="2554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6" cm="1">
        <f t="array" ref="F373">INDEX('6층_부하량'!E3:E3000,MATCH(1,("6-DaHall 1-PDU-06"='6층_부하량'!A3:A3000)*(39='6층_부하량'!B3:B3000),0))</f>
        <v>1.9</v>
      </c>
      <c r="G373" s="156"/>
      <c r="H373" s="142" t="s">
        <v>4171</v>
      </c>
      <c r="I373" s="291" t="s">
        <v>4283</v>
      </c>
      <c r="J373" s="1426" t="s">
        <v>4284</v>
      </c>
      <c r="K373" s="142" t="s">
        <v>4171</v>
      </c>
      <c r="L373" s="156"/>
      <c r="M373" s="156"/>
      <c r="N373" s="2546" cm="1">
        <f t="array" ref="N373">INDEX('6층_부하량'!E3:E3000,MATCH(1,("6-DaHall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6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4171</v>
      </c>
      <c r="I374" s="291" t="s">
        <v>4628</v>
      </c>
      <c r="J374" s="1426" t="s">
        <v>4416</v>
      </c>
      <c r="K374" s="142" t="s">
        <v>4171</v>
      </c>
      <c r="L374" s="2546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6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4171</v>
      </c>
      <c r="I375" s="291" t="s">
        <v>4418</v>
      </c>
      <c r="J375" s="1426" t="s">
        <v>4419</v>
      </c>
      <c r="K375" s="142" t="s">
        <v>4171</v>
      </c>
      <c r="L375" s="156"/>
      <c r="M375" s="2546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6" cm="1">
        <f t="array" ref="F376">INDEX('6층_부하량'!E3:E3000,MATCH(1,("6-DaHall 1-PDU-06"='6층_부하량'!A3:A3000)*(45='6층_부하량'!B3:B3000),0))</f>
        <v>4.41</v>
      </c>
      <c r="G376" s="156"/>
      <c r="H376" s="142" t="s">
        <v>4171</v>
      </c>
      <c r="I376" s="291" t="s">
        <v>4420</v>
      </c>
      <c r="J376" s="1426" t="s">
        <v>4421</v>
      </c>
      <c r="K376" s="142" t="s">
        <v>4171</v>
      </c>
      <c r="L376" s="156"/>
      <c r="M376" s="156"/>
      <c r="N376" s="2546" cm="1">
        <f t="array" ref="N376">INDEX('6층_부하량'!E3:E3000,MATCH(1,("6-DaHall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4" cm="1">
        <f t="array" ref="D377">INDEX('6층_부하량'!C3:C3000,MATCH(1,("6-DaHall 1-PDU-06"='6층_부하량'!A3:A3000)*(47='6층_부하량'!B3:B3000),0))</f>
        <v>2.67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4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6" cm="1">
        <f t="array" ref="E378">INDEX('6층_부하량'!D3:D3000,MATCH(1,("6-DaHall 1-PDU-06"='6층_부하량'!A3:A3000)*(49='6층_부하량'!B3:B3000),0))</f>
        <v>1.28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6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4" cm="1">
        <f t="array" ref="F379">INDEX('6층_부하량'!E3:E3000,MATCH(1,("6-DaHall 1-PDU-06"='6층_부하량'!A3:A3000)*(51='6층_부하량'!B3:B3000),0))</f>
        <v>2.56</v>
      </c>
      <c r="G379" s="156"/>
      <c r="H379" s="142" t="s">
        <v>4171</v>
      </c>
      <c r="I379" s="291" t="s">
        <v>4364</v>
      </c>
      <c r="J379" s="1423" t="s">
        <v>4366</v>
      </c>
      <c r="K379" s="142" t="s">
        <v>4171</v>
      </c>
      <c r="L379" s="156"/>
      <c r="M379" s="156"/>
      <c r="N379" s="2554" cm="1">
        <f t="array" ref="N379">INDEX('6층_부하량'!E3:E3000,MATCH(1,("6-DaHall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8" cm="1">
        <f t="array" ref="D380">INDEX('6층_부하량'!C3:C3000,MATCH(1,("6-DaHall 1-PDU-06"='6층_부하량'!A3:A3000)*(53='6층_부하량'!B3:B3000),0))</f>
        <v>0.55000000000000004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8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9.65</v>
      </c>
      <c r="M381" s="127">
        <f>SUM(E354:E380,M354:M380)</f>
        <v>31.11</v>
      </c>
      <c r="N381" s="127">
        <f>SUM(F354:F380,N354:N380)</f>
        <v>22.69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818" t="s">
        <v>5114</v>
      </c>
      <c r="D383" s="3818"/>
      <c r="E383" s="3818"/>
      <c r="F383" s="172"/>
      <c r="G383" s="172"/>
      <c r="H383" s="132"/>
      <c r="I383" s="3823" t="s">
        <v>4288</v>
      </c>
      <c r="J383" s="382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4136</v>
      </c>
      <c r="L384" s="1342">
        <v>0</v>
      </c>
      <c r="M384" s="1343">
        <v>0</v>
      </c>
      <c r="N384" s="1344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4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4171</v>
      </c>
      <c r="I386" s="1432" t="s">
        <v>4206</v>
      </c>
      <c r="J386" s="1439" t="s">
        <v>4152</v>
      </c>
      <c r="K386" s="141" t="s">
        <v>4171</v>
      </c>
      <c r="L386" s="143"/>
      <c r="M386" s="2544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5" cm="1">
        <f t="array" ref="F387">INDEX('6층_부하량'!E3:E3000,MATCH(1,("6-DaHall 1-PDU-07"='6층_부하량'!A3:A3000)*(3='6층_부하량'!B3:B3000),0))</f>
        <v>0</v>
      </c>
      <c r="G387" s="148"/>
      <c r="H387" s="142" t="s">
        <v>4171</v>
      </c>
      <c r="I387" s="1428" t="s">
        <v>4211</v>
      </c>
      <c r="J387" s="1426" t="s">
        <v>4157</v>
      </c>
      <c r="K387" s="142" t="s">
        <v>4171</v>
      </c>
      <c r="L387" s="148"/>
      <c r="M387" s="148"/>
      <c r="N387" s="2545" cm="1">
        <f t="array" ref="N387">INDEX('6층_부하량'!E3:E3000,MATCH(1,("6-DaHall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6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4" t="s">
        <v>4214</v>
      </c>
      <c r="J388" s="1423" t="s">
        <v>4162</v>
      </c>
      <c r="K388" s="142" t="s">
        <v>4171</v>
      </c>
      <c r="L388" s="2546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6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4171</v>
      </c>
      <c r="I389" s="1434" t="s">
        <v>4218</v>
      </c>
      <c r="J389" s="150" t="s">
        <v>4167</v>
      </c>
      <c r="K389" s="142" t="s">
        <v>4171</v>
      </c>
      <c r="L389" s="156"/>
      <c r="M389" s="2546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6" cm="1">
        <f t="array" ref="F390">INDEX('6층_부하량'!E3:E3000,MATCH(1,("6-DaHall 1-PDU-07"='6층_부하량'!A3:A3000)*(9='6층_부하량'!B3:B3000),0))</f>
        <v>0</v>
      </c>
      <c r="G390" s="156"/>
      <c r="H390" s="142" t="s">
        <v>4171</v>
      </c>
      <c r="I390" s="1434" t="s">
        <v>4221</v>
      </c>
      <c r="J390" s="150" t="s">
        <v>4170</v>
      </c>
      <c r="K390" s="142" t="s">
        <v>4171</v>
      </c>
      <c r="L390" s="156"/>
      <c r="M390" s="156"/>
      <c r="N390" s="2546" cm="1">
        <f t="array" ref="N390">INDEX('6층_부하량'!E3:E3000,MATCH(1,("6-DaHall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6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4" t="s">
        <v>4226</v>
      </c>
      <c r="J391" s="150" t="s">
        <v>4173</v>
      </c>
      <c r="K391" s="142" t="s">
        <v>4171</v>
      </c>
      <c r="L391" s="2546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6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4171</v>
      </c>
      <c r="I392" s="1434" t="s">
        <v>4230</v>
      </c>
      <c r="J392" s="150" t="s">
        <v>4175</v>
      </c>
      <c r="K392" s="142" t="s">
        <v>4171</v>
      </c>
      <c r="L392" s="156"/>
      <c r="M392" s="2546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6" cm="1">
        <f t="array" ref="F393">INDEX('6층_부하량'!E3:E3000,MATCH(1,("6-DaHall 1-PDU-07"='6층_부하량'!A3:A3000)*(15='6층_부하량'!B3:B3000),0))</f>
        <v>0</v>
      </c>
      <c r="G393" s="156"/>
      <c r="H393" s="142" t="s">
        <v>4171</v>
      </c>
      <c r="I393" s="1434" t="s">
        <v>4234</v>
      </c>
      <c r="J393" s="1423" t="s">
        <v>4177</v>
      </c>
      <c r="K393" s="142" t="s">
        <v>4171</v>
      </c>
      <c r="L393" s="156"/>
      <c r="M393" s="156"/>
      <c r="N393" s="2546" cm="1">
        <f t="array" ref="N393">INDEX('6층_부하량'!E3:E3000,MATCH(1,("6-DaHall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6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4" t="s">
        <v>4238</v>
      </c>
      <c r="J394" s="1423" t="s">
        <v>4179</v>
      </c>
      <c r="K394" s="142" t="s">
        <v>4171</v>
      </c>
      <c r="L394" s="2546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6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4171</v>
      </c>
      <c r="I395" s="1434" t="s">
        <v>4243</v>
      </c>
      <c r="J395" s="1423" t="s">
        <v>4183</v>
      </c>
      <c r="K395" s="142" t="s">
        <v>4171</v>
      </c>
      <c r="L395" s="156"/>
      <c r="M395" s="2546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6" cm="1">
        <f t="array" ref="F396">INDEX('6층_부하량'!E3:E3000,MATCH(1,("6-DaHall 1-PDU-07"='6층_부하량'!A3:A3000)*(21='6층_부하량'!B3:B3000),0))</f>
        <v>0</v>
      </c>
      <c r="G396" s="156"/>
      <c r="H396" s="142" t="s">
        <v>4171</v>
      </c>
      <c r="I396" s="1434" t="s">
        <v>4247</v>
      </c>
      <c r="J396" s="150" t="s">
        <v>4187</v>
      </c>
      <c r="K396" s="142" t="s">
        <v>4171</v>
      </c>
      <c r="L396" s="156"/>
      <c r="M396" s="156"/>
      <c r="N396" s="2546" cm="1">
        <f t="array" ref="N396">INDEX('6층_부하량'!E3:E3000,MATCH(1,("6-DaHall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6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4" t="s">
        <v>4251</v>
      </c>
      <c r="J397" s="150" t="s">
        <v>4253</v>
      </c>
      <c r="K397" s="142" t="s">
        <v>4171</v>
      </c>
      <c r="L397" s="2546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6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4171</v>
      </c>
      <c r="I398" s="1434" t="s">
        <v>4256</v>
      </c>
      <c r="J398" s="150" t="s">
        <v>4258</v>
      </c>
      <c r="K398" s="142" t="s">
        <v>4171</v>
      </c>
      <c r="L398" s="156"/>
      <c r="M398" s="2546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51" cm="1">
        <f t="array" ref="F399">INDEX('6층_부하량'!E3:E3000,MATCH(1,("6-DaHall 1-PDU-07"='6층_부하량'!A3:A3000)*(27='6층_부하량'!B3:B3000),0))</f>
        <v>0</v>
      </c>
      <c r="G399" s="176"/>
      <c r="H399" s="175" t="s">
        <v>4171</v>
      </c>
      <c r="I399" s="1446" t="s">
        <v>4261</v>
      </c>
      <c r="J399" s="186" t="s">
        <v>4262</v>
      </c>
      <c r="K399" s="175" t="s">
        <v>4171</v>
      </c>
      <c r="L399" s="176"/>
      <c r="M399" s="176"/>
      <c r="N399" s="2551" cm="1">
        <f t="array" ref="N399">INDEX('6층_부하량'!E3:E3000,MATCH(1,("6-DaHall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8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3" t="s">
        <v>4264</v>
      </c>
      <c r="J400" s="1425" t="s">
        <v>4265</v>
      </c>
      <c r="K400" s="155" t="s">
        <v>4171</v>
      </c>
      <c r="L400" s="2548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6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4171</v>
      </c>
      <c r="I401" s="1434" t="s">
        <v>4266</v>
      </c>
      <c r="J401" s="1423" t="s">
        <v>4267</v>
      </c>
      <c r="K401" s="142" t="s">
        <v>4171</v>
      </c>
      <c r="L401" s="156"/>
      <c r="M401" s="2546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6" cm="1">
        <f t="array" ref="F402">INDEX('6층_부하량'!E3:E3000,MATCH(1,("6-DaHall 1-PDU-07"='6층_부하량'!A3:A3000)*(33='6층_부하량'!B3:B3000),0))</f>
        <v>0</v>
      </c>
      <c r="G402" s="156"/>
      <c r="H402" s="142" t="s">
        <v>4171</v>
      </c>
      <c r="I402" s="1434" t="s">
        <v>4270</v>
      </c>
      <c r="J402" s="1423" t="s">
        <v>4271</v>
      </c>
      <c r="K402" s="142" t="s">
        <v>4171</v>
      </c>
      <c r="L402" s="156"/>
      <c r="M402" s="156"/>
      <c r="N402" s="2546" cm="1">
        <f t="array" ref="N402">INDEX('6층_부하량'!E3:E3000,MATCH(1,("6-DaHall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6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4" t="s">
        <v>4274</v>
      </c>
      <c r="J403" s="150" t="s">
        <v>4276</v>
      </c>
      <c r="K403" s="142" t="s">
        <v>4171</v>
      </c>
      <c r="L403" s="2546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4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4171</v>
      </c>
      <c r="I404" s="1434" t="s">
        <v>4279</v>
      </c>
      <c r="J404" s="150" t="s">
        <v>4280</v>
      </c>
      <c r="K404" s="142" t="s">
        <v>4171</v>
      </c>
      <c r="L404" s="156"/>
      <c r="M404" s="2554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6" cm="1">
        <f t="array" ref="F405">INDEX('6층_부하량'!E3:E3000,MATCH(1,("6-DaHall 1-PDU-07"='6층_부하량'!A3:A3000)*(39='6층_부하량'!B3:B3000),0))</f>
        <v>0</v>
      </c>
      <c r="G405" s="156"/>
      <c r="H405" s="142" t="s">
        <v>4171</v>
      </c>
      <c r="I405" s="1434" t="s">
        <v>4283</v>
      </c>
      <c r="J405" s="150" t="s">
        <v>4284</v>
      </c>
      <c r="K405" s="142" t="s">
        <v>4171</v>
      </c>
      <c r="L405" s="156"/>
      <c r="M405" s="156"/>
      <c r="N405" s="2546" cm="1">
        <f t="array" ref="N405">INDEX('6층_부하량'!E3:E3000,MATCH(1,("6-DaHall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6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6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6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6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6" cm="1">
        <f t="array" ref="F408">INDEX('6층_부하량'!E3:E3000,MATCH(1,("6-DaHall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6" cm="1">
        <f t="array" ref="N408">INDEX('6층_부하량'!E3:E3000,MATCH(1,("6-DaHall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4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4" t="s">
        <v>4422</v>
      </c>
      <c r="J409" s="1423" t="s">
        <v>4423</v>
      </c>
      <c r="K409" s="142" t="s">
        <v>4171</v>
      </c>
      <c r="L409" s="2554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6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3" t="s">
        <v>4425</v>
      </c>
      <c r="K410" s="142" t="s">
        <v>4171</v>
      </c>
      <c r="L410" s="156"/>
      <c r="M410" s="2546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4" cm="1">
        <f t="array" ref="F411">INDEX('6층_부하량'!E3:E3000,MATCH(1,("6-DaHall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3" t="s">
        <v>4366</v>
      </c>
      <c r="K411" s="142" t="s">
        <v>4171</v>
      </c>
      <c r="L411" s="156"/>
      <c r="M411" s="156"/>
      <c r="N411" s="2554" cm="1">
        <f t="array" ref="N411">INDEX('6층_부하량'!E3:E3000,MATCH(1,("6-DaHall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8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8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818" t="s">
        <v>5170</v>
      </c>
      <c r="D415" s="3818"/>
      <c r="E415" s="3818"/>
      <c r="F415" s="172"/>
      <c r="G415" s="172"/>
      <c r="H415" s="132"/>
      <c r="I415" s="3823" t="s">
        <v>4288</v>
      </c>
      <c r="J415" s="382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4136</v>
      </c>
      <c r="L416" s="1342">
        <v>0</v>
      </c>
      <c r="M416" s="1343">
        <v>0</v>
      </c>
      <c r="N416" s="1344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4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4171</v>
      </c>
      <c r="I418" s="1432" t="s">
        <v>4206</v>
      </c>
      <c r="J418" s="1439" t="s">
        <v>4152</v>
      </c>
      <c r="K418" s="141" t="s">
        <v>4171</v>
      </c>
      <c r="L418" s="143"/>
      <c r="M418" s="2544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5" cm="1">
        <f t="array" ref="F419">INDEX('6층_부하량'!E3:E3000,MATCH(1,("6-DaHall 1-PDU-08"='6층_부하량'!A3:A3000)*(3='6층_부하량'!B3:B3000),0))</f>
        <v>0</v>
      </c>
      <c r="G419" s="148"/>
      <c r="H419" s="142" t="s">
        <v>4171</v>
      </c>
      <c r="I419" s="1428" t="s">
        <v>4211</v>
      </c>
      <c r="J419" s="1426" t="s">
        <v>4157</v>
      </c>
      <c r="K419" s="142" t="s">
        <v>4171</v>
      </c>
      <c r="L419" s="148"/>
      <c r="M419" s="148"/>
      <c r="N419" s="2545" cm="1">
        <f t="array" ref="N419">INDEX('6층_부하량'!E3:E3000,MATCH(1,("6-DaHall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6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4" t="s">
        <v>4214</v>
      </c>
      <c r="J420" s="1423" t="s">
        <v>4162</v>
      </c>
      <c r="K420" s="142" t="s">
        <v>4171</v>
      </c>
      <c r="L420" s="2546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6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4171</v>
      </c>
      <c r="I421" s="1434" t="s">
        <v>4218</v>
      </c>
      <c r="J421" s="150" t="s">
        <v>4167</v>
      </c>
      <c r="K421" s="142" t="s">
        <v>4171</v>
      </c>
      <c r="L421" s="156"/>
      <c r="M421" s="2546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6" cm="1">
        <f t="array" ref="F422">INDEX('6층_부하량'!E3:E3000,MATCH(1,("6-DaHall 1-PDU-08"='6층_부하량'!A3:A3000)*(9='6층_부하량'!B3:B3000),0))</f>
        <v>0</v>
      </c>
      <c r="G422" s="156"/>
      <c r="H422" s="142" t="s">
        <v>4171</v>
      </c>
      <c r="I422" s="1434" t="s">
        <v>4221</v>
      </c>
      <c r="J422" s="150" t="s">
        <v>4170</v>
      </c>
      <c r="K422" s="142" t="s">
        <v>4171</v>
      </c>
      <c r="L422" s="156"/>
      <c r="M422" s="156"/>
      <c r="N422" s="2546" cm="1">
        <f t="array" ref="N422">INDEX('6층_부하량'!E3:E3000,MATCH(1,("6-DaHall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6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4" t="s">
        <v>4226</v>
      </c>
      <c r="J423" s="150" t="s">
        <v>4173</v>
      </c>
      <c r="K423" s="142" t="s">
        <v>4171</v>
      </c>
      <c r="L423" s="2546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6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4171</v>
      </c>
      <c r="I424" s="1434" t="s">
        <v>4230</v>
      </c>
      <c r="J424" s="150" t="s">
        <v>4175</v>
      </c>
      <c r="K424" s="142" t="s">
        <v>4171</v>
      </c>
      <c r="L424" s="156"/>
      <c r="M424" s="2546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6" cm="1">
        <f t="array" ref="F425">INDEX('6층_부하량'!E3:E3000,MATCH(1,("6-DaHall 1-PDU-08"='6층_부하량'!A3:A3000)*(15='6층_부하량'!B3:B3000),0))</f>
        <v>0</v>
      </c>
      <c r="G425" s="156"/>
      <c r="H425" s="142" t="s">
        <v>4171</v>
      </c>
      <c r="I425" s="1434" t="s">
        <v>4234</v>
      </c>
      <c r="J425" s="1423" t="s">
        <v>4177</v>
      </c>
      <c r="K425" s="142" t="s">
        <v>4171</v>
      </c>
      <c r="L425" s="156"/>
      <c r="M425" s="156"/>
      <c r="N425" s="2546" cm="1">
        <f t="array" ref="N425">INDEX('6층_부하량'!E3:E3000,MATCH(1,("6-DaHall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6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4" t="s">
        <v>4238</v>
      </c>
      <c r="J426" s="1423" t="s">
        <v>4179</v>
      </c>
      <c r="K426" s="142" t="s">
        <v>4171</v>
      </c>
      <c r="L426" s="2546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6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4171</v>
      </c>
      <c r="I427" s="1434" t="s">
        <v>4243</v>
      </c>
      <c r="J427" s="1423" t="s">
        <v>4183</v>
      </c>
      <c r="K427" s="142" t="s">
        <v>4171</v>
      </c>
      <c r="L427" s="156"/>
      <c r="M427" s="2546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6" cm="1">
        <f t="array" ref="F428">INDEX('6층_부하량'!E3:E3000,MATCH(1,("6-DaHall 1-PDU-08"='6층_부하량'!A3:A3000)*(21='6층_부하량'!B3:B3000),0))</f>
        <v>0</v>
      </c>
      <c r="G428" s="156"/>
      <c r="H428" s="142" t="s">
        <v>4171</v>
      </c>
      <c r="I428" s="1434" t="s">
        <v>4247</v>
      </c>
      <c r="J428" s="150" t="s">
        <v>4187</v>
      </c>
      <c r="K428" s="142" t="s">
        <v>4171</v>
      </c>
      <c r="L428" s="156"/>
      <c r="M428" s="156"/>
      <c r="N428" s="2546" cm="1">
        <f t="array" ref="N428">INDEX('6층_부하량'!E3:E3000,MATCH(1,("6-DaHall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6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4" t="s">
        <v>4251</v>
      </c>
      <c r="J429" s="150" t="s">
        <v>4253</v>
      </c>
      <c r="K429" s="142" t="s">
        <v>4171</v>
      </c>
      <c r="L429" s="2546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6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4171</v>
      </c>
      <c r="I430" s="1434" t="s">
        <v>4256</v>
      </c>
      <c r="J430" s="150" t="s">
        <v>4258</v>
      </c>
      <c r="K430" s="142" t="s">
        <v>4171</v>
      </c>
      <c r="L430" s="156"/>
      <c r="M430" s="2546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51" cm="1">
        <f t="array" ref="F431">INDEX('6층_부하량'!E3:E3000,MATCH(1,("6-DaHall 1-PDU-08"='6층_부하량'!A3:A3000)*(27='6층_부하량'!B3:B3000),0))</f>
        <v>0</v>
      </c>
      <c r="G431" s="176"/>
      <c r="H431" s="175" t="s">
        <v>4171</v>
      </c>
      <c r="I431" s="1446" t="s">
        <v>4261</v>
      </c>
      <c r="J431" s="186" t="s">
        <v>4262</v>
      </c>
      <c r="K431" s="175" t="s">
        <v>4171</v>
      </c>
      <c r="L431" s="176"/>
      <c r="M431" s="176"/>
      <c r="N431" s="2551" cm="1">
        <f t="array" ref="N431">INDEX('6층_부하량'!E3:E3000,MATCH(1,("6-DaHall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8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3" t="s">
        <v>4264</v>
      </c>
      <c r="J432" s="1425" t="s">
        <v>4265</v>
      </c>
      <c r="K432" s="155" t="s">
        <v>4171</v>
      </c>
      <c r="L432" s="2548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6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4171</v>
      </c>
      <c r="I433" s="1434" t="s">
        <v>4266</v>
      </c>
      <c r="J433" s="1423" t="s">
        <v>4267</v>
      </c>
      <c r="K433" s="142" t="s">
        <v>4171</v>
      </c>
      <c r="L433" s="156"/>
      <c r="M433" s="2546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6" cm="1">
        <f t="array" ref="F434">INDEX('6층_부하량'!E3:E3000,MATCH(1,("6-DaHall 1-PDU-08"='6층_부하량'!A3:A3000)*(33='6층_부하량'!B3:B3000),0))</f>
        <v>0</v>
      </c>
      <c r="G434" s="156"/>
      <c r="H434" s="142" t="s">
        <v>4171</v>
      </c>
      <c r="I434" s="1434" t="s">
        <v>4270</v>
      </c>
      <c r="J434" s="1423" t="s">
        <v>4271</v>
      </c>
      <c r="K434" s="142" t="s">
        <v>4171</v>
      </c>
      <c r="L434" s="156"/>
      <c r="M434" s="156"/>
      <c r="N434" s="2546" cm="1">
        <f t="array" ref="N434">INDEX('6층_부하량'!E3:E3000,MATCH(1,("6-DaHall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6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4" t="s">
        <v>4274</v>
      </c>
      <c r="J435" s="150" t="s">
        <v>4276</v>
      </c>
      <c r="K435" s="142" t="s">
        <v>4171</v>
      </c>
      <c r="L435" s="2546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4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4171</v>
      </c>
      <c r="I436" s="1434" t="s">
        <v>4279</v>
      </c>
      <c r="J436" s="150" t="s">
        <v>4280</v>
      </c>
      <c r="K436" s="142" t="s">
        <v>4171</v>
      </c>
      <c r="L436" s="156"/>
      <c r="M436" s="2554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6" cm="1">
        <f t="array" ref="F437">INDEX('6층_부하량'!E3:E3000,MATCH(1,("6-DaHall 1-PDU-08"='6층_부하량'!A3:A3000)*(39='6층_부하량'!B3:B3000),0))</f>
        <v>0</v>
      </c>
      <c r="G437" s="156"/>
      <c r="H437" s="142" t="s">
        <v>4171</v>
      </c>
      <c r="I437" s="1434" t="s">
        <v>4283</v>
      </c>
      <c r="J437" s="150" t="s">
        <v>4284</v>
      </c>
      <c r="K437" s="142" t="s">
        <v>4171</v>
      </c>
      <c r="L437" s="156"/>
      <c r="M437" s="156"/>
      <c r="N437" s="2546" cm="1">
        <f t="array" ref="N437">INDEX('6층_부하량'!E3:E3000,MATCH(1,("6-DaHall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6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4" t="s">
        <v>4628</v>
      </c>
      <c r="J438" s="150" t="s">
        <v>4416</v>
      </c>
      <c r="K438" s="142" t="s">
        <v>4171</v>
      </c>
      <c r="L438" s="2546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6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6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6" cm="1">
        <f t="array" ref="F440">INDEX('6층_부하량'!E3:E3000,MATCH(1,("6-DaHall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6" cm="1">
        <f t="array" ref="N440">INDEX('6층_부하량'!E3:E3000,MATCH(1,("6-DaHall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4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3" t="s">
        <v>4423</v>
      </c>
      <c r="K441" s="142" t="s">
        <v>4171</v>
      </c>
      <c r="L441" s="2554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6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3" t="s">
        <v>4425</v>
      </c>
      <c r="K442" s="142" t="s">
        <v>4171</v>
      </c>
      <c r="L442" s="156"/>
      <c r="M442" s="2546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4" cm="1">
        <f t="array" ref="F443">INDEX('6층_부하량'!E3:E3000,MATCH(1,("6-DaHall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3" t="s">
        <v>4427</v>
      </c>
      <c r="K443" s="142" t="s">
        <v>4171</v>
      </c>
      <c r="L443" s="156"/>
      <c r="M443" s="156"/>
      <c r="N443" s="2554" cm="1">
        <f t="array" ref="N443">INDEX('6층_부하량'!E3:E3000,MATCH(1,("6-DaHall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8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8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296.76000000000005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815" t="s">
        <v>7539</v>
      </c>
      <c r="B1" s="3815" t="s">
        <v>8496</v>
      </c>
    </row>
    <row r="2" spans="1:2">
      <c r="A2" s="3815"/>
      <c r="B2" s="3815"/>
    </row>
    <row r="3" spans="1:2">
      <c r="A3" s="2542" t="s">
        <v>7535</v>
      </c>
      <c r="B3" s="2541" t="s">
        <v>8497</v>
      </c>
    </row>
    <row r="4" spans="1:2">
      <c r="A4" t="s">
        <v>7541</v>
      </c>
      <c r="B4" s="2541" t="s">
        <v>8499</v>
      </c>
    </row>
    <row r="5" spans="1:2">
      <c r="A5" t="s">
        <v>7542</v>
      </c>
      <c r="B5" s="2541" t="s">
        <v>8500</v>
      </c>
    </row>
    <row r="6" spans="1:2">
      <c r="A6" t="s">
        <v>7543</v>
      </c>
      <c r="B6" s="2541" t="s">
        <v>8501</v>
      </c>
    </row>
    <row r="7" spans="1:2">
      <c r="A7" t="s">
        <v>7544</v>
      </c>
      <c r="B7" s="2541" t="s">
        <v>8502</v>
      </c>
    </row>
    <row r="8" spans="1:2">
      <c r="A8" t="s">
        <v>7545</v>
      </c>
      <c r="B8" s="2541" t="s">
        <v>8503</v>
      </c>
    </row>
    <row r="9" spans="1:2">
      <c r="A9" t="s">
        <v>7546</v>
      </c>
      <c r="B9" s="2541" t="s">
        <v>8504</v>
      </c>
    </row>
    <row r="10" spans="1:2">
      <c r="A10" t="s">
        <v>7547</v>
      </c>
      <c r="B10" s="2541" t="s">
        <v>8505</v>
      </c>
    </row>
    <row r="11" spans="1:2">
      <c r="A11" t="s">
        <v>7548</v>
      </c>
      <c r="B11" s="2541" t="s">
        <v>8506</v>
      </c>
    </row>
    <row r="12" spans="1:2">
      <c r="A12" t="s">
        <v>7549</v>
      </c>
      <c r="B12" s="2541" t="s">
        <v>8507</v>
      </c>
    </row>
    <row r="13" spans="1:2">
      <c r="A13" t="s">
        <v>7550</v>
      </c>
      <c r="B13" s="2541" t="s">
        <v>8508</v>
      </c>
    </row>
    <row r="14" spans="1:2">
      <c r="A14" t="s">
        <v>7551</v>
      </c>
      <c r="B14" s="2541" t="s">
        <v>8509</v>
      </c>
    </row>
    <row r="15" spans="1:2">
      <c r="A15" t="s">
        <v>7552</v>
      </c>
      <c r="B15" s="2541" t="s">
        <v>8510</v>
      </c>
    </row>
    <row r="16" spans="1:2">
      <c r="A16" t="s">
        <v>7553</v>
      </c>
      <c r="B16" s="2541" t="s">
        <v>8511</v>
      </c>
    </row>
    <row r="17" spans="1:2">
      <c r="A17" t="s">
        <v>7554</v>
      </c>
      <c r="B17" s="2541" t="s">
        <v>8512</v>
      </c>
    </row>
    <row r="18" spans="1:2">
      <c r="A18" t="s">
        <v>7555</v>
      </c>
      <c r="B18" s="2541" t="s">
        <v>8513</v>
      </c>
    </row>
    <row r="19" spans="1:2">
      <c r="A19" t="s">
        <v>7556</v>
      </c>
      <c r="B19" s="2541" t="s">
        <v>8514</v>
      </c>
    </row>
    <row r="20" spans="1:2">
      <c r="A20" t="s">
        <v>7557</v>
      </c>
      <c r="B20" s="2541" t="s">
        <v>8515</v>
      </c>
    </row>
    <row r="21" spans="1:2">
      <c r="A21" t="s">
        <v>7558</v>
      </c>
      <c r="B21" s="2541" t="s">
        <v>8516</v>
      </c>
    </row>
    <row r="22" spans="1:2">
      <c r="A22" t="s">
        <v>7559</v>
      </c>
      <c r="B22" s="2541" t="s">
        <v>8517</v>
      </c>
    </row>
    <row r="23" spans="1:2">
      <c r="A23" t="s">
        <v>7560</v>
      </c>
      <c r="B23" s="2541" t="s">
        <v>8518</v>
      </c>
    </row>
    <row r="24" spans="1:2">
      <c r="A24" t="s">
        <v>7561</v>
      </c>
      <c r="B24" s="2541" t="s">
        <v>8519</v>
      </c>
    </row>
    <row r="25" spans="1:2">
      <c r="A25" t="s">
        <v>7562</v>
      </c>
      <c r="B25" s="2541" t="s">
        <v>8520</v>
      </c>
    </row>
    <row r="26" spans="1:2">
      <c r="A26" t="s">
        <v>7563</v>
      </c>
      <c r="B26" s="2541" t="s">
        <v>8521</v>
      </c>
    </row>
    <row r="27" spans="1:2">
      <c r="A27" t="s">
        <v>7564</v>
      </c>
      <c r="B27" s="2541" t="s">
        <v>8522</v>
      </c>
    </row>
    <row r="28" spans="1:2">
      <c r="A28" t="s">
        <v>7565</v>
      </c>
      <c r="B28" s="2541" t="s">
        <v>8523</v>
      </c>
    </row>
    <row r="29" spans="1:2">
      <c r="A29" t="s">
        <v>7566</v>
      </c>
      <c r="B29" s="2541" t="s">
        <v>8524</v>
      </c>
    </row>
    <row r="30" spans="1:2">
      <c r="A30" t="s">
        <v>7567</v>
      </c>
      <c r="B30" s="2541" t="s">
        <v>8525</v>
      </c>
    </row>
    <row r="31" spans="1:2">
      <c r="A31" t="s">
        <v>7568</v>
      </c>
      <c r="B31" s="2541" t="s">
        <v>8526</v>
      </c>
    </row>
    <row r="32" spans="1:2">
      <c r="A32" t="s">
        <v>7569</v>
      </c>
      <c r="B32" s="2541" t="s">
        <v>8527</v>
      </c>
    </row>
    <row r="33" spans="1:2">
      <c r="A33" t="s">
        <v>7570</v>
      </c>
      <c r="B33" s="2541" t="s">
        <v>8528</v>
      </c>
    </row>
    <row r="34" spans="1:2">
      <c r="A34" t="s">
        <v>7571</v>
      </c>
      <c r="B34" s="2541" t="s">
        <v>8529</v>
      </c>
    </row>
    <row r="35" spans="1:2">
      <c r="A35" t="s">
        <v>7572</v>
      </c>
      <c r="B35" s="2541" t="s">
        <v>8530</v>
      </c>
    </row>
    <row r="36" spans="1:2">
      <c r="A36" t="s">
        <v>7573</v>
      </c>
      <c r="B36" s="2541" t="s">
        <v>8531</v>
      </c>
    </row>
    <row r="37" spans="1:2">
      <c r="A37" t="s">
        <v>7574</v>
      </c>
      <c r="B37" s="2541" t="s">
        <v>8532</v>
      </c>
    </row>
    <row r="38" spans="1:2">
      <c r="A38" t="s">
        <v>7575</v>
      </c>
      <c r="B38" s="2541" t="s">
        <v>8533</v>
      </c>
    </row>
    <row r="39" spans="1:2">
      <c r="A39" t="s">
        <v>7576</v>
      </c>
      <c r="B39" s="2541" t="s">
        <v>8534</v>
      </c>
    </row>
    <row r="40" spans="1:2">
      <c r="A40" t="s">
        <v>7577</v>
      </c>
      <c r="B40" s="2541" t="s">
        <v>8535</v>
      </c>
    </row>
    <row r="41" spans="1:2">
      <c r="A41" t="s">
        <v>7578</v>
      </c>
      <c r="B41" s="2541" t="s">
        <v>8536</v>
      </c>
    </row>
    <row r="42" spans="1:2">
      <c r="A42" t="s">
        <v>7579</v>
      </c>
      <c r="B42" s="2541" t="s">
        <v>8537</v>
      </c>
    </row>
    <row r="43" spans="1:2">
      <c r="A43" t="s">
        <v>7580</v>
      </c>
      <c r="B43" s="2541" t="s">
        <v>8538</v>
      </c>
    </row>
    <row r="44" spans="1:2">
      <c r="A44" t="s">
        <v>7581</v>
      </c>
      <c r="B44" s="2541" t="s">
        <v>8539</v>
      </c>
    </row>
    <row r="45" spans="1:2">
      <c r="A45" t="s">
        <v>7582</v>
      </c>
      <c r="B45" s="2541" t="s">
        <v>8540</v>
      </c>
    </row>
    <row r="46" spans="1:2">
      <c r="A46" t="s">
        <v>7583</v>
      </c>
      <c r="B46" s="2541" t="s">
        <v>8541</v>
      </c>
    </row>
    <row r="47" spans="1:2">
      <c r="A47" t="s">
        <v>7584</v>
      </c>
      <c r="B47" s="2541" t="s">
        <v>8542</v>
      </c>
    </row>
    <row r="48" spans="1:2">
      <c r="A48" t="s">
        <v>7585</v>
      </c>
      <c r="B48" s="2541" t="s">
        <v>8543</v>
      </c>
    </row>
    <row r="49" spans="1:2">
      <c r="A49" t="s">
        <v>7586</v>
      </c>
      <c r="B49" s="2541" t="s">
        <v>8544</v>
      </c>
    </row>
    <row r="50" spans="1:2">
      <c r="A50" t="s">
        <v>7587</v>
      </c>
      <c r="B50" s="2541" t="s">
        <v>8545</v>
      </c>
    </row>
    <row r="51" spans="1:2">
      <c r="A51" t="s">
        <v>7588</v>
      </c>
      <c r="B51" s="2541" t="s">
        <v>8546</v>
      </c>
    </row>
    <row r="52" spans="1:2">
      <c r="A52" t="s">
        <v>7589</v>
      </c>
      <c r="B52" s="2541" t="s">
        <v>8547</v>
      </c>
    </row>
    <row r="53" spans="1:2">
      <c r="A53" s="2542" t="s">
        <v>7536</v>
      </c>
      <c r="B53" s="2541" t="s">
        <v>8497</v>
      </c>
    </row>
    <row r="54" spans="1:2">
      <c r="A54" t="s">
        <v>7590</v>
      </c>
      <c r="B54" s="2541" t="s">
        <v>8499</v>
      </c>
    </row>
    <row r="55" spans="1:2">
      <c r="A55" t="s">
        <v>7591</v>
      </c>
      <c r="B55" s="2541" t="s">
        <v>8500</v>
      </c>
    </row>
    <row r="56" spans="1:2">
      <c r="A56" t="s">
        <v>7592</v>
      </c>
      <c r="B56" s="2541" t="s">
        <v>8501</v>
      </c>
    </row>
    <row r="57" spans="1:2">
      <c r="A57" t="s">
        <v>7593</v>
      </c>
      <c r="B57" s="2541" t="s">
        <v>8502</v>
      </c>
    </row>
    <row r="58" spans="1:2">
      <c r="A58" t="s">
        <v>7594</v>
      </c>
      <c r="B58" s="2541" t="s">
        <v>8503</v>
      </c>
    </row>
    <row r="59" spans="1:2">
      <c r="A59" t="s">
        <v>7595</v>
      </c>
      <c r="B59" s="2541" t="s">
        <v>8504</v>
      </c>
    </row>
    <row r="60" spans="1:2">
      <c r="A60" t="s">
        <v>7596</v>
      </c>
      <c r="B60" s="2541" t="s">
        <v>8505</v>
      </c>
    </row>
    <row r="61" spans="1:2">
      <c r="A61" t="s">
        <v>7597</v>
      </c>
      <c r="B61" s="2541" t="s">
        <v>8506</v>
      </c>
    </row>
    <row r="62" spans="1:2">
      <c r="A62" t="s">
        <v>7598</v>
      </c>
      <c r="B62" s="2541" t="s">
        <v>8507</v>
      </c>
    </row>
    <row r="63" spans="1:2">
      <c r="A63" t="s">
        <v>7599</v>
      </c>
      <c r="B63" s="2541" t="s">
        <v>8508</v>
      </c>
    </row>
    <row r="64" spans="1:2">
      <c r="A64" t="s">
        <v>7600</v>
      </c>
      <c r="B64" s="2541" t="s">
        <v>8509</v>
      </c>
    </row>
    <row r="65" spans="1:2">
      <c r="A65" t="s">
        <v>7601</v>
      </c>
      <c r="B65" s="2541" t="s">
        <v>8510</v>
      </c>
    </row>
    <row r="66" spans="1:2">
      <c r="A66" t="s">
        <v>7602</v>
      </c>
      <c r="B66" s="2541" t="s">
        <v>8511</v>
      </c>
    </row>
    <row r="67" spans="1:2">
      <c r="A67" t="s">
        <v>7603</v>
      </c>
      <c r="B67" s="2541" t="s">
        <v>8512</v>
      </c>
    </row>
    <row r="68" spans="1:2">
      <c r="A68" t="s">
        <v>7604</v>
      </c>
      <c r="B68" s="2541" t="s">
        <v>8513</v>
      </c>
    </row>
    <row r="69" spans="1:2">
      <c r="A69" t="s">
        <v>7605</v>
      </c>
      <c r="B69" s="2541" t="s">
        <v>8514</v>
      </c>
    </row>
    <row r="70" spans="1:2">
      <c r="A70" t="s">
        <v>7606</v>
      </c>
      <c r="B70" s="2541" t="s">
        <v>8515</v>
      </c>
    </row>
    <row r="71" spans="1:2">
      <c r="A71" t="s">
        <v>7607</v>
      </c>
      <c r="B71" s="2541" t="s">
        <v>8516</v>
      </c>
    </row>
    <row r="72" spans="1:2">
      <c r="A72" t="s">
        <v>7608</v>
      </c>
      <c r="B72" s="2541" t="s">
        <v>8517</v>
      </c>
    </row>
    <row r="73" spans="1:2">
      <c r="A73" t="s">
        <v>7609</v>
      </c>
      <c r="B73" s="2541" t="s">
        <v>8518</v>
      </c>
    </row>
    <row r="74" spans="1:2">
      <c r="A74" t="s">
        <v>7610</v>
      </c>
      <c r="B74" s="2541" t="s">
        <v>8519</v>
      </c>
    </row>
    <row r="75" spans="1:2">
      <c r="A75" t="s">
        <v>7611</v>
      </c>
      <c r="B75" s="2541" t="s">
        <v>8520</v>
      </c>
    </row>
    <row r="76" spans="1:2">
      <c r="A76" t="s">
        <v>7612</v>
      </c>
      <c r="B76" s="2541" t="s">
        <v>8521</v>
      </c>
    </row>
    <row r="77" spans="1:2">
      <c r="A77" t="s">
        <v>7613</v>
      </c>
      <c r="B77" s="2541" t="s">
        <v>8522</v>
      </c>
    </row>
    <row r="78" spans="1:2">
      <c r="A78" t="s">
        <v>7614</v>
      </c>
      <c r="B78" s="2541" t="s">
        <v>8523</v>
      </c>
    </row>
    <row r="79" spans="1:2">
      <c r="A79" t="s">
        <v>7615</v>
      </c>
      <c r="B79" s="2541" t="s">
        <v>8524</v>
      </c>
    </row>
    <row r="80" spans="1:2">
      <c r="A80" t="s">
        <v>7616</v>
      </c>
      <c r="B80" s="2541" t="s">
        <v>8525</v>
      </c>
    </row>
    <row r="81" spans="1:2">
      <c r="A81" t="s">
        <v>7617</v>
      </c>
      <c r="B81" s="2541" t="s">
        <v>8526</v>
      </c>
    </row>
    <row r="82" spans="1:2">
      <c r="A82" t="s">
        <v>7618</v>
      </c>
      <c r="B82" s="2541" t="s">
        <v>8527</v>
      </c>
    </row>
    <row r="83" spans="1:2">
      <c r="A83" t="s">
        <v>7619</v>
      </c>
      <c r="B83" s="2541" t="s">
        <v>8528</v>
      </c>
    </row>
    <row r="84" spans="1:2">
      <c r="A84" t="s">
        <v>7620</v>
      </c>
      <c r="B84" s="2541" t="s">
        <v>8529</v>
      </c>
    </row>
    <row r="85" spans="1:2">
      <c r="A85" t="s">
        <v>7621</v>
      </c>
      <c r="B85" s="2541" t="s">
        <v>8530</v>
      </c>
    </row>
    <row r="86" spans="1:2">
      <c r="A86" t="s">
        <v>7622</v>
      </c>
      <c r="B86" s="2541" t="s">
        <v>8531</v>
      </c>
    </row>
    <row r="87" spans="1:2">
      <c r="A87" t="s">
        <v>7623</v>
      </c>
      <c r="B87" s="2541" t="s">
        <v>8532</v>
      </c>
    </row>
    <row r="88" spans="1:2">
      <c r="A88" t="s">
        <v>7624</v>
      </c>
      <c r="B88" s="2541" t="s">
        <v>8533</v>
      </c>
    </row>
    <row r="89" spans="1:2">
      <c r="A89" t="s">
        <v>7625</v>
      </c>
      <c r="B89" s="2541" t="s">
        <v>8534</v>
      </c>
    </row>
    <row r="90" spans="1:2">
      <c r="A90" t="s">
        <v>7626</v>
      </c>
      <c r="B90" s="2541" t="s">
        <v>8535</v>
      </c>
    </row>
    <row r="91" spans="1:2">
      <c r="A91" t="s">
        <v>7627</v>
      </c>
      <c r="B91" s="2541" t="s">
        <v>8536</v>
      </c>
    </row>
    <row r="92" spans="1:2">
      <c r="A92" t="s">
        <v>7628</v>
      </c>
      <c r="B92" s="2541" t="s">
        <v>8537</v>
      </c>
    </row>
    <row r="93" spans="1:2">
      <c r="A93" t="s">
        <v>7629</v>
      </c>
      <c r="B93" s="2541" t="s">
        <v>8538</v>
      </c>
    </row>
    <row r="94" spans="1:2">
      <c r="A94" t="s">
        <v>7630</v>
      </c>
      <c r="B94" s="2541" t="s">
        <v>8539</v>
      </c>
    </row>
    <row r="95" spans="1:2">
      <c r="A95" t="s">
        <v>7631</v>
      </c>
      <c r="B95" s="2541" t="s">
        <v>8540</v>
      </c>
    </row>
    <row r="96" spans="1:2">
      <c r="A96" t="s">
        <v>7632</v>
      </c>
      <c r="B96" s="2541" t="s">
        <v>8541</v>
      </c>
    </row>
    <row r="97" spans="1:2">
      <c r="A97" t="s">
        <v>7633</v>
      </c>
      <c r="B97" s="2541" t="s">
        <v>8542</v>
      </c>
    </row>
    <row r="98" spans="1:2">
      <c r="A98" t="s">
        <v>7634</v>
      </c>
      <c r="B98" s="2541" t="s">
        <v>8543</v>
      </c>
    </row>
    <row r="99" spans="1:2">
      <c r="A99" t="s">
        <v>7635</v>
      </c>
      <c r="B99" s="2541" t="s">
        <v>8544</v>
      </c>
    </row>
    <row r="100" spans="1:2">
      <c r="A100" t="s">
        <v>7636</v>
      </c>
      <c r="B100" s="2541" t="s">
        <v>8545</v>
      </c>
    </row>
    <row r="101" spans="1:2">
      <c r="A101" t="s">
        <v>7637</v>
      </c>
      <c r="B101" s="2541" t="s">
        <v>8546</v>
      </c>
    </row>
    <row r="102" spans="1:2">
      <c r="A102" t="s">
        <v>7638</v>
      </c>
      <c r="B102" s="2541" t="s">
        <v>8547</v>
      </c>
    </row>
    <row r="103" spans="1:2">
      <c r="A103" s="2542" t="s">
        <v>7537</v>
      </c>
      <c r="B103" s="2541" t="s">
        <v>8497</v>
      </c>
    </row>
    <row r="104" spans="1:2">
      <c r="A104" t="s">
        <v>7639</v>
      </c>
      <c r="B104" s="2541" t="s">
        <v>8499</v>
      </c>
    </row>
    <row r="105" spans="1:2">
      <c r="A105" t="s">
        <v>7640</v>
      </c>
      <c r="B105" s="2541" t="s">
        <v>8500</v>
      </c>
    </row>
    <row r="106" spans="1:2">
      <c r="A106" t="s">
        <v>7641</v>
      </c>
      <c r="B106" s="2541" t="s">
        <v>8501</v>
      </c>
    </row>
    <row r="107" spans="1:2">
      <c r="A107" t="s">
        <v>7642</v>
      </c>
      <c r="B107" s="2541" t="s">
        <v>8502</v>
      </c>
    </row>
    <row r="108" spans="1:2">
      <c r="A108" t="s">
        <v>7643</v>
      </c>
      <c r="B108" s="2541" t="s">
        <v>8503</v>
      </c>
    </row>
    <row r="109" spans="1:2">
      <c r="A109" t="s">
        <v>7644</v>
      </c>
      <c r="B109" s="2541" t="s">
        <v>8504</v>
      </c>
    </row>
    <row r="110" spans="1:2">
      <c r="A110" t="s">
        <v>7645</v>
      </c>
      <c r="B110" s="2541" t="s">
        <v>8505</v>
      </c>
    </row>
    <row r="111" spans="1:2">
      <c r="A111" t="s">
        <v>7646</v>
      </c>
      <c r="B111" s="2541" t="s">
        <v>8506</v>
      </c>
    </row>
    <row r="112" spans="1:2">
      <c r="A112" t="s">
        <v>7647</v>
      </c>
      <c r="B112" s="2541" t="s">
        <v>8507</v>
      </c>
    </row>
    <row r="113" spans="1:2">
      <c r="A113" t="s">
        <v>7648</v>
      </c>
      <c r="B113" s="2541" t="s">
        <v>8508</v>
      </c>
    </row>
    <row r="114" spans="1:2">
      <c r="A114" t="s">
        <v>7649</v>
      </c>
      <c r="B114" s="2541" t="s">
        <v>8509</v>
      </c>
    </row>
    <row r="115" spans="1:2">
      <c r="A115" t="s">
        <v>7650</v>
      </c>
      <c r="B115" s="2541" t="s">
        <v>8510</v>
      </c>
    </row>
    <row r="116" spans="1:2">
      <c r="A116" t="s">
        <v>7651</v>
      </c>
      <c r="B116" s="2541" t="s">
        <v>8511</v>
      </c>
    </row>
    <row r="117" spans="1:2">
      <c r="A117" t="s">
        <v>7652</v>
      </c>
      <c r="B117" s="2541" t="s">
        <v>8512</v>
      </c>
    </row>
    <row r="118" spans="1:2">
      <c r="A118" t="s">
        <v>7653</v>
      </c>
      <c r="B118" s="2541" t="s">
        <v>8513</v>
      </c>
    </row>
    <row r="119" spans="1:2">
      <c r="A119" t="s">
        <v>7654</v>
      </c>
      <c r="B119" s="2541" t="s">
        <v>8514</v>
      </c>
    </row>
    <row r="120" spans="1:2">
      <c r="A120" t="s">
        <v>7655</v>
      </c>
      <c r="B120" s="2541" t="s">
        <v>8515</v>
      </c>
    </row>
    <row r="121" spans="1:2">
      <c r="A121" t="s">
        <v>7656</v>
      </c>
      <c r="B121" s="2541" t="s">
        <v>8516</v>
      </c>
    </row>
    <row r="122" spans="1:2">
      <c r="A122" t="s">
        <v>7657</v>
      </c>
      <c r="B122" s="2541" t="s">
        <v>8517</v>
      </c>
    </row>
    <row r="123" spans="1:2">
      <c r="A123" t="s">
        <v>7658</v>
      </c>
      <c r="B123" s="2541" t="s">
        <v>8518</v>
      </c>
    </row>
    <row r="124" spans="1:2">
      <c r="A124" t="s">
        <v>7659</v>
      </c>
      <c r="B124" s="2541" t="s">
        <v>8519</v>
      </c>
    </row>
    <row r="125" spans="1:2">
      <c r="A125" t="s">
        <v>7660</v>
      </c>
      <c r="B125" s="2541" t="s">
        <v>8520</v>
      </c>
    </row>
    <row r="126" spans="1:2">
      <c r="A126" t="s">
        <v>7661</v>
      </c>
      <c r="B126" s="2541" t="s">
        <v>8521</v>
      </c>
    </row>
    <row r="127" spans="1:2">
      <c r="A127" t="s">
        <v>7662</v>
      </c>
      <c r="B127" s="2541" t="s">
        <v>8522</v>
      </c>
    </row>
    <row r="128" spans="1:2">
      <c r="A128" t="s">
        <v>7663</v>
      </c>
      <c r="B128" s="2541" t="s">
        <v>8523</v>
      </c>
    </row>
    <row r="129" spans="1:2">
      <c r="A129" t="s">
        <v>7664</v>
      </c>
      <c r="B129" s="2541" t="s">
        <v>8524</v>
      </c>
    </row>
    <row r="130" spans="1:2">
      <c r="A130" t="s">
        <v>7665</v>
      </c>
      <c r="B130" s="2541" t="s">
        <v>8525</v>
      </c>
    </row>
    <row r="131" spans="1:2">
      <c r="A131" t="s">
        <v>7666</v>
      </c>
      <c r="B131" s="2541" t="s">
        <v>8526</v>
      </c>
    </row>
    <row r="132" spans="1:2">
      <c r="A132" t="s">
        <v>7667</v>
      </c>
      <c r="B132" s="2541" t="s">
        <v>8527</v>
      </c>
    </row>
    <row r="133" spans="1:2">
      <c r="A133" t="s">
        <v>7668</v>
      </c>
      <c r="B133" s="2541" t="s">
        <v>8528</v>
      </c>
    </row>
    <row r="134" spans="1:2">
      <c r="A134" t="s">
        <v>7669</v>
      </c>
      <c r="B134" s="2541" t="s">
        <v>8529</v>
      </c>
    </row>
    <row r="135" spans="1:2">
      <c r="A135" t="s">
        <v>7670</v>
      </c>
      <c r="B135" s="2541" t="s">
        <v>8530</v>
      </c>
    </row>
    <row r="136" spans="1:2">
      <c r="A136" t="s">
        <v>7671</v>
      </c>
      <c r="B136" s="2541" t="s">
        <v>8531</v>
      </c>
    </row>
    <row r="137" spans="1:2">
      <c r="A137" t="s">
        <v>7672</v>
      </c>
      <c r="B137" s="2541" t="s">
        <v>8532</v>
      </c>
    </row>
    <row r="138" spans="1:2">
      <c r="A138" t="s">
        <v>7673</v>
      </c>
      <c r="B138" s="2541" t="s">
        <v>8533</v>
      </c>
    </row>
    <row r="139" spans="1:2">
      <c r="A139" t="s">
        <v>7674</v>
      </c>
      <c r="B139" s="2541" t="s">
        <v>8534</v>
      </c>
    </row>
    <row r="140" spans="1:2">
      <c r="A140" t="s">
        <v>7675</v>
      </c>
      <c r="B140" s="2541" t="s">
        <v>8535</v>
      </c>
    </row>
    <row r="141" spans="1:2">
      <c r="A141" t="s">
        <v>7676</v>
      </c>
      <c r="B141" s="2541" t="s">
        <v>8536</v>
      </c>
    </row>
    <row r="142" spans="1:2">
      <c r="A142" t="s">
        <v>7677</v>
      </c>
      <c r="B142" s="2541" t="s">
        <v>8537</v>
      </c>
    </row>
    <row r="143" spans="1:2">
      <c r="A143" t="s">
        <v>7678</v>
      </c>
      <c r="B143" s="2541" t="s">
        <v>8538</v>
      </c>
    </row>
    <row r="144" spans="1:2">
      <c r="A144" t="s">
        <v>7679</v>
      </c>
      <c r="B144" s="2541" t="s">
        <v>8539</v>
      </c>
    </row>
    <row r="145" spans="1:2">
      <c r="A145" t="s">
        <v>7680</v>
      </c>
      <c r="B145" s="2541" t="s">
        <v>8540</v>
      </c>
    </row>
    <row r="146" spans="1:2">
      <c r="A146" t="s">
        <v>7681</v>
      </c>
      <c r="B146" s="2541" t="s">
        <v>8541</v>
      </c>
    </row>
    <row r="147" spans="1:2">
      <c r="A147" t="s">
        <v>7682</v>
      </c>
      <c r="B147" s="2541" t="s">
        <v>8542</v>
      </c>
    </row>
    <row r="148" spans="1:2">
      <c r="A148" t="s">
        <v>7683</v>
      </c>
      <c r="B148" s="2541" t="s">
        <v>8543</v>
      </c>
    </row>
    <row r="149" spans="1:2">
      <c r="A149" t="s">
        <v>7684</v>
      </c>
      <c r="B149" s="2541" t="s">
        <v>8544</v>
      </c>
    </row>
    <row r="150" spans="1:2">
      <c r="A150" t="s">
        <v>7685</v>
      </c>
      <c r="B150" s="2541" t="s">
        <v>8545</v>
      </c>
    </row>
    <row r="151" spans="1:2">
      <c r="A151" t="s">
        <v>7686</v>
      </c>
      <c r="B151" s="2541" t="s">
        <v>8546</v>
      </c>
    </row>
    <row r="152" spans="1:2">
      <c r="A152" t="s">
        <v>7687</v>
      </c>
      <c r="B152" s="2541" t="s">
        <v>8547</v>
      </c>
    </row>
    <row r="153" spans="1:2">
      <c r="A153" s="2542" t="s">
        <v>7538</v>
      </c>
      <c r="B153" s="2541" t="s">
        <v>8497</v>
      </c>
    </row>
    <row r="154" spans="1:2">
      <c r="A154" t="s">
        <v>7688</v>
      </c>
      <c r="B154" s="2541" t="s">
        <v>8499</v>
      </c>
    </row>
    <row r="155" spans="1:2">
      <c r="A155" t="s">
        <v>7689</v>
      </c>
      <c r="B155" s="2541" t="s">
        <v>8500</v>
      </c>
    </row>
    <row r="156" spans="1:2">
      <c r="A156" t="s">
        <v>7690</v>
      </c>
      <c r="B156" s="2541" t="s">
        <v>8501</v>
      </c>
    </row>
    <row r="157" spans="1:2">
      <c r="A157" t="s">
        <v>7691</v>
      </c>
      <c r="B157" s="2541" t="s">
        <v>8502</v>
      </c>
    </row>
    <row r="158" spans="1:2">
      <c r="A158" t="s">
        <v>7692</v>
      </c>
      <c r="B158" s="2541" t="s">
        <v>8503</v>
      </c>
    </row>
    <row r="159" spans="1:2">
      <c r="A159" t="s">
        <v>7693</v>
      </c>
      <c r="B159" s="2541" t="s">
        <v>8504</v>
      </c>
    </row>
    <row r="160" spans="1:2">
      <c r="A160" t="s">
        <v>7694</v>
      </c>
      <c r="B160" s="2541" t="s">
        <v>8505</v>
      </c>
    </row>
    <row r="161" spans="1:2">
      <c r="A161" t="s">
        <v>7695</v>
      </c>
      <c r="B161" s="2541" t="s">
        <v>8506</v>
      </c>
    </row>
    <row r="162" spans="1:2">
      <c r="A162" t="s">
        <v>7696</v>
      </c>
      <c r="B162" s="2541" t="s">
        <v>8507</v>
      </c>
    </row>
    <row r="163" spans="1:2">
      <c r="A163" t="s">
        <v>7697</v>
      </c>
      <c r="B163" s="2541" t="s">
        <v>8508</v>
      </c>
    </row>
    <row r="164" spans="1:2">
      <c r="A164" t="s">
        <v>7698</v>
      </c>
      <c r="B164" s="2541" t="s">
        <v>8509</v>
      </c>
    </row>
    <row r="165" spans="1:2">
      <c r="A165" t="s">
        <v>7699</v>
      </c>
      <c r="B165" s="2541" t="s">
        <v>8510</v>
      </c>
    </row>
    <row r="166" spans="1:2">
      <c r="A166" t="s">
        <v>7700</v>
      </c>
      <c r="B166" s="2541" t="s">
        <v>8511</v>
      </c>
    </row>
    <row r="167" spans="1:2">
      <c r="A167" t="s">
        <v>7701</v>
      </c>
      <c r="B167" s="2541" t="s">
        <v>8512</v>
      </c>
    </row>
    <row r="168" spans="1:2">
      <c r="A168" t="s">
        <v>7702</v>
      </c>
      <c r="B168" s="2541" t="s">
        <v>8513</v>
      </c>
    </row>
    <row r="169" spans="1:2">
      <c r="A169" t="s">
        <v>7703</v>
      </c>
      <c r="B169" s="2541" t="s">
        <v>8514</v>
      </c>
    </row>
    <row r="170" spans="1:2">
      <c r="A170" t="s">
        <v>7704</v>
      </c>
      <c r="B170" s="2541" t="s">
        <v>8515</v>
      </c>
    </row>
    <row r="171" spans="1:2">
      <c r="A171" t="s">
        <v>7705</v>
      </c>
      <c r="B171" s="2541" t="s">
        <v>8516</v>
      </c>
    </row>
    <row r="172" spans="1:2">
      <c r="A172" t="s">
        <v>7706</v>
      </c>
      <c r="B172" s="2541" t="s">
        <v>8517</v>
      </c>
    </row>
    <row r="173" spans="1:2">
      <c r="A173" t="s">
        <v>7707</v>
      </c>
      <c r="B173" s="2541" t="s">
        <v>8518</v>
      </c>
    </row>
    <row r="174" spans="1:2">
      <c r="A174" t="s">
        <v>7708</v>
      </c>
      <c r="B174" s="2541" t="s">
        <v>8519</v>
      </c>
    </row>
    <row r="175" spans="1:2">
      <c r="A175" t="s">
        <v>7709</v>
      </c>
      <c r="B175" s="2541" t="s">
        <v>8520</v>
      </c>
    </row>
    <row r="176" spans="1:2">
      <c r="A176" t="s">
        <v>7710</v>
      </c>
      <c r="B176" s="2541" t="s">
        <v>8521</v>
      </c>
    </row>
    <row r="177" spans="1:2">
      <c r="A177" t="s">
        <v>7711</v>
      </c>
      <c r="B177" s="2541" t="s">
        <v>8522</v>
      </c>
    </row>
    <row r="178" spans="1:2">
      <c r="A178" t="s">
        <v>7712</v>
      </c>
      <c r="B178" s="2541" t="s">
        <v>8523</v>
      </c>
    </row>
    <row r="179" spans="1:2">
      <c r="A179" t="s">
        <v>7713</v>
      </c>
      <c r="B179" s="2541" t="s">
        <v>8524</v>
      </c>
    </row>
    <row r="180" spans="1:2">
      <c r="A180" t="s">
        <v>7714</v>
      </c>
      <c r="B180" s="2541" t="s">
        <v>8525</v>
      </c>
    </row>
    <row r="181" spans="1:2">
      <c r="A181" t="s">
        <v>7715</v>
      </c>
      <c r="B181" s="2541" t="s">
        <v>8526</v>
      </c>
    </row>
    <row r="182" spans="1:2">
      <c r="A182" t="s">
        <v>7716</v>
      </c>
      <c r="B182" s="2541" t="s">
        <v>8527</v>
      </c>
    </row>
    <row r="183" spans="1:2">
      <c r="A183" t="s">
        <v>7717</v>
      </c>
      <c r="B183" s="2541" t="s">
        <v>8528</v>
      </c>
    </row>
    <row r="184" spans="1:2">
      <c r="A184" t="s">
        <v>7718</v>
      </c>
      <c r="B184" s="2541" t="s">
        <v>8529</v>
      </c>
    </row>
    <row r="185" spans="1:2">
      <c r="A185" t="s">
        <v>7719</v>
      </c>
      <c r="B185" s="2541" t="s">
        <v>8530</v>
      </c>
    </row>
    <row r="186" spans="1:2">
      <c r="A186" t="s">
        <v>7720</v>
      </c>
      <c r="B186" s="2541" t="s">
        <v>8531</v>
      </c>
    </row>
    <row r="187" spans="1:2">
      <c r="A187" t="s">
        <v>7721</v>
      </c>
      <c r="B187" s="2541" t="s">
        <v>8532</v>
      </c>
    </row>
    <row r="188" spans="1:2">
      <c r="A188" t="s">
        <v>7722</v>
      </c>
      <c r="B188" s="2541" t="s">
        <v>8533</v>
      </c>
    </row>
    <row r="189" spans="1:2">
      <c r="A189" t="s">
        <v>7723</v>
      </c>
      <c r="B189" s="2541" t="s">
        <v>8534</v>
      </c>
    </row>
    <row r="190" spans="1:2">
      <c r="A190" t="s">
        <v>7724</v>
      </c>
      <c r="B190" s="2541" t="s">
        <v>8535</v>
      </c>
    </row>
    <row r="191" spans="1:2">
      <c r="A191" t="s">
        <v>7725</v>
      </c>
      <c r="B191" s="2541" t="s">
        <v>8536</v>
      </c>
    </row>
    <row r="192" spans="1:2">
      <c r="A192" t="s">
        <v>7726</v>
      </c>
      <c r="B192" s="2541" t="s">
        <v>8537</v>
      </c>
    </row>
    <row r="193" spans="1:2">
      <c r="A193" t="s">
        <v>7727</v>
      </c>
      <c r="B193" s="2541" t="s">
        <v>8538</v>
      </c>
    </row>
    <row r="194" spans="1:2">
      <c r="A194" t="s">
        <v>7728</v>
      </c>
      <c r="B194" s="2541" t="s">
        <v>8539</v>
      </c>
    </row>
    <row r="195" spans="1:2">
      <c r="A195" t="s">
        <v>7729</v>
      </c>
      <c r="B195" s="2541" t="s">
        <v>8540</v>
      </c>
    </row>
    <row r="196" spans="1:2">
      <c r="A196" t="s">
        <v>7730</v>
      </c>
      <c r="B196" s="2541" t="s">
        <v>8541</v>
      </c>
    </row>
    <row r="197" spans="1:2">
      <c r="A197" t="s">
        <v>7731</v>
      </c>
      <c r="B197" s="2541" t="s">
        <v>8542</v>
      </c>
    </row>
    <row r="198" spans="1:2">
      <c r="A198" t="s">
        <v>7732</v>
      </c>
      <c r="B198" s="2541" t="s">
        <v>8543</v>
      </c>
    </row>
    <row r="199" spans="1:2">
      <c r="A199" t="s">
        <v>7733</v>
      </c>
      <c r="B199" s="2541" t="s">
        <v>8544</v>
      </c>
    </row>
    <row r="200" spans="1:2">
      <c r="A200" t="s">
        <v>7734</v>
      </c>
      <c r="B200" s="2541" t="s">
        <v>8545</v>
      </c>
    </row>
    <row r="201" spans="1:2">
      <c r="A201" t="s">
        <v>7735</v>
      </c>
      <c r="B201" s="2541" t="s">
        <v>8546</v>
      </c>
    </row>
    <row r="202" spans="1:2">
      <c r="A202" t="s">
        <v>7736</v>
      </c>
      <c r="B202" s="2541" t="s">
        <v>8547</v>
      </c>
    </row>
    <row r="203" spans="1:2">
      <c r="A203" s="2542" t="s">
        <v>7737</v>
      </c>
      <c r="B203" s="2541" t="s">
        <v>8497</v>
      </c>
    </row>
    <row r="204" spans="1:2">
      <c r="A204" t="s">
        <v>7738</v>
      </c>
      <c r="B204" s="2541" t="s">
        <v>8499</v>
      </c>
    </row>
    <row r="205" spans="1:2">
      <c r="A205" t="s">
        <v>7739</v>
      </c>
      <c r="B205" s="2541" t="s">
        <v>8500</v>
      </c>
    </row>
    <row r="206" spans="1:2">
      <c r="A206" t="s">
        <v>7740</v>
      </c>
      <c r="B206" s="2541" t="s">
        <v>8501</v>
      </c>
    </row>
    <row r="207" spans="1:2">
      <c r="A207" t="s">
        <v>7741</v>
      </c>
      <c r="B207" s="2541" t="s">
        <v>8502</v>
      </c>
    </row>
    <row r="208" spans="1:2">
      <c r="A208" t="s">
        <v>7742</v>
      </c>
      <c r="B208" s="2541" t="s">
        <v>8503</v>
      </c>
    </row>
    <row r="209" spans="1:2">
      <c r="A209" t="s">
        <v>7743</v>
      </c>
      <c r="B209" s="2541" t="s">
        <v>8504</v>
      </c>
    </row>
    <row r="210" spans="1:2">
      <c r="A210" t="s">
        <v>7744</v>
      </c>
      <c r="B210" s="2541" t="s">
        <v>8505</v>
      </c>
    </row>
    <row r="211" spans="1:2">
      <c r="A211" t="s">
        <v>7745</v>
      </c>
      <c r="B211" s="2541" t="s">
        <v>8506</v>
      </c>
    </row>
    <row r="212" spans="1:2">
      <c r="A212" t="s">
        <v>7746</v>
      </c>
      <c r="B212" s="2541" t="s">
        <v>8507</v>
      </c>
    </row>
    <row r="213" spans="1:2">
      <c r="A213" t="s">
        <v>7747</v>
      </c>
      <c r="B213" s="2541" t="s">
        <v>8508</v>
      </c>
    </row>
    <row r="214" spans="1:2">
      <c r="A214" t="s">
        <v>7748</v>
      </c>
      <c r="B214" s="2541" t="s">
        <v>8509</v>
      </c>
    </row>
    <row r="215" spans="1:2">
      <c r="A215" t="s">
        <v>7749</v>
      </c>
      <c r="B215" s="2541" t="s">
        <v>8510</v>
      </c>
    </row>
    <row r="216" spans="1:2">
      <c r="A216" t="s">
        <v>7750</v>
      </c>
      <c r="B216" s="2541" t="s">
        <v>8511</v>
      </c>
    </row>
    <row r="217" spans="1:2">
      <c r="A217" t="s">
        <v>7751</v>
      </c>
      <c r="B217" s="2541" t="s">
        <v>8512</v>
      </c>
    </row>
    <row r="218" spans="1:2">
      <c r="A218" t="s">
        <v>7752</v>
      </c>
      <c r="B218" s="2541" t="s">
        <v>8513</v>
      </c>
    </row>
    <row r="219" spans="1:2">
      <c r="A219" t="s">
        <v>7753</v>
      </c>
      <c r="B219" s="2541" t="s">
        <v>8514</v>
      </c>
    </row>
    <row r="220" spans="1:2">
      <c r="A220" t="s">
        <v>7754</v>
      </c>
      <c r="B220" s="2541" t="s">
        <v>8515</v>
      </c>
    </row>
    <row r="221" spans="1:2">
      <c r="A221" t="s">
        <v>7755</v>
      </c>
      <c r="B221" s="2541" t="s">
        <v>8516</v>
      </c>
    </row>
    <row r="222" spans="1:2">
      <c r="A222" t="s">
        <v>7756</v>
      </c>
      <c r="B222" s="2541" t="s">
        <v>8517</v>
      </c>
    </row>
    <row r="223" spans="1:2">
      <c r="A223" t="s">
        <v>7757</v>
      </c>
      <c r="B223" s="2541" t="s">
        <v>8518</v>
      </c>
    </row>
    <row r="224" spans="1:2">
      <c r="A224" t="s">
        <v>7758</v>
      </c>
      <c r="B224" s="2541" t="s">
        <v>8519</v>
      </c>
    </row>
    <row r="225" spans="1:2">
      <c r="A225" t="s">
        <v>7759</v>
      </c>
      <c r="B225" s="2541" t="s">
        <v>8520</v>
      </c>
    </row>
    <row r="226" spans="1:2">
      <c r="A226" t="s">
        <v>7760</v>
      </c>
      <c r="B226" s="2541" t="s">
        <v>8521</v>
      </c>
    </row>
    <row r="227" spans="1:2">
      <c r="A227" t="s">
        <v>7761</v>
      </c>
      <c r="B227" s="2541" t="s">
        <v>8522</v>
      </c>
    </row>
    <row r="228" spans="1:2">
      <c r="A228" t="s">
        <v>7762</v>
      </c>
      <c r="B228" s="2541" t="s">
        <v>8523</v>
      </c>
    </row>
    <row r="229" spans="1:2">
      <c r="A229" t="s">
        <v>7763</v>
      </c>
      <c r="B229" s="2541" t="s">
        <v>8524</v>
      </c>
    </row>
    <row r="230" spans="1:2">
      <c r="A230" t="s">
        <v>7764</v>
      </c>
      <c r="B230" s="2541" t="s">
        <v>8525</v>
      </c>
    </row>
    <row r="231" spans="1:2">
      <c r="A231" t="s">
        <v>7765</v>
      </c>
      <c r="B231" s="2541" t="s">
        <v>8526</v>
      </c>
    </row>
    <row r="232" spans="1:2">
      <c r="A232" t="s">
        <v>7766</v>
      </c>
      <c r="B232" s="2541" t="s">
        <v>8527</v>
      </c>
    </row>
    <row r="233" spans="1:2">
      <c r="A233" t="s">
        <v>7767</v>
      </c>
      <c r="B233" s="2541" t="s">
        <v>8528</v>
      </c>
    </row>
    <row r="234" spans="1:2">
      <c r="A234" t="s">
        <v>7768</v>
      </c>
      <c r="B234" s="2541" t="s">
        <v>8529</v>
      </c>
    </row>
    <row r="235" spans="1:2">
      <c r="A235" t="s">
        <v>7769</v>
      </c>
      <c r="B235" s="2541" t="s">
        <v>8530</v>
      </c>
    </row>
    <row r="236" spans="1:2">
      <c r="A236" t="s">
        <v>7770</v>
      </c>
      <c r="B236" s="2541" t="s">
        <v>8531</v>
      </c>
    </row>
    <row r="237" spans="1:2">
      <c r="A237" t="s">
        <v>7771</v>
      </c>
      <c r="B237" s="2541" t="s">
        <v>8532</v>
      </c>
    </row>
    <row r="238" spans="1:2">
      <c r="A238" t="s">
        <v>7772</v>
      </c>
      <c r="B238" s="2541" t="s">
        <v>8533</v>
      </c>
    </row>
    <row r="239" spans="1:2">
      <c r="A239" t="s">
        <v>7773</v>
      </c>
      <c r="B239" s="2541" t="s">
        <v>8534</v>
      </c>
    </row>
    <row r="240" spans="1:2">
      <c r="A240" t="s">
        <v>7774</v>
      </c>
      <c r="B240" s="2541" t="s">
        <v>8535</v>
      </c>
    </row>
    <row r="241" spans="1:2">
      <c r="A241" t="s">
        <v>7775</v>
      </c>
      <c r="B241" s="2541" t="s">
        <v>8536</v>
      </c>
    </row>
    <row r="242" spans="1:2">
      <c r="A242" t="s">
        <v>7776</v>
      </c>
      <c r="B242" s="2541" t="s">
        <v>8537</v>
      </c>
    </row>
    <row r="243" spans="1:2">
      <c r="A243" t="s">
        <v>7777</v>
      </c>
      <c r="B243" s="2541" t="s">
        <v>8538</v>
      </c>
    </row>
    <row r="244" spans="1:2">
      <c r="A244" t="s">
        <v>7778</v>
      </c>
      <c r="B244" s="2541" t="s">
        <v>8539</v>
      </c>
    </row>
    <row r="245" spans="1:2">
      <c r="A245" t="s">
        <v>7779</v>
      </c>
      <c r="B245" s="2541" t="s">
        <v>8540</v>
      </c>
    </row>
    <row r="246" spans="1:2">
      <c r="A246" t="s">
        <v>7780</v>
      </c>
      <c r="B246" s="2541" t="s">
        <v>8541</v>
      </c>
    </row>
    <row r="247" spans="1:2">
      <c r="A247" t="s">
        <v>7781</v>
      </c>
      <c r="B247" s="2541" t="s">
        <v>8542</v>
      </c>
    </row>
    <row r="248" spans="1:2">
      <c r="A248" t="s">
        <v>7782</v>
      </c>
      <c r="B248" s="2541" t="s">
        <v>8543</v>
      </c>
    </row>
    <row r="249" spans="1:2">
      <c r="A249" t="s">
        <v>7783</v>
      </c>
      <c r="B249" s="2541" t="s">
        <v>8544</v>
      </c>
    </row>
    <row r="250" spans="1:2">
      <c r="A250" t="s">
        <v>7784</v>
      </c>
      <c r="B250" s="2541" t="s">
        <v>8545</v>
      </c>
    </row>
    <row r="251" spans="1:2">
      <c r="A251" t="s">
        <v>7785</v>
      </c>
      <c r="B251" s="2541" t="s">
        <v>8546</v>
      </c>
    </row>
    <row r="252" spans="1:2">
      <c r="A252" t="s">
        <v>7786</v>
      </c>
      <c r="B252" s="2541" t="s">
        <v>8547</v>
      </c>
    </row>
    <row r="253" spans="1:2">
      <c r="A253" t="s">
        <v>7787</v>
      </c>
      <c r="B253" s="2541" t="s">
        <v>8548</v>
      </c>
    </row>
    <row r="254" spans="1:2">
      <c r="A254" t="s">
        <v>7788</v>
      </c>
      <c r="B254" s="2541" t="s">
        <v>8549</v>
      </c>
    </row>
    <row r="255" spans="1:2">
      <c r="A255" t="s">
        <v>7789</v>
      </c>
      <c r="B255" s="2541" t="s">
        <v>8550</v>
      </c>
    </row>
    <row r="256" spans="1:2">
      <c r="A256" t="s">
        <v>7790</v>
      </c>
      <c r="B256" s="2541" t="s">
        <v>8551</v>
      </c>
    </row>
    <row r="257" spans="1:2">
      <c r="A257" s="2542" t="s">
        <v>7791</v>
      </c>
      <c r="B257" s="2541" t="s">
        <v>8497</v>
      </c>
    </row>
    <row r="258" spans="1:2">
      <c r="A258" t="s">
        <v>7792</v>
      </c>
      <c r="B258" s="2541" t="s">
        <v>8499</v>
      </c>
    </row>
    <row r="259" spans="1:2">
      <c r="A259" t="s">
        <v>7793</v>
      </c>
      <c r="B259" s="2541" t="s">
        <v>8500</v>
      </c>
    </row>
    <row r="260" spans="1:2">
      <c r="A260" t="s">
        <v>7794</v>
      </c>
      <c r="B260" s="2541" t="s">
        <v>8501</v>
      </c>
    </row>
    <row r="261" spans="1:2">
      <c r="A261" t="s">
        <v>7795</v>
      </c>
      <c r="B261" s="2541" t="s">
        <v>8502</v>
      </c>
    </row>
    <row r="262" spans="1:2">
      <c r="A262" t="s">
        <v>7796</v>
      </c>
      <c r="B262" s="2541" t="s">
        <v>8503</v>
      </c>
    </row>
    <row r="263" spans="1:2">
      <c r="A263" t="s">
        <v>7797</v>
      </c>
      <c r="B263" s="2541" t="s">
        <v>8504</v>
      </c>
    </row>
    <row r="264" spans="1:2">
      <c r="A264" t="s">
        <v>7798</v>
      </c>
      <c r="B264" s="2541" t="s">
        <v>8505</v>
      </c>
    </row>
    <row r="265" spans="1:2">
      <c r="A265" t="s">
        <v>7799</v>
      </c>
      <c r="B265" s="2541" t="s">
        <v>8506</v>
      </c>
    </row>
    <row r="266" spans="1:2">
      <c r="A266" t="s">
        <v>7800</v>
      </c>
      <c r="B266" s="2541" t="s">
        <v>8507</v>
      </c>
    </row>
    <row r="267" spans="1:2">
      <c r="A267" t="s">
        <v>7801</v>
      </c>
      <c r="B267" s="2541" t="s">
        <v>8508</v>
      </c>
    </row>
    <row r="268" spans="1:2">
      <c r="A268" t="s">
        <v>7802</v>
      </c>
      <c r="B268" s="2541" t="s">
        <v>8509</v>
      </c>
    </row>
    <row r="269" spans="1:2">
      <c r="A269" t="s">
        <v>7803</v>
      </c>
      <c r="B269" s="2541" t="s">
        <v>8510</v>
      </c>
    </row>
    <row r="270" spans="1:2">
      <c r="A270" t="s">
        <v>7804</v>
      </c>
      <c r="B270" s="2541" t="s">
        <v>8511</v>
      </c>
    </row>
    <row r="271" spans="1:2">
      <c r="A271" t="s">
        <v>7805</v>
      </c>
      <c r="B271" s="2541" t="s">
        <v>8512</v>
      </c>
    </row>
    <row r="272" spans="1:2">
      <c r="A272" t="s">
        <v>7806</v>
      </c>
      <c r="B272" s="2541" t="s">
        <v>8513</v>
      </c>
    </row>
    <row r="273" spans="1:2">
      <c r="A273" t="s">
        <v>7807</v>
      </c>
      <c r="B273" s="2541" t="s">
        <v>8514</v>
      </c>
    </row>
    <row r="274" spans="1:2">
      <c r="A274" t="s">
        <v>7808</v>
      </c>
      <c r="B274" s="2541" t="s">
        <v>8515</v>
      </c>
    </row>
    <row r="275" spans="1:2">
      <c r="A275" t="s">
        <v>7809</v>
      </c>
      <c r="B275" s="2541" t="s">
        <v>8516</v>
      </c>
    </row>
    <row r="276" spans="1:2">
      <c r="A276" t="s">
        <v>7810</v>
      </c>
      <c r="B276" s="2541" t="s">
        <v>8517</v>
      </c>
    </row>
    <row r="277" spans="1:2">
      <c r="A277" t="s">
        <v>7811</v>
      </c>
      <c r="B277" s="2541" t="s">
        <v>8518</v>
      </c>
    </row>
    <row r="278" spans="1:2">
      <c r="A278" t="s">
        <v>7812</v>
      </c>
      <c r="B278" s="2541" t="s">
        <v>8519</v>
      </c>
    </row>
    <row r="279" spans="1:2">
      <c r="A279" t="s">
        <v>7813</v>
      </c>
      <c r="B279" s="2541" t="s">
        <v>8520</v>
      </c>
    </row>
    <row r="280" spans="1:2">
      <c r="A280" t="s">
        <v>7814</v>
      </c>
      <c r="B280" s="2541" t="s">
        <v>8521</v>
      </c>
    </row>
    <row r="281" spans="1:2">
      <c r="A281" t="s">
        <v>7815</v>
      </c>
      <c r="B281" s="2541" t="s">
        <v>8522</v>
      </c>
    </row>
    <row r="282" spans="1:2">
      <c r="A282" t="s">
        <v>7816</v>
      </c>
      <c r="B282" s="2541" t="s">
        <v>8523</v>
      </c>
    </row>
    <row r="283" spans="1:2">
      <c r="A283" t="s">
        <v>7817</v>
      </c>
      <c r="B283" s="2541" t="s">
        <v>8524</v>
      </c>
    </row>
    <row r="284" spans="1:2">
      <c r="A284" t="s">
        <v>7818</v>
      </c>
      <c r="B284" s="2541" t="s">
        <v>8525</v>
      </c>
    </row>
    <row r="285" spans="1:2">
      <c r="A285" t="s">
        <v>7819</v>
      </c>
      <c r="B285" s="2541" t="s">
        <v>8526</v>
      </c>
    </row>
    <row r="286" spans="1:2">
      <c r="A286" t="s">
        <v>7820</v>
      </c>
      <c r="B286" s="2541" t="s">
        <v>8527</v>
      </c>
    </row>
    <row r="287" spans="1:2">
      <c r="A287" t="s">
        <v>7821</v>
      </c>
      <c r="B287" s="2541" t="s">
        <v>8528</v>
      </c>
    </row>
    <row r="288" spans="1:2">
      <c r="A288" t="s">
        <v>7822</v>
      </c>
      <c r="B288" s="2541" t="s">
        <v>8529</v>
      </c>
    </row>
    <row r="289" spans="1:2">
      <c r="A289" t="s">
        <v>7823</v>
      </c>
      <c r="B289" s="2541" t="s">
        <v>8530</v>
      </c>
    </row>
    <row r="290" spans="1:2">
      <c r="A290" t="s">
        <v>7824</v>
      </c>
      <c r="B290" s="2541" t="s">
        <v>8531</v>
      </c>
    </row>
    <row r="291" spans="1:2">
      <c r="A291" t="s">
        <v>7825</v>
      </c>
      <c r="B291" s="2541" t="s">
        <v>8532</v>
      </c>
    </row>
    <row r="292" spans="1:2">
      <c r="A292" t="s">
        <v>7826</v>
      </c>
      <c r="B292" s="2541" t="s">
        <v>8533</v>
      </c>
    </row>
    <row r="293" spans="1:2">
      <c r="A293" t="s">
        <v>7827</v>
      </c>
      <c r="B293" s="2541" t="s">
        <v>8534</v>
      </c>
    </row>
    <row r="294" spans="1:2">
      <c r="A294" t="s">
        <v>7828</v>
      </c>
      <c r="B294" s="2541" t="s">
        <v>8535</v>
      </c>
    </row>
    <row r="295" spans="1:2">
      <c r="A295" t="s">
        <v>7829</v>
      </c>
      <c r="B295" s="2541" t="s">
        <v>8536</v>
      </c>
    </row>
    <row r="296" spans="1:2">
      <c r="A296" t="s">
        <v>7830</v>
      </c>
      <c r="B296" s="2541" t="s">
        <v>8537</v>
      </c>
    </row>
    <row r="297" spans="1:2">
      <c r="A297" t="s">
        <v>7831</v>
      </c>
      <c r="B297" s="2541" t="s">
        <v>8538</v>
      </c>
    </row>
    <row r="298" spans="1:2">
      <c r="A298" t="s">
        <v>7832</v>
      </c>
      <c r="B298" s="2541" t="s">
        <v>8539</v>
      </c>
    </row>
    <row r="299" spans="1:2">
      <c r="A299" t="s">
        <v>7833</v>
      </c>
      <c r="B299" s="2541" t="s">
        <v>8540</v>
      </c>
    </row>
    <row r="300" spans="1:2">
      <c r="A300" t="s">
        <v>7834</v>
      </c>
      <c r="B300" s="2541" t="s">
        <v>8541</v>
      </c>
    </row>
    <row r="301" spans="1:2">
      <c r="A301" t="s">
        <v>7835</v>
      </c>
      <c r="B301" s="2541" t="s">
        <v>8542</v>
      </c>
    </row>
    <row r="302" spans="1:2">
      <c r="A302" t="s">
        <v>7836</v>
      </c>
      <c r="B302" s="2541" t="s">
        <v>8543</v>
      </c>
    </row>
    <row r="303" spans="1:2">
      <c r="A303" t="s">
        <v>7837</v>
      </c>
      <c r="B303" s="2541" t="s">
        <v>8544</v>
      </c>
    </row>
    <row r="304" spans="1:2">
      <c r="A304" t="s">
        <v>7838</v>
      </c>
      <c r="B304" s="2541" t="s">
        <v>8545</v>
      </c>
    </row>
    <row r="305" spans="1:2">
      <c r="A305" t="s">
        <v>7839</v>
      </c>
      <c r="B305" s="2541" t="s">
        <v>8546</v>
      </c>
    </row>
    <row r="306" spans="1:2">
      <c r="A306" t="s">
        <v>7840</v>
      </c>
      <c r="B306" s="2541" t="s">
        <v>8547</v>
      </c>
    </row>
    <row r="307" spans="1:2">
      <c r="A307" t="s">
        <v>7841</v>
      </c>
      <c r="B307" s="2541" t="s">
        <v>8548</v>
      </c>
    </row>
    <row r="308" spans="1:2">
      <c r="A308" t="s">
        <v>7842</v>
      </c>
      <c r="B308" s="2541" t="s">
        <v>8549</v>
      </c>
    </row>
    <row r="309" spans="1:2">
      <c r="A309" t="s">
        <v>7843</v>
      </c>
      <c r="B309" s="2541" t="s">
        <v>8550</v>
      </c>
    </row>
    <row r="310" spans="1:2">
      <c r="A310" t="s">
        <v>7844</v>
      </c>
      <c r="B310" s="2541" t="s">
        <v>8551</v>
      </c>
    </row>
    <row r="311" spans="1:2">
      <c r="A311" s="2542" t="s">
        <v>7845</v>
      </c>
      <c r="B311" s="2541" t="s">
        <v>8497</v>
      </c>
    </row>
    <row r="312" spans="1:2">
      <c r="A312" t="s">
        <v>7846</v>
      </c>
      <c r="B312" s="2541" t="s">
        <v>8499</v>
      </c>
    </row>
    <row r="313" spans="1:2">
      <c r="A313" t="s">
        <v>7847</v>
      </c>
      <c r="B313" s="2541" t="s">
        <v>8500</v>
      </c>
    </row>
    <row r="314" spans="1:2">
      <c r="A314" t="s">
        <v>7848</v>
      </c>
      <c r="B314" s="2541" t="s">
        <v>8501</v>
      </c>
    </row>
    <row r="315" spans="1:2">
      <c r="A315" t="s">
        <v>7849</v>
      </c>
      <c r="B315" s="2541" t="s">
        <v>8502</v>
      </c>
    </row>
    <row r="316" spans="1:2">
      <c r="A316" t="s">
        <v>7850</v>
      </c>
      <c r="B316" s="2541" t="s">
        <v>8503</v>
      </c>
    </row>
    <row r="317" spans="1:2">
      <c r="A317" t="s">
        <v>7851</v>
      </c>
      <c r="B317" s="2541" t="s">
        <v>8504</v>
      </c>
    </row>
    <row r="318" spans="1:2">
      <c r="A318" t="s">
        <v>7852</v>
      </c>
      <c r="B318" s="2541" t="s">
        <v>8505</v>
      </c>
    </row>
    <row r="319" spans="1:2">
      <c r="A319" t="s">
        <v>7853</v>
      </c>
      <c r="B319" s="2541" t="s">
        <v>8506</v>
      </c>
    </row>
    <row r="320" spans="1:2">
      <c r="A320" t="s">
        <v>7854</v>
      </c>
      <c r="B320" s="2541" t="s">
        <v>8507</v>
      </c>
    </row>
    <row r="321" spans="1:2">
      <c r="A321" t="s">
        <v>7855</v>
      </c>
      <c r="B321" s="2541" t="s">
        <v>8508</v>
      </c>
    </row>
    <row r="322" spans="1:2">
      <c r="A322" t="s">
        <v>7856</v>
      </c>
      <c r="B322" s="2541" t="s">
        <v>8509</v>
      </c>
    </row>
    <row r="323" spans="1:2">
      <c r="A323" t="s">
        <v>7857</v>
      </c>
      <c r="B323" s="2541" t="s">
        <v>8510</v>
      </c>
    </row>
    <row r="324" spans="1:2">
      <c r="A324" t="s">
        <v>7858</v>
      </c>
      <c r="B324" s="2541" t="s">
        <v>8511</v>
      </c>
    </row>
    <row r="325" spans="1:2">
      <c r="A325" t="s">
        <v>7859</v>
      </c>
      <c r="B325" s="2541" t="s">
        <v>8512</v>
      </c>
    </row>
    <row r="326" spans="1:2">
      <c r="A326" t="s">
        <v>7860</v>
      </c>
      <c r="B326" s="2541" t="s">
        <v>8513</v>
      </c>
    </row>
    <row r="327" spans="1:2">
      <c r="A327" t="s">
        <v>7861</v>
      </c>
      <c r="B327" s="2541" t="s">
        <v>8514</v>
      </c>
    </row>
    <row r="328" spans="1:2">
      <c r="A328" t="s">
        <v>7862</v>
      </c>
      <c r="B328" s="2541" t="s">
        <v>8515</v>
      </c>
    </row>
    <row r="329" spans="1:2">
      <c r="A329" t="s">
        <v>7863</v>
      </c>
      <c r="B329" s="2541" t="s">
        <v>8516</v>
      </c>
    </row>
    <row r="330" spans="1:2">
      <c r="A330" t="s">
        <v>7864</v>
      </c>
      <c r="B330" s="2541" t="s">
        <v>8517</v>
      </c>
    </row>
    <row r="331" spans="1:2">
      <c r="A331" t="s">
        <v>7865</v>
      </c>
      <c r="B331" s="2541" t="s">
        <v>8518</v>
      </c>
    </row>
    <row r="332" spans="1:2">
      <c r="A332" t="s">
        <v>7866</v>
      </c>
      <c r="B332" s="2541" t="s">
        <v>8519</v>
      </c>
    </row>
    <row r="333" spans="1:2">
      <c r="A333" t="s">
        <v>7867</v>
      </c>
      <c r="B333" s="2541" t="s">
        <v>8520</v>
      </c>
    </row>
    <row r="334" spans="1:2">
      <c r="A334" t="s">
        <v>7868</v>
      </c>
      <c r="B334" s="2541" t="s">
        <v>8521</v>
      </c>
    </row>
    <row r="335" spans="1:2">
      <c r="A335" t="s">
        <v>7869</v>
      </c>
      <c r="B335" s="2541" t="s">
        <v>8522</v>
      </c>
    </row>
    <row r="336" spans="1:2">
      <c r="A336" t="s">
        <v>7870</v>
      </c>
      <c r="B336" s="2541" t="s">
        <v>8523</v>
      </c>
    </row>
    <row r="337" spans="1:2">
      <c r="A337" t="s">
        <v>7871</v>
      </c>
      <c r="B337" s="2541" t="s">
        <v>8524</v>
      </c>
    </row>
    <row r="338" spans="1:2">
      <c r="A338" t="s">
        <v>7872</v>
      </c>
      <c r="B338" s="2541" t="s">
        <v>8525</v>
      </c>
    </row>
    <row r="339" spans="1:2">
      <c r="A339" t="s">
        <v>7873</v>
      </c>
      <c r="B339" s="2541" t="s">
        <v>8526</v>
      </c>
    </row>
    <row r="340" spans="1:2">
      <c r="A340" t="s">
        <v>7874</v>
      </c>
      <c r="B340" s="2541" t="s">
        <v>8527</v>
      </c>
    </row>
    <row r="341" spans="1:2">
      <c r="A341" t="s">
        <v>7875</v>
      </c>
      <c r="B341" s="2541" t="s">
        <v>8528</v>
      </c>
    </row>
    <row r="342" spans="1:2">
      <c r="A342" t="s">
        <v>7876</v>
      </c>
      <c r="B342" s="2541" t="s">
        <v>8529</v>
      </c>
    </row>
    <row r="343" spans="1:2">
      <c r="A343" t="s">
        <v>7877</v>
      </c>
      <c r="B343" s="2541" t="s">
        <v>8530</v>
      </c>
    </row>
    <row r="344" spans="1:2">
      <c r="A344" t="s">
        <v>7878</v>
      </c>
      <c r="B344" s="2541" t="s">
        <v>8531</v>
      </c>
    </row>
    <row r="345" spans="1:2">
      <c r="A345" t="s">
        <v>7879</v>
      </c>
      <c r="B345" s="2541" t="s">
        <v>8532</v>
      </c>
    </row>
    <row r="346" spans="1:2">
      <c r="A346" t="s">
        <v>7880</v>
      </c>
      <c r="B346" s="2541" t="s">
        <v>8533</v>
      </c>
    </row>
    <row r="347" spans="1:2">
      <c r="A347" t="s">
        <v>7881</v>
      </c>
      <c r="B347" s="2541" t="s">
        <v>8534</v>
      </c>
    </row>
    <row r="348" spans="1:2">
      <c r="A348" t="s">
        <v>7882</v>
      </c>
      <c r="B348" s="2541" t="s">
        <v>8535</v>
      </c>
    </row>
    <row r="349" spans="1:2">
      <c r="A349" t="s">
        <v>7883</v>
      </c>
      <c r="B349" s="2541" t="s">
        <v>8536</v>
      </c>
    </row>
    <row r="350" spans="1:2">
      <c r="A350" t="s">
        <v>7884</v>
      </c>
      <c r="B350" s="2541" t="s">
        <v>8537</v>
      </c>
    </row>
    <row r="351" spans="1:2">
      <c r="A351" t="s">
        <v>7885</v>
      </c>
      <c r="B351" s="2541" t="s">
        <v>8538</v>
      </c>
    </row>
    <row r="352" spans="1:2">
      <c r="A352" t="s">
        <v>7886</v>
      </c>
      <c r="B352" s="2541" t="s">
        <v>8539</v>
      </c>
    </row>
    <row r="353" spans="1:2">
      <c r="A353" t="s">
        <v>7887</v>
      </c>
      <c r="B353" s="2541" t="s">
        <v>8540</v>
      </c>
    </row>
    <row r="354" spans="1:2">
      <c r="A354" t="s">
        <v>7888</v>
      </c>
      <c r="B354" s="2541" t="s">
        <v>8541</v>
      </c>
    </row>
    <row r="355" spans="1:2">
      <c r="A355" t="s">
        <v>7889</v>
      </c>
      <c r="B355" s="2541" t="s">
        <v>8542</v>
      </c>
    </row>
    <row r="356" spans="1:2">
      <c r="A356" t="s">
        <v>7890</v>
      </c>
      <c r="B356" s="2541" t="s">
        <v>8543</v>
      </c>
    </row>
    <row r="357" spans="1:2">
      <c r="A357" t="s">
        <v>7891</v>
      </c>
      <c r="B357" s="2541" t="s">
        <v>8544</v>
      </c>
    </row>
    <row r="358" spans="1:2">
      <c r="A358" t="s">
        <v>7892</v>
      </c>
      <c r="B358" s="2541" t="s">
        <v>8545</v>
      </c>
    </row>
    <row r="359" spans="1:2">
      <c r="A359" t="s">
        <v>7893</v>
      </c>
      <c r="B359" s="2541" t="s">
        <v>8546</v>
      </c>
    </row>
    <row r="360" spans="1:2">
      <c r="A360" t="s">
        <v>7894</v>
      </c>
      <c r="B360" s="2541" t="s">
        <v>8547</v>
      </c>
    </row>
    <row r="361" spans="1:2">
      <c r="A361" t="s">
        <v>7895</v>
      </c>
      <c r="B361" s="2541" t="s">
        <v>8548</v>
      </c>
    </row>
    <row r="362" spans="1:2">
      <c r="A362" t="s">
        <v>7896</v>
      </c>
      <c r="B362" s="2541" t="s">
        <v>8549</v>
      </c>
    </row>
    <row r="363" spans="1:2">
      <c r="A363" t="s">
        <v>7897</v>
      </c>
      <c r="B363" s="2541" t="s">
        <v>8550</v>
      </c>
    </row>
    <row r="364" spans="1:2">
      <c r="A364" t="s">
        <v>7898</v>
      </c>
      <c r="B364" s="2541" t="s">
        <v>8551</v>
      </c>
    </row>
    <row r="365" spans="1:2">
      <c r="A365" s="2542" t="s">
        <v>7899</v>
      </c>
      <c r="B365" s="2541" t="s">
        <v>8497</v>
      </c>
    </row>
    <row r="366" spans="1:2">
      <c r="A366" t="s">
        <v>7900</v>
      </c>
      <c r="B366" s="2541" t="s">
        <v>8499</v>
      </c>
    </row>
    <row r="367" spans="1:2">
      <c r="A367" t="s">
        <v>7901</v>
      </c>
      <c r="B367" s="2541" t="s">
        <v>8500</v>
      </c>
    </row>
    <row r="368" spans="1:2">
      <c r="A368" t="s">
        <v>7902</v>
      </c>
      <c r="B368" s="2541" t="s">
        <v>8501</v>
      </c>
    </row>
    <row r="369" spans="1:2">
      <c r="A369" t="s">
        <v>7903</v>
      </c>
      <c r="B369" s="2541" t="s">
        <v>8502</v>
      </c>
    </row>
    <row r="370" spans="1:2">
      <c r="A370" t="s">
        <v>7904</v>
      </c>
      <c r="B370" s="2541" t="s">
        <v>8503</v>
      </c>
    </row>
    <row r="371" spans="1:2">
      <c r="A371" t="s">
        <v>7905</v>
      </c>
      <c r="B371" s="2541" t="s">
        <v>8504</v>
      </c>
    </row>
    <row r="372" spans="1:2">
      <c r="A372" t="s">
        <v>7906</v>
      </c>
      <c r="B372" s="2541" t="s">
        <v>8505</v>
      </c>
    </row>
    <row r="373" spans="1:2">
      <c r="A373" t="s">
        <v>7907</v>
      </c>
      <c r="B373" s="2541" t="s">
        <v>8506</v>
      </c>
    </row>
    <row r="374" spans="1:2">
      <c r="A374" t="s">
        <v>7908</v>
      </c>
      <c r="B374" s="2541" t="s">
        <v>8507</v>
      </c>
    </row>
    <row r="375" spans="1:2">
      <c r="A375" t="s">
        <v>7909</v>
      </c>
      <c r="B375" s="2541" t="s">
        <v>8508</v>
      </c>
    </row>
    <row r="376" spans="1:2">
      <c r="A376" t="s">
        <v>7910</v>
      </c>
      <c r="B376" s="2541" t="s">
        <v>8509</v>
      </c>
    </row>
    <row r="377" spans="1:2">
      <c r="A377" t="s">
        <v>7911</v>
      </c>
      <c r="B377" s="2541" t="s">
        <v>8510</v>
      </c>
    </row>
    <row r="378" spans="1:2">
      <c r="A378" t="s">
        <v>7912</v>
      </c>
      <c r="B378" s="2541" t="s">
        <v>8511</v>
      </c>
    </row>
    <row r="379" spans="1:2">
      <c r="A379" t="s">
        <v>7913</v>
      </c>
      <c r="B379" s="2541" t="s">
        <v>8512</v>
      </c>
    </row>
    <row r="380" spans="1:2">
      <c r="A380" t="s">
        <v>7914</v>
      </c>
      <c r="B380" s="2541" t="s">
        <v>8513</v>
      </c>
    </row>
    <row r="381" spans="1:2">
      <c r="A381" t="s">
        <v>7915</v>
      </c>
      <c r="B381" s="2541" t="s">
        <v>8514</v>
      </c>
    </row>
    <row r="382" spans="1:2">
      <c r="A382" t="s">
        <v>7916</v>
      </c>
      <c r="B382" s="2541" t="s">
        <v>8515</v>
      </c>
    </row>
    <row r="383" spans="1:2">
      <c r="A383" t="s">
        <v>7917</v>
      </c>
      <c r="B383" s="2541" t="s">
        <v>8516</v>
      </c>
    </row>
    <row r="384" spans="1:2">
      <c r="A384" t="s">
        <v>7918</v>
      </c>
      <c r="B384" s="2541" t="s">
        <v>8517</v>
      </c>
    </row>
    <row r="385" spans="1:2">
      <c r="A385" t="s">
        <v>7919</v>
      </c>
      <c r="B385" s="2541" t="s">
        <v>8518</v>
      </c>
    </row>
    <row r="386" spans="1:2">
      <c r="A386" t="s">
        <v>7920</v>
      </c>
      <c r="B386" s="2541" t="s">
        <v>8519</v>
      </c>
    </row>
    <row r="387" spans="1:2">
      <c r="A387" t="s">
        <v>7921</v>
      </c>
      <c r="B387" s="2541" t="s">
        <v>8520</v>
      </c>
    </row>
    <row r="388" spans="1:2">
      <c r="A388" t="s">
        <v>7922</v>
      </c>
      <c r="B388" s="2541" t="s">
        <v>8521</v>
      </c>
    </row>
    <row r="389" spans="1:2">
      <c r="A389" t="s">
        <v>7923</v>
      </c>
      <c r="B389" s="2541" t="s">
        <v>8522</v>
      </c>
    </row>
    <row r="390" spans="1:2">
      <c r="A390" t="s">
        <v>7924</v>
      </c>
      <c r="B390" s="2541" t="s">
        <v>8523</v>
      </c>
    </row>
    <row r="391" spans="1:2">
      <c r="A391" t="s">
        <v>7925</v>
      </c>
      <c r="B391" s="2541" t="s">
        <v>8524</v>
      </c>
    </row>
    <row r="392" spans="1:2">
      <c r="A392" t="s">
        <v>7926</v>
      </c>
      <c r="B392" s="2541" t="s">
        <v>8525</v>
      </c>
    </row>
    <row r="393" spans="1:2">
      <c r="A393" t="s">
        <v>7927</v>
      </c>
      <c r="B393" s="2541" t="s">
        <v>8526</v>
      </c>
    </row>
    <row r="394" spans="1:2">
      <c r="A394" t="s">
        <v>7928</v>
      </c>
      <c r="B394" s="2541" t="s">
        <v>8527</v>
      </c>
    </row>
    <row r="395" spans="1:2">
      <c r="A395" t="s">
        <v>7929</v>
      </c>
      <c r="B395" s="2541" t="s">
        <v>8528</v>
      </c>
    </row>
    <row r="396" spans="1:2">
      <c r="A396" t="s">
        <v>7930</v>
      </c>
      <c r="B396" s="2541" t="s">
        <v>8529</v>
      </c>
    </row>
    <row r="397" spans="1:2">
      <c r="A397" t="s">
        <v>7931</v>
      </c>
      <c r="B397" s="2541" t="s">
        <v>8530</v>
      </c>
    </row>
    <row r="398" spans="1:2">
      <c r="A398" t="s">
        <v>7932</v>
      </c>
      <c r="B398" s="2541" t="s">
        <v>8531</v>
      </c>
    </row>
    <row r="399" spans="1:2">
      <c r="A399" t="s">
        <v>7933</v>
      </c>
      <c r="B399" s="2541" t="s">
        <v>8532</v>
      </c>
    </row>
    <row r="400" spans="1:2">
      <c r="A400" t="s">
        <v>7934</v>
      </c>
      <c r="B400" s="2541" t="s">
        <v>8533</v>
      </c>
    </row>
    <row r="401" spans="1:2">
      <c r="A401" t="s">
        <v>7935</v>
      </c>
      <c r="B401" s="2541" t="s">
        <v>8534</v>
      </c>
    </row>
    <row r="402" spans="1:2">
      <c r="A402" t="s">
        <v>7936</v>
      </c>
      <c r="B402" s="2541" t="s">
        <v>8535</v>
      </c>
    </row>
    <row r="403" spans="1:2">
      <c r="A403" t="s">
        <v>7937</v>
      </c>
      <c r="B403" s="2541" t="s">
        <v>8536</v>
      </c>
    </row>
    <row r="404" spans="1:2">
      <c r="A404" t="s">
        <v>7938</v>
      </c>
      <c r="B404" s="2541" t="s">
        <v>8537</v>
      </c>
    </row>
    <row r="405" spans="1:2">
      <c r="A405" t="s">
        <v>7939</v>
      </c>
      <c r="B405" s="2541" t="s">
        <v>8538</v>
      </c>
    </row>
    <row r="406" spans="1:2">
      <c r="A406" t="s">
        <v>7940</v>
      </c>
      <c r="B406" s="2541" t="s">
        <v>8539</v>
      </c>
    </row>
    <row r="407" spans="1:2">
      <c r="A407" t="s">
        <v>7941</v>
      </c>
      <c r="B407" s="2541" t="s">
        <v>8540</v>
      </c>
    </row>
    <row r="408" spans="1:2">
      <c r="A408" t="s">
        <v>7942</v>
      </c>
      <c r="B408" s="2541" t="s">
        <v>8541</v>
      </c>
    </row>
    <row r="409" spans="1:2">
      <c r="A409" t="s">
        <v>7943</v>
      </c>
      <c r="B409" s="2541" t="s">
        <v>8542</v>
      </c>
    </row>
    <row r="410" spans="1:2">
      <c r="A410" t="s">
        <v>7944</v>
      </c>
      <c r="B410" s="2541" t="s">
        <v>8543</v>
      </c>
    </row>
    <row r="411" spans="1:2">
      <c r="A411" t="s">
        <v>7945</v>
      </c>
      <c r="B411" s="2541" t="s">
        <v>8544</v>
      </c>
    </row>
    <row r="412" spans="1:2">
      <c r="A412" t="s">
        <v>7946</v>
      </c>
      <c r="B412" s="2541" t="s">
        <v>8545</v>
      </c>
    </row>
    <row r="413" spans="1:2">
      <c r="A413" t="s">
        <v>7947</v>
      </c>
      <c r="B413" s="2541" t="s">
        <v>8546</v>
      </c>
    </row>
    <row r="414" spans="1:2">
      <c r="A414" t="s">
        <v>7948</v>
      </c>
      <c r="B414" s="2541" t="s">
        <v>8547</v>
      </c>
    </row>
    <row r="415" spans="1:2">
      <c r="A415" t="s">
        <v>7949</v>
      </c>
      <c r="B415" s="2541" t="s">
        <v>8548</v>
      </c>
    </row>
    <row r="416" spans="1:2">
      <c r="A416" t="s">
        <v>7950</v>
      </c>
      <c r="B416" s="2541" t="s">
        <v>8549</v>
      </c>
    </row>
    <row r="417" spans="1:2">
      <c r="A417" t="s">
        <v>7951</v>
      </c>
      <c r="B417" s="2541" t="s">
        <v>8550</v>
      </c>
    </row>
    <row r="418" spans="1:2">
      <c r="A418" t="s">
        <v>7952</v>
      </c>
      <c r="B418" s="2541" t="s">
        <v>8551</v>
      </c>
    </row>
    <row r="419" spans="1:2">
      <c r="A419" s="2542" t="s">
        <v>7953</v>
      </c>
      <c r="B419" s="2541" t="s">
        <v>8497</v>
      </c>
    </row>
    <row r="420" spans="1:2">
      <c r="A420" t="s">
        <v>7955</v>
      </c>
      <c r="B420" s="2541" t="s">
        <v>8499</v>
      </c>
    </row>
    <row r="421" spans="1:2">
      <c r="A421" t="s">
        <v>7956</v>
      </c>
      <c r="B421" s="2541" t="s">
        <v>8500</v>
      </c>
    </row>
    <row r="422" spans="1:2">
      <c r="A422" t="s">
        <v>7957</v>
      </c>
      <c r="B422" s="2541" t="s">
        <v>8501</v>
      </c>
    </row>
    <row r="423" spans="1:2">
      <c r="A423" t="s">
        <v>7958</v>
      </c>
      <c r="B423" s="2541" t="s">
        <v>8502</v>
      </c>
    </row>
    <row r="424" spans="1:2">
      <c r="A424" t="s">
        <v>7959</v>
      </c>
      <c r="B424" s="2541" t="s">
        <v>8503</v>
      </c>
    </row>
    <row r="425" spans="1:2">
      <c r="A425" t="s">
        <v>7960</v>
      </c>
      <c r="B425" s="2541" t="s">
        <v>8504</v>
      </c>
    </row>
    <row r="426" spans="1:2">
      <c r="A426" t="s">
        <v>7961</v>
      </c>
      <c r="B426" s="2541" t="s">
        <v>8505</v>
      </c>
    </row>
    <row r="427" spans="1:2">
      <c r="A427" t="s">
        <v>7962</v>
      </c>
      <c r="B427" s="2541" t="s">
        <v>8506</v>
      </c>
    </row>
    <row r="428" spans="1:2">
      <c r="A428" t="s">
        <v>7963</v>
      </c>
      <c r="B428" s="2541" t="s">
        <v>8507</v>
      </c>
    </row>
    <row r="429" spans="1:2">
      <c r="A429" t="s">
        <v>7964</v>
      </c>
      <c r="B429" s="2541" t="s">
        <v>8508</v>
      </c>
    </row>
    <row r="430" spans="1:2">
      <c r="A430" t="s">
        <v>7965</v>
      </c>
      <c r="B430" s="2541" t="s">
        <v>8509</v>
      </c>
    </row>
    <row r="431" spans="1:2">
      <c r="A431" t="s">
        <v>7966</v>
      </c>
      <c r="B431" s="2541" t="s">
        <v>8510</v>
      </c>
    </row>
    <row r="432" spans="1:2">
      <c r="A432" t="s">
        <v>7967</v>
      </c>
      <c r="B432" s="2541" t="s">
        <v>8511</v>
      </c>
    </row>
    <row r="433" spans="1:2">
      <c r="A433" t="s">
        <v>7968</v>
      </c>
      <c r="B433" s="2541" t="s">
        <v>8512</v>
      </c>
    </row>
    <row r="434" spans="1:2">
      <c r="A434" t="s">
        <v>7969</v>
      </c>
      <c r="B434" s="2541" t="s">
        <v>8513</v>
      </c>
    </row>
    <row r="435" spans="1:2">
      <c r="A435" t="s">
        <v>7970</v>
      </c>
      <c r="B435" s="2541" t="s">
        <v>8514</v>
      </c>
    </row>
    <row r="436" spans="1:2">
      <c r="A436" t="s">
        <v>7971</v>
      </c>
      <c r="B436" s="2541" t="s">
        <v>8515</v>
      </c>
    </row>
    <row r="437" spans="1:2">
      <c r="A437" t="s">
        <v>7972</v>
      </c>
      <c r="B437" s="2541" t="s">
        <v>8516</v>
      </c>
    </row>
    <row r="438" spans="1:2">
      <c r="A438" t="s">
        <v>7973</v>
      </c>
      <c r="B438" s="2541" t="s">
        <v>8517</v>
      </c>
    </row>
    <row r="439" spans="1:2">
      <c r="A439" t="s">
        <v>7974</v>
      </c>
      <c r="B439" s="2541" t="s">
        <v>8518</v>
      </c>
    </row>
    <row r="440" spans="1:2">
      <c r="A440" t="s">
        <v>7975</v>
      </c>
      <c r="B440" s="2541" t="s">
        <v>8519</v>
      </c>
    </row>
    <row r="441" spans="1:2">
      <c r="A441" t="s">
        <v>7976</v>
      </c>
      <c r="B441" s="2541" t="s">
        <v>8520</v>
      </c>
    </row>
    <row r="442" spans="1:2">
      <c r="A442" t="s">
        <v>7977</v>
      </c>
      <c r="B442" s="2541" t="s">
        <v>8521</v>
      </c>
    </row>
    <row r="443" spans="1:2">
      <c r="A443" t="s">
        <v>7978</v>
      </c>
      <c r="B443" s="2541" t="s">
        <v>8522</v>
      </c>
    </row>
    <row r="444" spans="1:2">
      <c r="A444" t="s">
        <v>7979</v>
      </c>
      <c r="B444" s="2541" t="s">
        <v>8523</v>
      </c>
    </row>
    <row r="445" spans="1:2">
      <c r="A445" t="s">
        <v>7980</v>
      </c>
      <c r="B445" s="2541" t="s">
        <v>8524</v>
      </c>
    </row>
    <row r="446" spans="1:2">
      <c r="A446" t="s">
        <v>7981</v>
      </c>
      <c r="B446" s="2541" t="s">
        <v>8525</v>
      </c>
    </row>
    <row r="447" spans="1:2">
      <c r="A447" t="s">
        <v>7982</v>
      </c>
      <c r="B447" s="2541" t="s">
        <v>8526</v>
      </c>
    </row>
    <row r="448" spans="1:2">
      <c r="A448" t="s">
        <v>7983</v>
      </c>
      <c r="B448" s="2541" t="s">
        <v>8527</v>
      </c>
    </row>
    <row r="449" spans="1:2">
      <c r="A449" t="s">
        <v>7984</v>
      </c>
      <c r="B449" s="2541" t="s">
        <v>8528</v>
      </c>
    </row>
    <row r="450" spans="1:2">
      <c r="A450" t="s">
        <v>7985</v>
      </c>
      <c r="B450" s="2541" t="s">
        <v>8529</v>
      </c>
    </row>
    <row r="451" spans="1:2">
      <c r="A451" t="s">
        <v>7986</v>
      </c>
      <c r="B451" s="2541" t="s">
        <v>8530</v>
      </c>
    </row>
    <row r="452" spans="1:2">
      <c r="A452" t="s">
        <v>7987</v>
      </c>
      <c r="B452" s="2541" t="s">
        <v>8531</v>
      </c>
    </row>
    <row r="453" spans="1:2">
      <c r="A453" t="s">
        <v>7988</v>
      </c>
      <c r="B453" s="2541" t="s">
        <v>8532</v>
      </c>
    </row>
    <row r="454" spans="1:2">
      <c r="A454" t="s">
        <v>7989</v>
      </c>
      <c r="B454" s="2541" t="s">
        <v>8533</v>
      </c>
    </row>
    <row r="455" spans="1:2">
      <c r="A455" t="s">
        <v>7990</v>
      </c>
      <c r="B455" s="2541" t="s">
        <v>8534</v>
      </c>
    </row>
    <row r="456" spans="1:2">
      <c r="A456" t="s">
        <v>7991</v>
      </c>
      <c r="B456" s="2541" t="s">
        <v>8535</v>
      </c>
    </row>
    <row r="457" spans="1:2">
      <c r="A457" t="s">
        <v>7992</v>
      </c>
      <c r="B457" s="2541" t="s">
        <v>8536</v>
      </c>
    </row>
    <row r="458" spans="1:2">
      <c r="A458" t="s">
        <v>7993</v>
      </c>
      <c r="B458" s="2541" t="s">
        <v>8537</v>
      </c>
    </row>
    <row r="459" spans="1:2">
      <c r="A459" t="s">
        <v>7994</v>
      </c>
      <c r="B459" s="2541" t="s">
        <v>8538</v>
      </c>
    </row>
    <row r="460" spans="1:2">
      <c r="A460" t="s">
        <v>7995</v>
      </c>
      <c r="B460" s="2541" t="s">
        <v>8539</v>
      </c>
    </row>
    <row r="461" spans="1:2">
      <c r="A461" t="s">
        <v>7996</v>
      </c>
      <c r="B461" s="2541" t="s">
        <v>8540</v>
      </c>
    </row>
    <row r="462" spans="1:2">
      <c r="A462" t="s">
        <v>7997</v>
      </c>
      <c r="B462" s="2541" t="s">
        <v>8541</v>
      </c>
    </row>
    <row r="463" spans="1:2">
      <c r="A463" t="s">
        <v>7998</v>
      </c>
      <c r="B463" s="2541" t="s">
        <v>8542</v>
      </c>
    </row>
    <row r="464" spans="1:2">
      <c r="A464" t="s">
        <v>7999</v>
      </c>
      <c r="B464" s="2541" t="s">
        <v>8543</v>
      </c>
    </row>
    <row r="465" spans="1:2">
      <c r="A465" t="s">
        <v>8000</v>
      </c>
      <c r="B465" s="2541" t="s">
        <v>8544</v>
      </c>
    </row>
    <row r="466" spans="1:2">
      <c r="A466" t="s">
        <v>8001</v>
      </c>
      <c r="B466" s="2541" t="s">
        <v>8545</v>
      </c>
    </row>
    <row r="467" spans="1:2">
      <c r="A467" t="s">
        <v>8002</v>
      </c>
      <c r="B467" s="2541" t="s">
        <v>8546</v>
      </c>
    </row>
    <row r="468" spans="1:2">
      <c r="A468" t="s">
        <v>8003</v>
      </c>
      <c r="B468" s="2541" t="s">
        <v>8547</v>
      </c>
    </row>
    <row r="469" spans="1:2">
      <c r="A469" s="2542" t="s">
        <v>7954</v>
      </c>
      <c r="B469" s="2541" t="s">
        <v>8497</v>
      </c>
    </row>
    <row r="470" spans="1:2">
      <c r="A470" t="s">
        <v>8004</v>
      </c>
      <c r="B470" s="2541" t="s">
        <v>8499</v>
      </c>
    </row>
    <row r="471" spans="1:2">
      <c r="A471" t="s">
        <v>8005</v>
      </c>
      <c r="B471" s="2541" t="s">
        <v>8500</v>
      </c>
    </row>
    <row r="472" spans="1:2">
      <c r="A472" t="s">
        <v>8006</v>
      </c>
      <c r="B472" s="2541" t="s">
        <v>8501</v>
      </c>
    </row>
    <row r="473" spans="1:2">
      <c r="A473" t="s">
        <v>8007</v>
      </c>
      <c r="B473" s="2541" t="s">
        <v>8502</v>
      </c>
    </row>
    <row r="474" spans="1:2">
      <c r="A474" t="s">
        <v>8008</v>
      </c>
      <c r="B474" s="2541" t="s">
        <v>8503</v>
      </c>
    </row>
    <row r="475" spans="1:2">
      <c r="A475" t="s">
        <v>8009</v>
      </c>
      <c r="B475" s="2541" t="s">
        <v>8504</v>
      </c>
    </row>
    <row r="476" spans="1:2">
      <c r="A476" t="s">
        <v>8010</v>
      </c>
      <c r="B476" s="2541" t="s">
        <v>8505</v>
      </c>
    </row>
    <row r="477" spans="1:2">
      <c r="A477" t="s">
        <v>8011</v>
      </c>
      <c r="B477" s="2541" t="s">
        <v>8506</v>
      </c>
    </row>
    <row r="478" spans="1:2">
      <c r="A478" t="s">
        <v>8012</v>
      </c>
      <c r="B478" s="2541" t="s">
        <v>8507</v>
      </c>
    </row>
    <row r="479" spans="1:2">
      <c r="A479" t="s">
        <v>8013</v>
      </c>
      <c r="B479" s="2541" t="s">
        <v>8508</v>
      </c>
    </row>
    <row r="480" spans="1:2">
      <c r="A480" t="s">
        <v>8014</v>
      </c>
      <c r="B480" s="2541" t="s">
        <v>8509</v>
      </c>
    </row>
    <row r="481" spans="1:2">
      <c r="A481" t="s">
        <v>8015</v>
      </c>
      <c r="B481" s="2541" t="s">
        <v>8510</v>
      </c>
    </row>
    <row r="482" spans="1:2">
      <c r="A482" t="s">
        <v>8016</v>
      </c>
      <c r="B482" s="2541" t="s">
        <v>8511</v>
      </c>
    </row>
    <row r="483" spans="1:2">
      <c r="A483" t="s">
        <v>8017</v>
      </c>
      <c r="B483" s="2541" t="s">
        <v>8512</v>
      </c>
    </row>
    <row r="484" spans="1:2">
      <c r="A484" t="s">
        <v>8018</v>
      </c>
      <c r="B484" s="2541" t="s">
        <v>8513</v>
      </c>
    </row>
    <row r="485" spans="1:2">
      <c r="A485" t="s">
        <v>8019</v>
      </c>
      <c r="B485" s="2541" t="s">
        <v>8514</v>
      </c>
    </row>
    <row r="486" spans="1:2">
      <c r="A486" t="s">
        <v>8020</v>
      </c>
      <c r="B486" s="2541" t="s">
        <v>8515</v>
      </c>
    </row>
    <row r="487" spans="1:2">
      <c r="A487" t="s">
        <v>8021</v>
      </c>
      <c r="B487" s="2541" t="s">
        <v>8516</v>
      </c>
    </row>
    <row r="488" spans="1:2">
      <c r="A488" t="s">
        <v>8022</v>
      </c>
      <c r="B488" s="2541" t="s">
        <v>8517</v>
      </c>
    </row>
    <row r="489" spans="1:2">
      <c r="A489" t="s">
        <v>8023</v>
      </c>
      <c r="B489" s="2541" t="s">
        <v>8518</v>
      </c>
    </row>
    <row r="490" spans="1:2">
      <c r="A490" t="s">
        <v>8024</v>
      </c>
      <c r="B490" s="2541" t="s">
        <v>8519</v>
      </c>
    </row>
    <row r="491" spans="1:2">
      <c r="A491" t="s">
        <v>8025</v>
      </c>
      <c r="B491" s="2541" t="s">
        <v>8520</v>
      </c>
    </row>
    <row r="492" spans="1:2">
      <c r="A492" t="s">
        <v>8026</v>
      </c>
      <c r="B492" s="2541" t="s">
        <v>8521</v>
      </c>
    </row>
    <row r="493" spans="1:2">
      <c r="A493" t="s">
        <v>8027</v>
      </c>
      <c r="B493" s="2541" t="s">
        <v>8522</v>
      </c>
    </row>
    <row r="494" spans="1:2">
      <c r="A494" t="s">
        <v>8028</v>
      </c>
      <c r="B494" s="2541" t="s">
        <v>8523</v>
      </c>
    </row>
    <row r="495" spans="1:2">
      <c r="A495" t="s">
        <v>8029</v>
      </c>
      <c r="B495" s="2541" t="s">
        <v>8524</v>
      </c>
    </row>
    <row r="496" spans="1:2">
      <c r="A496" t="s">
        <v>8030</v>
      </c>
      <c r="B496" s="2541" t="s">
        <v>8525</v>
      </c>
    </row>
    <row r="497" spans="1:2">
      <c r="A497" t="s">
        <v>8031</v>
      </c>
      <c r="B497" s="2541" t="s">
        <v>8526</v>
      </c>
    </row>
    <row r="498" spans="1:2">
      <c r="A498" t="s">
        <v>8032</v>
      </c>
      <c r="B498" s="2541" t="s">
        <v>8527</v>
      </c>
    </row>
    <row r="499" spans="1:2">
      <c r="A499" t="s">
        <v>8033</v>
      </c>
      <c r="B499" s="2541" t="s">
        <v>8528</v>
      </c>
    </row>
    <row r="500" spans="1:2">
      <c r="A500" t="s">
        <v>8034</v>
      </c>
      <c r="B500" s="2541" t="s">
        <v>8529</v>
      </c>
    </row>
    <row r="501" spans="1:2">
      <c r="A501" t="s">
        <v>8035</v>
      </c>
      <c r="B501" s="2541" t="s">
        <v>8530</v>
      </c>
    </row>
    <row r="502" spans="1:2">
      <c r="A502" t="s">
        <v>8036</v>
      </c>
      <c r="B502" s="2541" t="s">
        <v>8531</v>
      </c>
    </row>
    <row r="503" spans="1:2">
      <c r="A503" t="s">
        <v>8037</v>
      </c>
      <c r="B503" s="2541" t="s">
        <v>8532</v>
      </c>
    </row>
    <row r="504" spans="1:2">
      <c r="A504" t="s">
        <v>8038</v>
      </c>
      <c r="B504" s="2541" t="s">
        <v>8533</v>
      </c>
    </row>
    <row r="505" spans="1:2">
      <c r="A505" t="s">
        <v>8039</v>
      </c>
      <c r="B505" s="2541" t="s">
        <v>8534</v>
      </c>
    </row>
    <row r="506" spans="1:2">
      <c r="A506" t="s">
        <v>8040</v>
      </c>
      <c r="B506" s="2541" t="s">
        <v>8535</v>
      </c>
    </row>
    <row r="507" spans="1:2">
      <c r="A507" t="s">
        <v>8041</v>
      </c>
      <c r="B507" s="2541" t="s">
        <v>8536</v>
      </c>
    </row>
    <row r="508" spans="1:2">
      <c r="A508" t="s">
        <v>8042</v>
      </c>
      <c r="B508" s="2541" t="s">
        <v>8537</v>
      </c>
    </row>
    <row r="509" spans="1:2">
      <c r="A509" t="s">
        <v>8043</v>
      </c>
      <c r="B509" s="2541" t="s">
        <v>8538</v>
      </c>
    </row>
    <row r="510" spans="1:2">
      <c r="A510" t="s">
        <v>8044</v>
      </c>
      <c r="B510" s="2541" t="s">
        <v>8539</v>
      </c>
    </row>
    <row r="511" spans="1:2">
      <c r="A511" t="s">
        <v>8045</v>
      </c>
      <c r="B511" s="2541" t="s">
        <v>8540</v>
      </c>
    </row>
    <row r="512" spans="1:2">
      <c r="A512" t="s">
        <v>8046</v>
      </c>
      <c r="B512" s="2541" t="s">
        <v>8541</v>
      </c>
    </row>
    <row r="513" spans="1:2">
      <c r="A513" t="s">
        <v>8047</v>
      </c>
      <c r="B513" s="2541" t="s">
        <v>8542</v>
      </c>
    </row>
    <row r="514" spans="1:2">
      <c r="A514" t="s">
        <v>8048</v>
      </c>
      <c r="B514" s="2541" t="s">
        <v>8543</v>
      </c>
    </row>
    <row r="515" spans="1:2">
      <c r="A515" t="s">
        <v>8049</v>
      </c>
      <c r="B515" s="2541" t="s">
        <v>8544</v>
      </c>
    </row>
    <row r="516" spans="1:2">
      <c r="A516" t="s">
        <v>8050</v>
      </c>
      <c r="B516" s="2541" t="s">
        <v>8545</v>
      </c>
    </row>
    <row r="517" spans="1:2">
      <c r="A517" t="s">
        <v>8051</v>
      </c>
      <c r="B517" s="2541" t="s">
        <v>8546</v>
      </c>
    </row>
    <row r="518" spans="1:2">
      <c r="A518" t="s">
        <v>8052</v>
      </c>
      <c r="B518" s="2541" t="s">
        <v>8547</v>
      </c>
    </row>
    <row r="519" spans="1:2">
      <c r="A519" s="2542" t="s">
        <v>8053</v>
      </c>
      <c r="B519" s="2541" t="s">
        <v>8497</v>
      </c>
    </row>
    <row r="520" spans="1:2">
      <c r="A520" t="s">
        <v>8054</v>
      </c>
      <c r="B520" s="2541" t="s">
        <v>8499</v>
      </c>
    </row>
    <row r="521" spans="1:2">
      <c r="A521" t="s">
        <v>8055</v>
      </c>
      <c r="B521" s="2541" t="s">
        <v>8500</v>
      </c>
    </row>
    <row r="522" spans="1:2">
      <c r="A522" t="s">
        <v>8056</v>
      </c>
      <c r="B522" s="2541" t="s">
        <v>8501</v>
      </c>
    </row>
    <row r="523" spans="1:2">
      <c r="A523" t="s">
        <v>8057</v>
      </c>
      <c r="B523" s="2541" t="s">
        <v>8502</v>
      </c>
    </row>
    <row r="524" spans="1:2">
      <c r="A524" t="s">
        <v>8058</v>
      </c>
      <c r="B524" s="2541" t="s">
        <v>8503</v>
      </c>
    </row>
    <row r="525" spans="1:2">
      <c r="A525" t="s">
        <v>8059</v>
      </c>
      <c r="B525" s="2541" t="s">
        <v>8504</v>
      </c>
    </row>
    <row r="526" spans="1:2">
      <c r="A526" t="s">
        <v>8060</v>
      </c>
      <c r="B526" s="2541" t="s">
        <v>8505</v>
      </c>
    </row>
    <row r="527" spans="1:2">
      <c r="A527" t="s">
        <v>8061</v>
      </c>
      <c r="B527" s="2541" t="s">
        <v>8506</v>
      </c>
    </row>
    <row r="528" spans="1:2">
      <c r="A528" t="s">
        <v>8062</v>
      </c>
      <c r="B528" s="2541" t="s">
        <v>8507</v>
      </c>
    </row>
    <row r="529" spans="1:2">
      <c r="A529" t="s">
        <v>8063</v>
      </c>
      <c r="B529" s="2541" t="s">
        <v>8508</v>
      </c>
    </row>
    <row r="530" spans="1:2">
      <c r="A530" t="s">
        <v>8064</v>
      </c>
      <c r="B530" s="2541" t="s">
        <v>8509</v>
      </c>
    </row>
    <row r="531" spans="1:2">
      <c r="A531" t="s">
        <v>8065</v>
      </c>
      <c r="B531" s="2541" t="s">
        <v>8510</v>
      </c>
    </row>
    <row r="532" spans="1:2">
      <c r="A532" t="s">
        <v>8066</v>
      </c>
      <c r="B532" s="2541" t="s">
        <v>8511</v>
      </c>
    </row>
    <row r="533" spans="1:2">
      <c r="A533" t="s">
        <v>8067</v>
      </c>
      <c r="B533" s="2541" t="s">
        <v>8512</v>
      </c>
    </row>
    <row r="534" spans="1:2">
      <c r="A534" t="s">
        <v>8068</v>
      </c>
      <c r="B534" s="2541" t="s">
        <v>8513</v>
      </c>
    </row>
    <row r="535" spans="1:2">
      <c r="A535" t="s">
        <v>8069</v>
      </c>
      <c r="B535" s="2541" t="s">
        <v>8514</v>
      </c>
    </row>
    <row r="536" spans="1:2">
      <c r="A536" t="s">
        <v>8070</v>
      </c>
      <c r="B536" s="2541" t="s">
        <v>8515</v>
      </c>
    </row>
    <row r="537" spans="1:2">
      <c r="A537" t="s">
        <v>8071</v>
      </c>
      <c r="B537" s="2541" t="s">
        <v>8516</v>
      </c>
    </row>
    <row r="538" spans="1:2">
      <c r="A538" t="s">
        <v>8072</v>
      </c>
      <c r="B538" s="2541" t="s">
        <v>8517</v>
      </c>
    </row>
    <row r="539" spans="1:2">
      <c r="A539" t="s">
        <v>8073</v>
      </c>
      <c r="B539" s="2541" t="s">
        <v>8518</v>
      </c>
    </row>
    <row r="540" spans="1:2">
      <c r="A540" t="s">
        <v>8074</v>
      </c>
      <c r="B540" s="2541" t="s">
        <v>8519</v>
      </c>
    </row>
    <row r="541" spans="1:2">
      <c r="A541" t="s">
        <v>8075</v>
      </c>
      <c r="B541" s="2541" t="s">
        <v>8520</v>
      </c>
    </row>
    <row r="542" spans="1:2">
      <c r="A542" t="s">
        <v>8076</v>
      </c>
      <c r="B542" s="2541" t="s">
        <v>8521</v>
      </c>
    </row>
    <row r="543" spans="1:2">
      <c r="A543" t="s">
        <v>8077</v>
      </c>
      <c r="B543" s="2541" t="s">
        <v>8522</v>
      </c>
    </row>
    <row r="544" spans="1:2">
      <c r="A544" t="s">
        <v>8078</v>
      </c>
      <c r="B544" s="2541" t="s">
        <v>8523</v>
      </c>
    </row>
    <row r="545" spans="1:2">
      <c r="A545" t="s">
        <v>8079</v>
      </c>
      <c r="B545" s="2541" t="s">
        <v>8524</v>
      </c>
    </row>
    <row r="546" spans="1:2">
      <c r="A546" t="s">
        <v>8080</v>
      </c>
      <c r="B546" s="2541" t="s">
        <v>8525</v>
      </c>
    </row>
    <row r="547" spans="1:2">
      <c r="A547" t="s">
        <v>8081</v>
      </c>
      <c r="B547" s="2541" t="s">
        <v>8526</v>
      </c>
    </row>
    <row r="548" spans="1:2">
      <c r="A548" t="s">
        <v>8082</v>
      </c>
      <c r="B548" s="2541" t="s">
        <v>8527</v>
      </c>
    </row>
    <row r="549" spans="1:2">
      <c r="A549" t="s">
        <v>8083</v>
      </c>
      <c r="B549" s="2541" t="s">
        <v>8528</v>
      </c>
    </row>
    <row r="550" spans="1:2">
      <c r="A550" t="s">
        <v>8084</v>
      </c>
      <c r="B550" s="2541" t="s">
        <v>8529</v>
      </c>
    </row>
    <row r="551" spans="1:2">
      <c r="A551" t="s">
        <v>8085</v>
      </c>
      <c r="B551" s="2541" t="s">
        <v>8530</v>
      </c>
    </row>
    <row r="552" spans="1:2">
      <c r="A552" t="s">
        <v>8086</v>
      </c>
      <c r="B552" s="2541" t="s">
        <v>8531</v>
      </c>
    </row>
    <row r="553" spans="1:2">
      <c r="A553" t="s">
        <v>8087</v>
      </c>
      <c r="B553" s="2541" t="s">
        <v>8532</v>
      </c>
    </row>
    <row r="554" spans="1:2">
      <c r="A554" t="s">
        <v>8088</v>
      </c>
      <c r="B554" s="2541" t="s">
        <v>8533</v>
      </c>
    </row>
    <row r="555" spans="1:2">
      <c r="A555" t="s">
        <v>8089</v>
      </c>
      <c r="B555" s="2541" t="s">
        <v>8534</v>
      </c>
    </row>
    <row r="556" spans="1:2">
      <c r="A556" t="s">
        <v>8090</v>
      </c>
      <c r="B556" s="2541" t="s">
        <v>8535</v>
      </c>
    </row>
    <row r="557" spans="1:2">
      <c r="A557" t="s">
        <v>8091</v>
      </c>
      <c r="B557" s="2541" t="s">
        <v>8536</v>
      </c>
    </row>
    <row r="558" spans="1:2">
      <c r="A558" t="s">
        <v>8092</v>
      </c>
      <c r="B558" s="2541" t="s">
        <v>8537</v>
      </c>
    </row>
    <row r="559" spans="1:2">
      <c r="A559" t="s">
        <v>8093</v>
      </c>
      <c r="B559" s="2541" t="s">
        <v>8538</v>
      </c>
    </row>
    <row r="560" spans="1:2">
      <c r="A560" t="s">
        <v>8094</v>
      </c>
      <c r="B560" s="2541" t="s">
        <v>8539</v>
      </c>
    </row>
    <row r="561" spans="1:2">
      <c r="A561" t="s">
        <v>8095</v>
      </c>
      <c r="B561" s="2541" t="s">
        <v>8540</v>
      </c>
    </row>
    <row r="562" spans="1:2">
      <c r="A562" t="s">
        <v>8096</v>
      </c>
      <c r="B562" s="2541" t="s">
        <v>8541</v>
      </c>
    </row>
    <row r="563" spans="1:2">
      <c r="A563" t="s">
        <v>8097</v>
      </c>
      <c r="B563" s="2541" t="s">
        <v>8542</v>
      </c>
    </row>
    <row r="564" spans="1:2">
      <c r="A564" t="s">
        <v>8098</v>
      </c>
      <c r="B564" s="2541" t="s">
        <v>8543</v>
      </c>
    </row>
    <row r="565" spans="1:2">
      <c r="A565" t="s">
        <v>8099</v>
      </c>
      <c r="B565" s="2541" t="s">
        <v>8544</v>
      </c>
    </row>
    <row r="566" spans="1:2">
      <c r="A566" t="s">
        <v>8100</v>
      </c>
      <c r="B566" s="2541" t="s">
        <v>8545</v>
      </c>
    </row>
    <row r="567" spans="1:2">
      <c r="A567" t="s">
        <v>8101</v>
      </c>
      <c r="B567" s="2541" t="s">
        <v>8546</v>
      </c>
    </row>
    <row r="568" spans="1:2">
      <c r="A568" t="s">
        <v>8102</v>
      </c>
      <c r="B568" s="2541" t="s">
        <v>8547</v>
      </c>
    </row>
    <row r="569" spans="1:2">
      <c r="A569" s="2542" t="s">
        <v>8103</v>
      </c>
      <c r="B569" s="2541" t="s">
        <v>8497</v>
      </c>
    </row>
    <row r="570" spans="1:2">
      <c r="A570" t="s">
        <v>8104</v>
      </c>
      <c r="B570" s="2541" t="s">
        <v>8499</v>
      </c>
    </row>
    <row r="571" spans="1:2">
      <c r="A571" t="s">
        <v>8105</v>
      </c>
      <c r="B571" s="2541" t="s">
        <v>8500</v>
      </c>
    </row>
    <row r="572" spans="1:2">
      <c r="A572" t="s">
        <v>8106</v>
      </c>
      <c r="B572" s="2541" t="s">
        <v>8501</v>
      </c>
    </row>
    <row r="573" spans="1:2">
      <c r="A573" t="s">
        <v>8107</v>
      </c>
      <c r="B573" s="2541" t="s">
        <v>8502</v>
      </c>
    </row>
    <row r="574" spans="1:2">
      <c r="A574" t="s">
        <v>8108</v>
      </c>
      <c r="B574" s="2541" t="s">
        <v>8503</v>
      </c>
    </row>
    <row r="575" spans="1:2">
      <c r="A575" t="s">
        <v>8109</v>
      </c>
      <c r="B575" s="2541" t="s">
        <v>8504</v>
      </c>
    </row>
    <row r="576" spans="1:2">
      <c r="A576" t="s">
        <v>8110</v>
      </c>
      <c r="B576" s="2541" t="s">
        <v>8505</v>
      </c>
    </row>
    <row r="577" spans="1:2">
      <c r="A577" t="s">
        <v>8111</v>
      </c>
      <c r="B577" s="2541" t="s">
        <v>8506</v>
      </c>
    </row>
    <row r="578" spans="1:2">
      <c r="A578" t="s">
        <v>8112</v>
      </c>
      <c r="B578" s="2541" t="s">
        <v>8507</v>
      </c>
    </row>
    <row r="579" spans="1:2">
      <c r="A579" t="s">
        <v>8113</v>
      </c>
      <c r="B579" s="2541" t="s">
        <v>8508</v>
      </c>
    </row>
    <row r="580" spans="1:2">
      <c r="A580" t="s">
        <v>8114</v>
      </c>
      <c r="B580" s="2541" t="s">
        <v>8509</v>
      </c>
    </row>
    <row r="581" spans="1:2">
      <c r="A581" t="s">
        <v>8115</v>
      </c>
      <c r="B581" s="2541" t="s">
        <v>8510</v>
      </c>
    </row>
    <row r="582" spans="1:2">
      <c r="A582" t="s">
        <v>8116</v>
      </c>
      <c r="B582" s="2541" t="s">
        <v>8511</v>
      </c>
    </row>
    <row r="583" spans="1:2">
      <c r="A583" t="s">
        <v>8117</v>
      </c>
      <c r="B583" s="2541" t="s">
        <v>8512</v>
      </c>
    </row>
    <row r="584" spans="1:2">
      <c r="A584" t="s">
        <v>8118</v>
      </c>
      <c r="B584" s="2541" t="s">
        <v>8513</v>
      </c>
    </row>
    <row r="585" spans="1:2">
      <c r="A585" t="s">
        <v>8119</v>
      </c>
      <c r="B585" s="2541" t="s">
        <v>8514</v>
      </c>
    </row>
    <row r="586" spans="1:2">
      <c r="A586" t="s">
        <v>8120</v>
      </c>
      <c r="B586" s="2541" t="s">
        <v>8515</v>
      </c>
    </row>
    <row r="587" spans="1:2">
      <c r="A587" t="s">
        <v>8121</v>
      </c>
      <c r="B587" s="2541" t="s">
        <v>8516</v>
      </c>
    </row>
    <row r="588" spans="1:2">
      <c r="A588" t="s">
        <v>8122</v>
      </c>
      <c r="B588" s="2541" t="s">
        <v>8517</v>
      </c>
    </row>
    <row r="589" spans="1:2">
      <c r="A589" t="s">
        <v>8123</v>
      </c>
      <c r="B589" s="2541" t="s">
        <v>8518</v>
      </c>
    </row>
    <row r="590" spans="1:2">
      <c r="A590" t="s">
        <v>8124</v>
      </c>
      <c r="B590" s="2541" t="s">
        <v>8519</v>
      </c>
    </row>
    <row r="591" spans="1:2">
      <c r="A591" t="s">
        <v>8125</v>
      </c>
      <c r="B591" s="2541" t="s">
        <v>8520</v>
      </c>
    </row>
    <row r="592" spans="1:2">
      <c r="A592" t="s">
        <v>8126</v>
      </c>
      <c r="B592" s="2541" t="s">
        <v>8521</v>
      </c>
    </row>
    <row r="593" spans="1:2">
      <c r="A593" t="s">
        <v>8127</v>
      </c>
      <c r="B593" s="2541" t="s">
        <v>8522</v>
      </c>
    </row>
    <row r="594" spans="1:2">
      <c r="A594" t="s">
        <v>8128</v>
      </c>
      <c r="B594" s="2541" t="s">
        <v>8523</v>
      </c>
    </row>
    <row r="595" spans="1:2">
      <c r="A595" t="s">
        <v>8129</v>
      </c>
      <c r="B595" s="2541" t="s">
        <v>8524</v>
      </c>
    </row>
    <row r="596" spans="1:2">
      <c r="A596" t="s">
        <v>8130</v>
      </c>
      <c r="B596" s="2541" t="s">
        <v>8525</v>
      </c>
    </row>
    <row r="597" spans="1:2">
      <c r="A597" t="s">
        <v>8131</v>
      </c>
      <c r="B597" s="2541" t="s">
        <v>8526</v>
      </c>
    </row>
    <row r="598" spans="1:2">
      <c r="A598" t="s">
        <v>8132</v>
      </c>
      <c r="B598" s="2541" t="s">
        <v>8527</v>
      </c>
    </row>
    <row r="599" spans="1:2">
      <c r="A599" t="s">
        <v>8133</v>
      </c>
      <c r="B599" s="2541" t="s">
        <v>8528</v>
      </c>
    </row>
    <row r="600" spans="1:2">
      <c r="A600" t="s">
        <v>8134</v>
      </c>
      <c r="B600" s="2541" t="s">
        <v>8529</v>
      </c>
    </row>
    <row r="601" spans="1:2">
      <c r="A601" t="s">
        <v>8135</v>
      </c>
      <c r="B601" s="2541" t="s">
        <v>8530</v>
      </c>
    </row>
    <row r="602" spans="1:2">
      <c r="A602" t="s">
        <v>8136</v>
      </c>
      <c r="B602" s="2541" t="s">
        <v>8531</v>
      </c>
    </row>
    <row r="603" spans="1:2">
      <c r="A603" t="s">
        <v>8137</v>
      </c>
      <c r="B603" s="2541" t="s">
        <v>8532</v>
      </c>
    </row>
    <row r="604" spans="1:2">
      <c r="A604" t="s">
        <v>8138</v>
      </c>
      <c r="B604" s="2541" t="s">
        <v>8533</v>
      </c>
    </row>
    <row r="605" spans="1:2">
      <c r="A605" t="s">
        <v>8139</v>
      </c>
      <c r="B605" s="2541" t="s">
        <v>8534</v>
      </c>
    </row>
    <row r="606" spans="1:2">
      <c r="A606" t="s">
        <v>8140</v>
      </c>
      <c r="B606" s="2541" t="s">
        <v>8535</v>
      </c>
    </row>
    <row r="607" spans="1:2">
      <c r="A607" t="s">
        <v>8141</v>
      </c>
      <c r="B607" s="2541" t="s">
        <v>8536</v>
      </c>
    </row>
    <row r="608" spans="1:2">
      <c r="A608" t="s">
        <v>8142</v>
      </c>
      <c r="B608" s="2541" t="s">
        <v>8537</v>
      </c>
    </row>
    <row r="609" spans="1:2">
      <c r="A609" t="s">
        <v>8143</v>
      </c>
      <c r="B609" s="2541" t="s">
        <v>8538</v>
      </c>
    </row>
    <row r="610" spans="1:2">
      <c r="A610" t="s">
        <v>8144</v>
      </c>
      <c r="B610" s="2541" t="s">
        <v>8539</v>
      </c>
    </row>
    <row r="611" spans="1:2">
      <c r="A611" t="s">
        <v>8145</v>
      </c>
      <c r="B611" s="2541" t="s">
        <v>8540</v>
      </c>
    </row>
    <row r="612" spans="1:2">
      <c r="A612" t="s">
        <v>8146</v>
      </c>
      <c r="B612" s="2541" t="s">
        <v>8541</v>
      </c>
    </row>
    <row r="613" spans="1:2">
      <c r="A613" t="s">
        <v>8147</v>
      </c>
      <c r="B613" s="2541" t="s">
        <v>8542</v>
      </c>
    </row>
    <row r="614" spans="1:2">
      <c r="A614" t="s">
        <v>8148</v>
      </c>
      <c r="B614" s="2541" t="s">
        <v>8543</v>
      </c>
    </row>
    <row r="615" spans="1:2">
      <c r="A615" t="s">
        <v>8149</v>
      </c>
      <c r="B615" s="2541" t="s">
        <v>8544</v>
      </c>
    </row>
    <row r="616" spans="1:2">
      <c r="A616" t="s">
        <v>8150</v>
      </c>
      <c r="B616" s="2541" t="s">
        <v>8545</v>
      </c>
    </row>
    <row r="617" spans="1:2">
      <c r="A617" t="s">
        <v>8151</v>
      </c>
      <c r="B617" s="2541" t="s">
        <v>8546</v>
      </c>
    </row>
    <row r="618" spans="1:2">
      <c r="A618" t="s">
        <v>8152</v>
      </c>
      <c r="B618" s="2541" t="s">
        <v>8547</v>
      </c>
    </row>
    <row r="619" spans="1:2">
      <c r="A619" s="2542" t="s">
        <v>8153</v>
      </c>
      <c r="B619" s="2541" t="s">
        <v>8497</v>
      </c>
    </row>
    <row r="620" spans="1:2">
      <c r="A620" t="s">
        <v>8154</v>
      </c>
      <c r="B620" s="2541" t="s">
        <v>8499</v>
      </c>
    </row>
    <row r="621" spans="1:2">
      <c r="A621" t="s">
        <v>8155</v>
      </c>
      <c r="B621" s="2541" t="s">
        <v>8500</v>
      </c>
    </row>
    <row r="622" spans="1:2">
      <c r="A622" t="s">
        <v>8156</v>
      </c>
      <c r="B622" s="2541" t="s">
        <v>8501</v>
      </c>
    </row>
    <row r="623" spans="1:2">
      <c r="A623" t="s">
        <v>8157</v>
      </c>
      <c r="B623" s="2541" t="s">
        <v>8502</v>
      </c>
    </row>
    <row r="624" spans="1:2">
      <c r="A624" t="s">
        <v>8158</v>
      </c>
      <c r="B624" s="2541" t="s">
        <v>8503</v>
      </c>
    </row>
    <row r="625" spans="1:2">
      <c r="A625" t="s">
        <v>8159</v>
      </c>
      <c r="B625" s="2541" t="s">
        <v>8504</v>
      </c>
    </row>
    <row r="626" spans="1:2">
      <c r="A626" t="s">
        <v>8160</v>
      </c>
      <c r="B626" s="2541" t="s">
        <v>8505</v>
      </c>
    </row>
    <row r="627" spans="1:2">
      <c r="A627" t="s">
        <v>8161</v>
      </c>
      <c r="B627" s="2541" t="s">
        <v>8506</v>
      </c>
    </row>
    <row r="628" spans="1:2">
      <c r="A628" t="s">
        <v>8162</v>
      </c>
      <c r="B628" s="2541" t="s">
        <v>8507</v>
      </c>
    </row>
    <row r="629" spans="1:2">
      <c r="A629" t="s">
        <v>8163</v>
      </c>
      <c r="B629" s="2541" t="s">
        <v>8508</v>
      </c>
    </row>
    <row r="630" spans="1:2">
      <c r="A630" t="s">
        <v>8164</v>
      </c>
      <c r="B630" s="2541" t="s">
        <v>8509</v>
      </c>
    </row>
    <row r="631" spans="1:2">
      <c r="A631" t="s">
        <v>8165</v>
      </c>
      <c r="B631" s="2541" t="s">
        <v>8510</v>
      </c>
    </row>
    <row r="632" spans="1:2">
      <c r="A632" t="s">
        <v>8166</v>
      </c>
      <c r="B632" s="2541" t="s">
        <v>8511</v>
      </c>
    </row>
    <row r="633" spans="1:2">
      <c r="A633" t="s">
        <v>8167</v>
      </c>
      <c r="B633" s="2541" t="s">
        <v>8512</v>
      </c>
    </row>
    <row r="634" spans="1:2">
      <c r="A634" t="s">
        <v>8168</v>
      </c>
      <c r="B634" s="2541" t="s">
        <v>8513</v>
      </c>
    </row>
    <row r="635" spans="1:2">
      <c r="A635" t="s">
        <v>8169</v>
      </c>
      <c r="B635" s="2541" t="s">
        <v>8514</v>
      </c>
    </row>
    <row r="636" spans="1:2">
      <c r="A636" t="s">
        <v>8170</v>
      </c>
      <c r="B636" s="2541" t="s">
        <v>8515</v>
      </c>
    </row>
    <row r="637" spans="1:2">
      <c r="A637" t="s">
        <v>8171</v>
      </c>
      <c r="B637" s="2541" t="s">
        <v>8516</v>
      </c>
    </row>
    <row r="638" spans="1:2">
      <c r="A638" t="s">
        <v>8172</v>
      </c>
      <c r="B638" s="2541" t="s">
        <v>8517</v>
      </c>
    </row>
    <row r="639" spans="1:2">
      <c r="A639" t="s">
        <v>8173</v>
      </c>
      <c r="B639" s="2541" t="s">
        <v>8518</v>
      </c>
    </row>
    <row r="640" spans="1:2">
      <c r="A640" t="s">
        <v>8174</v>
      </c>
      <c r="B640" s="2541" t="s">
        <v>8519</v>
      </c>
    </row>
    <row r="641" spans="1:2">
      <c r="A641" t="s">
        <v>8175</v>
      </c>
      <c r="B641" s="2541" t="s">
        <v>8520</v>
      </c>
    </row>
    <row r="642" spans="1:2">
      <c r="A642" t="s">
        <v>8176</v>
      </c>
      <c r="B642" s="2541" t="s">
        <v>8521</v>
      </c>
    </row>
    <row r="643" spans="1:2">
      <c r="A643" t="s">
        <v>8177</v>
      </c>
      <c r="B643" s="2541" t="s">
        <v>8522</v>
      </c>
    </row>
    <row r="644" spans="1:2">
      <c r="A644" t="s">
        <v>8178</v>
      </c>
      <c r="B644" s="2541" t="s">
        <v>8523</v>
      </c>
    </row>
    <row r="645" spans="1:2">
      <c r="A645" t="s">
        <v>8179</v>
      </c>
      <c r="B645" s="2541" t="s">
        <v>8524</v>
      </c>
    </row>
    <row r="646" spans="1:2">
      <c r="A646" t="s">
        <v>8180</v>
      </c>
      <c r="B646" s="2541" t="s">
        <v>8525</v>
      </c>
    </row>
    <row r="647" spans="1:2">
      <c r="A647" t="s">
        <v>8181</v>
      </c>
      <c r="B647" s="2541" t="s">
        <v>8526</v>
      </c>
    </row>
    <row r="648" spans="1:2">
      <c r="A648" t="s">
        <v>8182</v>
      </c>
      <c r="B648" s="2541" t="s">
        <v>8527</v>
      </c>
    </row>
    <row r="649" spans="1:2">
      <c r="A649" t="s">
        <v>8183</v>
      </c>
      <c r="B649" s="2541" t="s">
        <v>8528</v>
      </c>
    </row>
    <row r="650" spans="1:2">
      <c r="A650" t="s">
        <v>8184</v>
      </c>
      <c r="B650" s="2541" t="s">
        <v>8529</v>
      </c>
    </row>
    <row r="651" spans="1:2">
      <c r="A651" t="s">
        <v>8185</v>
      </c>
      <c r="B651" s="2541" t="s">
        <v>8530</v>
      </c>
    </row>
    <row r="652" spans="1:2">
      <c r="A652" t="s">
        <v>8186</v>
      </c>
      <c r="B652" s="2541" t="s">
        <v>8531</v>
      </c>
    </row>
    <row r="653" spans="1:2">
      <c r="A653" t="s">
        <v>8187</v>
      </c>
      <c r="B653" s="2541" t="s">
        <v>8532</v>
      </c>
    </row>
    <row r="654" spans="1:2">
      <c r="A654" t="s">
        <v>8188</v>
      </c>
      <c r="B654" s="2541" t="s">
        <v>8533</v>
      </c>
    </row>
    <row r="655" spans="1:2">
      <c r="A655" t="s">
        <v>8189</v>
      </c>
      <c r="B655" s="2541" t="s">
        <v>8534</v>
      </c>
    </row>
    <row r="656" spans="1:2">
      <c r="A656" t="s">
        <v>8190</v>
      </c>
      <c r="B656" s="2541" t="s">
        <v>8535</v>
      </c>
    </row>
    <row r="657" spans="1:2">
      <c r="A657" t="s">
        <v>8191</v>
      </c>
      <c r="B657" s="2541" t="s">
        <v>8536</v>
      </c>
    </row>
    <row r="658" spans="1:2">
      <c r="A658" t="s">
        <v>8192</v>
      </c>
      <c r="B658" s="2541" t="s">
        <v>8537</v>
      </c>
    </row>
    <row r="659" spans="1:2">
      <c r="A659" t="s">
        <v>8193</v>
      </c>
      <c r="B659" s="2541" t="s">
        <v>8538</v>
      </c>
    </row>
    <row r="660" spans="1:2">
      <c r="A660" t="s">
        <v>8194</v>
      </c>
      <c r="B660" s="2541" t="s">
        <v>8539</v>
      </c>
    </row>
    <row r="661" spans="1:2">
      <c r="A661" t="s">
        <v>8195</v>
      </c>
      <c r="B661" s="2541" t="s">
        <v>8540</v>
      </c>
    </row>
    <row r="662" spans="1:2">
      <c r="A662" t="s">
        <v>8196</v>
      </c>
      <c r="B662" s="2541" t="s">
        <v>8541</v>
      </c>
    </row>
    <row r="663" spans="1:2">
      <c r="A663" t="s">
        <v>8197</v>
      </c>
      <c r="B663" s="2541" t="s">
        <v>8542</v>
      </c>
    </row>
    <row r="664" spans="1:2">
      <c r="A664" t="s">
        <v>8198</v>
      </c>
      <c r="B664" s="2541" t="s">
        <v>8543</v>
      </c>
    </row>
    <row r="665" spans="1:2">
      <c r="A665" t="s">
        <v>8199</v>
      </c>
      <c r="B665" s="2541" t="s">
        <v>8544</v>
      </c>
    </row>
    <row r="666" spans="1:2">
      <c r="A666" t="s">
        <v>8200</v>
      </c>
      <c r="B666" s="2541" t="s">
        <v>8545</v>
      </c>
    </row>
    <row r="667" spans="1:2">
      <c r="A667" t="s">
        <v>8201</v>
      </c>
      <c r="B667" s="2541" t="s">
        <v>8546</v>
      </c>
    </row>
    <row r="668" spans="1:2">
      <c r="A668" t="s">
        <v>8202</v>
      </c>
      <c r="B668" s="2541" t="s">
        <v>8547</v>
      </c>
    </row>
    <row r="669" spans="1:2">
      <c r="A669" t="s">
        <v>8203</v>
      </c>
      <c r="B669" s="2541" t="s">
        <v>8548</v>
      </c>
    </row>
    <row r="670" spans="1:2">
      <c r="A670" t="s">
        <v>8204</v>
      </c>
      <c r="B670" s="2541" t="s">
        <v>8549</v>
      </c>
    </row>
    <row r="671" spans="1:2">
      <c r="A671" t="s">
        <v>8205</v>
      </c>
      <c r="B671" s="2541" t="s">
        <v>8550</v>
      </c>
    </row>
    <row r="672" spans="1:2">
      <c r="A672" t="s">
        <v>8206</v>
      </c>
      <c r="B672" s="2541" t="s">
        <v>8551</v>
      </c>
    </row>
    <row r="673" spans="1:2">
      <c r="A673" s="2542" t="s">
        <v>8207</v>
      </c>
      <c r="B673" s="2541" t="s">
        <v>8497</v>
      </c>
    </row>
    <row r="674" spans="1:2">
      <c r="A674" t="s">
        <v>8208</v>
      </c>
      <c r="B674" s="2541" t="s">
        <v>8499</v>
      </c>
    </row>
    <row r="675" spans="1:2">
      <c r="A675" t="s">
        <v>8209</v>
      </c>
      <c r="B675" s="2541" t="s">
        <v>8500</v>
      </c>
    </row>
    <row r="676" spans="1:2">
      <c r="A676" t="s">
        <v>8210</v>
      </c>
      <c r="B676" s="2541" t="s">
        <v>8501</v>
      </c>
    </row>
    <row r="677" spans="1:2">
      <c r="A677" t="s">
        <v>8211</v>
      </c>
      <c r="B677" s="2541" t="s">
        <v>8502</v>
      </c>
    </row>
    <row r="678" spans="1:2">
      <c r="A678" t="s">
        <v>8212</v>
      </c>
      <c r="B678" s="2541" t="s">
        <v>8503</v>
      </c>
    </row>
    <row r="679" spans="1:2">
      <c r="A679" t="s">
        <v>8213</v>
      </c>
      <c r="B679" s="2541" t="s">
        <v>8504</v>
      </c>
    </row>
    <row r="680" spans="1:2">
      <c r="A680" t="s">
        <v>8214</v>
      </c>
      <c r="B680" s="2541" t="s">
        <v>8505</v>
      </c>
    </row>
    <row r="681" spans="1:2">
      <c r="A681" t="s">
        <v>8215</v>
      </c>
      <c r="B681" s="2541" t="s">
        <v>8506</v>
      </c>
    </row>
    <row r="682" spans="1:2">
      <c r="A682" t="s">
        <v>8216</v>
      </c>
      <c r="B682" s="2541" t="s">
        <v>8507</v>
      </c>
    </row>
    <row r="683" spans="1:2">
      <c r="A683" t="s">
        <v>8217</v>
      </c>
      <c r="B683" s="2541" t="s">
        <v>8508</v>
      </c>
    </row>
    <row r="684" spans="1:2">
      <c r="A684" t="s">
        <v>8218</v>
      </c>
      <c r="B684" s="2541" t="s">
        <v>8509</v>
      </c>
    </row>
    <row r="685" spans="1:2">
      <c r="A685" t="s">
        <v>8219</v>
      </c>
      <c r="B685" s="2541" t="s">
        <v>8510</v>
      </c>
    </row>
    <row r="686" spans="1:2">
      <c r="A686" t="s">
        <v>8220</v>
      </c>
      <c r="B686" s="2541" t="s">
        <v>8511</v>
      </c>
    </row>
    <row r="687" spans="1:2">
      <c r="A687" t="s">
        <v>8221</v>
      </c>
      <c r="B687" s="2541" t="s">
        <v>8512</v>
      </c>
    </row>
    <row r="688" spans="1:2">
      <c r="A688" t="s">
        <v>8222</v>
      </c>
      <c r="B688" s="2541" t="s">
        <v>8513</v>
      </c>
    </row>
    <row r="689" spans="1:2">
      <c r="A689" t="s">
        <v>8223</v>
      </c>
      <c r="B689" s="2541" t="s">
        <v>8514</v>
      </c>
    </row>
    <row r="690" spans="1:2">
      <c r="A690" t="s">
        <v>8224</v>
      </c>
      <c r="B690" s="2541" t="s">
        <v>8515</v>
      </c>
    </row>
    <row r="691" spans="1:2">
      <c r="A691" t="s">
        <v>8225</v>
      </c>
      <c r="B691" s="2541" t="s">
        <v>8516</v>
      </c>
    </row>
    <row r="692" spans="1:2">
      <c r="A692" t="s">
        <v>8226</v>
      </c>
      <c r="B692" s="2541" t="s">
        <v>8517</v>
      </c>
    </row>
    <row r="693" spans="1:2">
      <c r="A693" t="s">
        <v>8227</v>
      </c>
      <c r="B693" s="2541" t="s">
        <v>8518</v>
      </c>
    </row>
    <row r="694" spans="1:2">
      <c r="A694" t="s">
        <v>8228</v>
      </c>
      <c r="B694" s="2541" t="s">
        <v>8519</v>
      </c>
    </row>
    <row r="695" spans="1:2">
      <c r="A695" t="s">
        <v>8229</v>
      </c>
      <c r="B695" s="2541" t="s">
        <v>8520</v>
      </c>
    </row>
    <row r="696" spans="1:2">
      <c r="A696" t="s">
        <v>8230</v>
      </c>
      <c r="B696" s="2541" t="s">
        <v>8521</v>
      </c>
    </row>
    <row r="697" spans="1:2">
      <c r="A697" t="s">
        <v>8231</v>
      </c>
      <c r="B697" s="2541" t="s">
        <v>8522</v>
      </c>
    </row>
    <row r="698" spans="1:2">
      <c r="A698" t="s">
        <v>8232</v>
      </c>
      <c r="B698" s="2541" t="s">
        <v>8523</v>
      </c>
    </row>
    <row r="699" spans="1:2">
      <c r="A699" t="s">
        <v>8233</v>
      </c>
      <c r="B699" s="2541" t="s">
        <v>8524</v>
      </c>
    </row>
    <row r="700" spans="1:2">
      <c r="A700" t="s">
        <v>8234</v>
      </c>
      <c r="B700" s="2541" t="s">
        <v>8525</v>
      </c>
    </row>
    <row r="701" spans="1:2">
      <c r="A701" t="s">
        <v>8235</v>
      </c>
      <c r="B701" s="2541" t="s">
        <v>8526</v>
      </c>
    </row>
    <row r="702" spans="1:2">
      <c r="A702" t="s">
        <v>8236</v>
      </c>
      <c r="B702" s="2541" t="s">
        <v>8527</v>
      </c>
    </row>
    <row r="703" spans="1:2">
      <c r="A703" t="s">
        <v>8237</v>
      </c>
      <c r="B703" s="2541" t="s">
        <v>8528</v>
      </c>
    </row>
    <row r="704" spans="1:2">
      <c r="A704" t="s">
        <v>8238</v>
      </c>
      <c r="B704" s="2541" t="s">
        <v>8529</v>
      </c>
    </row>
    <row r="705" spans="1:2">
      <c r="A705" t="s">
        <v>8239</v>
      </c>
      <c r="B705" s="2541" t="s">
        <v>8530</v>
      </c>
    </row>
    <row r="706" spans="1:2">
      <c r="A706" t="s">
        <v>8240</v>
      </c>
      <c r="B706" s="2541" t="s">
        <v>8531</v>
      </c>
    </row>
    <row r="707" spans="1:2">
      <c r="A707" t="s">
        <v>8241</v>
      </c>
      <c r="B707" s="2541" t="s">
        <v>8532</v>
      </c>
    </row>
    <row r="708" spans="1:2">
      <c r="A708" t="s">
        <v>8242</v>
      </c>
      <c r="B708" s="2541" t="s">
        <v>8533</v>
      </c>
    </row>
    <row r="709" spans="1:2">
      <c r="A709" t="s">
        <v>8243</v>
      </c>
      <c r="B709" s="2541" t="s">
        <v>8534</v>
      </c>
    </row>
    <row r="710" spans="1:2">
      <c r="A710" t="s">
        <v>8244</v>
      </c>
      <c r="B710" s="2541" t="s">
        <v>8535</v>
      </c>
    </row>
    <row r="711" spans="1:2">
      <c r="A711" t="s">
        <v>8245</v>
      </c>
      <c r="B711" s="2541" t="s">
        <v>8536</v>
      </c>
    </row>
    <row r="712" spans="1:2">
      <c r="A712" t="s">
        <v>8246</v>
      </c>
      <c r="B712" s="2541" t="s">
        <v>8537</v>
      </c>
    </row>
    <row r="713" spans="1:2">
      <c r="A713" t="s">
        <v>8247</v>
      </c>
      <c r="B713" s="2541" t="s">
        <v>8538</v>
      </c>
    </row>
    <row r="714" spans="1:2">
      <c r="A714" t="s">
        <v>8248</v>
      </c>
      <c r="B714" s="2541" t="s">
        <v>8539</v>
      </c>
    </row>
    <row r="715" spans="1:2">
      <c r="A715" t="s">
        <v>8249</v>
      </c>
      <c r="B715" s="2541" t="s">
        <v>8540</v>
      </c>
    </row>
    <row r="716" spans="1:2">
      <c r="A716" t="s">
        <v>8250</v>
      </c>
      <c r="B716" s="2541" t="s">
        <v>8541</v>
      </c>
    </row>
    <row r="717" spans="1:2">
      <c r="A717" t="s">
        <v>8251</v>
      </c>
      <c r="B717" s="2541" t="s">
        <v>8542</v>
      </c>
    </row>
    <row r="718" spans="1:2">
      <c r="A718" t="s">
        <v>8252</v>
      </c>
      <c r="B718" s="2541" t="s">
        <v>8543</v>
      </c>
    </row>
    <row r="719" spans="1:2">
      <c r="A719" t="s">
        <v>8253</v>
      </c>
      <c r="B719" s="2541" t="s">
        <v>8544</v>
      </c>
    </row>
    <row r="720" spans="1:2">
      <c r="A720" t="s">
        <v>8254</v>
      </c>
      <c r="B720" s="2541" t="s">
        <v>8545</v>
      </c>
    </row>
    <row r="721" spans="1:4">
      <c r="A721" t="s">
        <v>8255</v>
      </c>
      <c r="B721" s="2541" t="s">
        <v>8546</v>
      </c>
    </row>
    <row r="722" spans="1:4">
      <c r="A722" t="s">
        <v>8256</v>
      </c>
      <c r="B722" s="2541" t="s">
        <v>8547</v>
      </c>
    </row>
    <row r="723" spans="1:4">
      <c r="A723" t="s">
        <v>8257</v>
      </c>
      <c r="B723" s="2541" t="s">
        <v>8548</v>
      </c>
    </row>
    <row r="724" spans="1:4">
      <c r="A724" t="s">
        <v>8258</v>
      </c>
      <c r="B724" s="2541" t="s">
        <v>8549</v>
      </c>
    </row>
    <row r="725" spans="1:4">
      <c r="A725" t="s">
        <v>8259</v>
      </c>
      <c r="B725" s="2541" t="s">
        <v>8550</v>
      </c>
    </row>
    <row r="726" spans="1:4">
      <c r="A726" t="s">
        <v>8260</v>
      </c>
      <c r="B726" s="2566" t="s">
        <v>8551</v>
      </c>
    </row>
    <row r="727" spans="1:4">
      <c r="A727" t="s">
        <v>8656</v>
      </c>
      <c r="B727" s="2541" t="s">
        <v>8621</v>
      </c>
      <c r="C727" s="2567" t="s">
        <v>8623</v>
      </c>
      <c r="D727" s="2567" t="s">
        <v>8625</v>
      </c>
    </row>
    <row r="728" spans="1:4">
      <c r="A728" t="s">
        <v>8657</v>
      </c>
      <c r="B728" s="2541" t="s">
        <v>8626</v>
      </c>
      <c r="C728" s="2541" t="s">
        <v>8635</v>
      </c>
      <c r="D728" s="2541" t="s">
        <v>8644</v>
      </c>
    </row>
    <row r="729" spans="1:4">
      <c r="A729" t="s">
        <v>8658</v>
      </c>
      <c r="B729" s="2541" t="s">
        <v>8627</v>
      </c>
      <c r="C729" s="2541" t="s">
        <v>8636</v>
      </c>
      <c r="D729" s="2541" t="s">
        <v>8645</v>
      </c>
    </row>
    <row r="730" spans="1:4">
      <c r="A730" t="s">
        <v>8659</v>
      </c>
      <c r="B730" s="2541" t="s">
        <v>8628</v>
      </c>
      <c r="C730" s="2541" t="s">
        <v>8637</v>
      </c>
      <c r="D730" s="2541" t="s">
        <v>8646</v>
      </c>
    </row>
    <row r="731" spans="1:4">
      <c r="A731" t="s">
        <v>8660</v>
      </c>
      <c r="B731" s="2541" t="s">
        <v>8629</v>
      </c>
      <c r="C731" s="2541" t="s">
        <v>8638</v>
      </c>
      <c r="D731" s="2541" t="s">
        <v>8647</v>
      </c>
    </row>
    <row r="732" spans="1:4">
      <c r="A732" t="s">
        <v>8661</v>
      </c>
      <c r="B732" s="2541" t="s">
        <v>8630</v>
      </c>
      <c r="C732" s="2541" t="s">
        <v>8639</v>
      </c>
      <c r="D732" s="2541" t="s">
        <v>8648</v>
      </c>
    </row>
    <row r="733" spans="1:4">
      <c r="A733" t="s">
        <v>8662</v>
      </c>
      <c r="B733" s="2541" t="s">
        <v>8631</v>
      </c>
      <c r="C733" s="2541" t="s">
        <v>8640</v>
      </c>
      <c r="D733" s="2541" t="s">
        <v>8649</v>
      </c>
    </row>
    <row r="734" spans="1:4">
      <c r="A734" t="s">
        <v>8663</v>
      </c>
      <c r="B734" s="2541" t="s">
        <v>8632</v>
      </c>
      <c r="C734" s="2541" t="s">
        <v>8641</v>
      </c>
      <c r="D734" s="2541" t="s">
        <v>8650</v>
      </c>
    </row>
    <row r="735" spans="1:4">
      <c r="A735" t="s">
        <v>8664</v>
      </c>
      <c r="B735" s="2541" t="s">
        <v>8633</v>
      </c>
      <c r="C735" s="2541" t="s">
        <v>8642</v>
      </c>
      <c r="D735" s="2541" t="s">
        <v>8651</v>
      </c>
    </row>
    <row r="736" spans="1:4">
      <c r="A736" t="s">
        <v>8665</v>
      </c>
      <c r="B736" s="2541" t="s">
        <v>8634</v>
      </c>
      <c r="C736" s="2541" t="s">
        <v>8643</v>
      </c>
      <c r="D736" s="2541" t="s">
        <v>8652</v>
      </c>
    </row>
    <row r="737" spans="1:4">
      <c r="A737" t="s">
        <v>8666</v>
      </c>
      <c r="B737" s="2541" t="s">
        <v>8655</v>
      </c>
      <c r="C737" s="2541" t="s">
        <v>8654</v>
      </c>
      <c r="D737" s="2541" t="s">
        <v>8653</v>
      </c>
    </row>
    <row r="738" spans="1:4">
      <c r="A738" t="s">
        <v>8667</v>
      </c>
      <c r="B738" s="2541" t="s">
        <v>8509</v>
      </c>
    </row>
    <row r="739" spans="1:4">
      <c r="A739" t="s">
        <v>8668</v>
      </c>
      <c r="B739" s="2541" t="s">
        <v>8510</v>
      </c>
    </row>
    <row r="740" spans="1:4">
      <c r="A740" t="s">
        <v>8669</v>
      </c>
      <c r="B740" s="2541" t="s">
        <v>8511</v>
      </c>
    </row>
    <row r="741" spans="1:4">
      <c r="A741" t="s">
        <v>8670</v>
      </c>
      <c r="B741" s="2541" t="s">
        <v>8512</v>
      </c>
    </row>
    <row r="742" spans="1:4">
      <c r="A742" t="s">
        <v>8671</v>
      </c>
      <c r="B742" s="2541" t="s">
        <v>8513</v>
      </c>
    </row>
    <row r="743" spans="1:4">
      <c r="A743" t="s">
        <v>8672</v>
      </c>
      <c r="B743" s="2541" t="s">
        <v>8514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84" t="s">
        <v>9312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819" t="s">
        <v>4562</v>
      </c>
      <c r="J3" s="3825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4136</v>
      </c>
      <c r="L4" s="1342">
        <v>2.2999999999999998</v>
      </c>
      <c r="M4" s="1343">
        <v>2.1</v>
      </c>
      <c r="N4" s="1344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81"/>
      <c r="U5" s="2581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4" cm="1">
        <f t="array" ref="D6">INDEX('6층_부하량'!F3:F3000,MATCH(1,("6-DaHall 1-CEP-05"='6층_부하량'!A3:A3000)*(1='6층_부하량'!B3:B3000),0))</f>
        <v>58.82</v>
      </c>
      <c r="E6" s="2544" cm="1">
        <f t="array" ref="E6">INDEX('6층_부하량'!G3:G3000,MATCH(1,("6-DaHall 1-CEP-05"='6층_부하량'!A3:A3000)*(1='6층_부하량'!B3:B3000),0))</f>
        <v>60.08</v>
      </c>
      <c r="F6" s="2544" cm="1">
        <f t="array" ref="F6">INDEX('6층_부하량'!H3:H3000,MATCH(1,("6-DaHall 1-CEP-05"='6층_부하량'!A3:A3000)*(1='6층_부하량'!B3:B3000),0))</f>
        <v>58.64</v>
      </c>
      <c r="G6" s="346"/>
      <c r="H6" s="141" t="s">
        <v>4563</v>
      </c>
      <c r="I6" s="144" t="s">
        <v>4206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4296</v>
      </c>
      <c r="D7" s="1268" t="s">
        <v>4564</v>
      </c>
      <c r="E7" s="1268" t="s">
        <v>4565</v>
      </c>
      <c r="F7" s="1268" t="s">
        <v>4566</v>
      </c>
      <c r="G7" s="1268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5" cm="1">
        <f t="array" ref="L7">INDEX('6층_부하량'!F3:F3000,MATCH(1,("6-DaHall 1-CEP-05"='6층_부하량'!A3:A3000)*(3='6층_부하량'!B3:B3000),0))</f>
        <v>0</v>
      </c>
      <c r="M7" s="2545" cm="1">
        <f t="array" ref="M7">INDEX('6층_부하량'!G3:G3000,MATCH(1,("6-DaHall 1-CEP-05"='6층_부하량'!A3:A3000)*(3='6층_부하량'!B3:B3000),0))</f>
        <v>0</v>
      </c>
      <c r="N7" s="2545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3" t="s">
        <v>6552</v>
      </c>
      <c r="B8" s="142" t="s">
        <v>4204</v>
      </c>
      <c r="C8" s="188" t="s">
        <v>4149</v>
      </c>
      <c r="D8" s="2546" cm="1">
        <f t="array" ref="D8">INDEX('6층_부하량'!F3:F3000,MATCH(1,("6-DaHall 1-CEP-05"='6층_부하량'!A3:A3000)*(4='6층_부하량'!B3:B3000),0))</f>
        <v>0</v>
      </c>
      <c r="E8" s="2546" cm="1">
        <f t="array" ref="E8">INDEX('6층_부하량'!G3:G3000,MATCH(1,("6-DaHall 1-CEP-05"='6층_부하량'!A3:A3000)*(4='6층_부하량'!B3:B3000),0))</f>
        <v>0</v>
      </c>
      <c r="F8" s="2546" cm="1">
        <f t="array" ref="F8">INDEX('6층_부하량'!H3:H3000,MATCH(1,("6-DaHall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6" cm="1">
        <f t="array" ref="L8">INDEX('6층_부하량'!F3:F3000,MATCH(1,("6-DaHall 1-CEP-05"='6층_부하량'!A3:A3000)*(5='6층_부하량'!B3:B3000),0))</f>
        <v>0</v>
      </c>
      <c r="M8" s="2546" cm="1">
        <f t="array" ref="M8">INDEX('6층_부하량'!G3:G3000,MATCH(1,("6-DaHall 1-CEP-05"='6층_부하량'!A3:A3000)*(5='6층_부하량'!B3:B3000),0))</f>
        <v>0</v>
      </c>
      <c r="N8" s="2546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6" cm="1">
        <f t="array" ref="D9">INDEX('6층_부하량'!F3:F3000,MATCH(1,("6-DaHall 1-CEP-05"='6층_부하량'!A3:A3000)*(6='6층_부하량'!B3:B3000),0))</f>
        <v>0</v>
      </c>
      <c r="E9" s="2546" cm="1">
        <f t="array" ref="E9">INDEX('6층_부하량'!G3:G3000,MATCH(1,("6-DaHall 1-CEP-05"='6층_부하량'!A3:A3000)*(6='6층_부하량'!B3:B3000),0))</f>
        <v>0</v>
      </c>
      <c r="F9" s="2546" cm="1">
        <f t="array" ref="F9">INDEX('6층_부하량'!H3:H3000,MATCH(1,("6-DaHall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6" cm="1">
        <f t="array" ref="L9">INDEX('6층_부하량'!F3:F3000,MATCH(1,("6-DaHall 1-CEP-05"='6층_부하량'!A3:A3000)*(7='6층_부하량'!B3:B3000),0))</f>
        <v>0</v>
      </c>
      <c r="M9" s="2546" cm="1">
        <f t="array" ref="M9">INDEX('6층_부하량'!G3:G3000,MATCH(1,("6-DaHall 1-CEP-05"='6층_부하량'!A3:A3000)*(7='6층_부하량'!B3:B3000),0))</f>
        <v>0</v>
      </c>
      <c r="N9" s="2546" cm="1">
        <f t="array" ref="N9">INDEX('6층_부하량'!H3:H3000,MATCH(1,("6-DaHall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6" cm="1">
        <f t="array" ref="D10">INDEX('6층_부하량'!F3:F3000,MATCH(1,("6-DaHall 1-CEP-05"='6층_부하량'!A3:A3000)*(8='6층_부하량'!B3:B3000),0))</f>
        <v>0</v>
      </c>
      <c r="E10" s="2546" cm="1">
        <f t="array" ref="E10">INDEX('6층_부하량'!G3:G3000,MATCH(1,("6-DaHall 1-CEP-05"='6층_부하량'!A3:A3000)*(8='6층_부하량'!B3:B3000),0))</f>
        <v>0</v>
      </c>
      <c r="F10" s="2546" cm="1">
        <f t="array" ref="F10">INDEX('6층_부하량'!H3:H3000,MATCH(1,("6-DaHall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6" cm="1">
        <f t="array" ref="L10">INDEX('6층_부하량'!F3:F3000,MATCH(1,("6-DaHall 1-CEP-05"='6층_부하량'!A3:A3000)*(9='6층_부하량'!B3:B3000),0))</f>
        <v>0</v>
      </c>
      <c r="M10" s="2546" cm="1">
        <f t="array" ref="M10">INDEX('6층_부하량'!G3:G3000,MATCH(1,("6-DaHall 1-CEP-05"='6층_부하량'!A3:A3000)*(9='6층_부하량'!B3:B3000),0))</f>
        <v>0</v>
      </c>
      <c r="N10" s="2546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5" cm="1">
        <f t="array" ref="D11">INDEX('6층_부하량'!F3:F3000,MATCH(1,("6-DaHall 1-CEP-05"='6층_부하량'!A3:A3000)*(10='6층_부하량'!B3:B3000),0))</f>
        <v>0</v>
      </c>
      <c r="E11" s="2555" cm="1">
        <f t="array" ref="E11">INDEX('6층_부하량'!G3:G3000,MATCH(1,("6-DaHall 1-CEP-05"='6층_부하량'!A3:A3000)*(10='6층_부하량'!B3:B3000),0))</f>
        <v>0</v>
      </c>
      <c r="F11" s="2555" cm="1">
        <f t="array" ref="F11">INDEX('6층_부하량'!H3:H3000,MATCH(1,("6-DaHall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5" cm="1">
        <f t="array" ref="L11">INDEX('6층_부하량'!F3:F3000,MATCH(1,("6-DaHall 1-CEP-05"='6층_부하량'!A3:A3000)*(11='6층_부하량'!B3:B3000),0))</f>
        <v>53.32</v>
      </c>
      <c r="M11" s="2556" cm="1">
        <f t="array" ref="M11">INDEX('6층_부하량'!G3:G3000,MATCH(1,("6-DaHall 1-CEP-05"='6층_부하량'!A3:A3000)*(11='6층_부하량'!B3:B3000),0))</f>
        <v>53.03</v>
      </c>
      <c r="N11" s="2556" cm="1">
        <f t="array" ref="N11">INDEX('6층_부하량'!H3:H3000,MATCH(1,("6-DaHall 1-CEP-05"='6층_부하량'!A3:A3000)*(11='6층_부하량'!B3:B3000),0))</f>
        <v>69.53</v>
      </c>
      <c r="O11" s="348"/>
      <c r="P11" s="176" t="s">
        <v>4148</v>
      </c>
      <c r="Q11" s="2248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9" t="s">
        <v>4296</v>
      </c>
      <c r="D12" s="2557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7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9"/>
      <c r="B13" s="142" t="s">
        <v>4153</v>
      </c>
      <c r="C13" s="142" t="s">
        <v>4158</v>
      </c>
      <c r="D13" s="156"/>
      <c r="E13" s="2546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6" cm="1">
        <f t="array" ref="M13">INDEX('6층_부하량'!G3:G3000,MATCH(1,("6-DaHall 1-CEP-05"='6층_부하량'!A3:A3000)*(15='6층_부하량'!B3:B3000),0))</f>
        <v>15.94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9" cm="1">
        <f t="array" ref="F14">INDEX('6층_부하량'!H3:H3000,MATCH(1,("6-DaHall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9" cm="1">
        <f t="array" ref="N14">INDEX('6층_부하량'!H3:H3000,MATCH(1,("6-DaHall 1-CEP-05"='6층_부하량'!A3:A3000)*(17='6층_부하량'!B3:B3000),0))</f>
        <v>16.87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32.81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112.14</v>
      </c>
      <c r="M15" s="130">
        <f>SUM(E6:E14,M6:M14)</f>
        <v>129.05000000000001</v>
      </c>
      <c r="N15" s="130">
        <f>SUM(F6:F14,N6:N14)</f>
        <v>145.04000000000002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386.23</v>
      </c>
      <c r="M16" s="130">
        <f>SUM(D12:O14)</f>
        <v>32.81</v>
      </c>
      <c r="N16" s="986">
        <f>M16/L16</f>
        <v>8.4949382492297332E-2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818" t="s">
        <v>4575</v>
      </c>
      <c r="D17" s="3818"/>
      <c r="E17" s="3818"/>
      <c r="F17" s="172"/>
      <c r="G17" s="172"/>
      <c r="H17" s="132"/>
      <c r="I17" s="3823" t="s">
        <v>4576</v>
      </c>
      <c r="J17" s="382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4136</v>
      </c>
      <c r="L18" s="1342">
        <v>0</v>
      </c>
      <c r="M18" s="1343">
        <v>0</v>
      </c>
      <c r="N18" s="1344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4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21" t="s">
        <v>4152</v>
      </c>
      <c r="K20" s="141" t="s">
        <v>4150</v>
      </c>
      <c r="L20" s="143"/>
      <c r="M20" s="2544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5" cm="1">
        <f t="array" ref="F21">INDEX('6층_부하량'!H3:H3000,MATCH(1,("6-DaHall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2" t="s">
        <v>4157</v>
      </c>
      <c r="K21" s="142" t="s">
        <v>4150</v>
      </c>
      <c r="L21" s="148"/>
      <c r="M21" s="148"/>
      <c r="N21" s="2545" cm="1">
        <f t="array" ref="N21">INDEX('6층_부하량'!H3:H3000,MATCH(1,("6-DaHall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6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2" t="s">
        <v>4162</v>
      </c>
      <c r="K22" s="142" t="s">
        <v>4150</v>
      </c>
      <c r="L22" s="2546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6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2" t="s">
        <v>4167</v>
      </c>
      <c r="K23" s="142" t="s">
        <v>4150</v>
      </c>
      <c r="L23" s="156"/>
      <c r="M23" s="2546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6" cm="1">
        <f t="array" ref="F24">INDEX('6층_부하량'!H3:H3000,MATCH(1,("6-DaHall 1-PDU-13"='6층_부하량'!A3:A3000)*(9='6층_부하량'!B3:B3000),0))</f>
        <v>0</v>
      </c>
      <c r="G24" s="156"/>
      <c r="H24" s="142" t="s">
        <v>4150</v>
      </c>
      <c r="I24" s="1428" t="s">
        <v>4169</v>
      </c>
      <c r="J24" s="1422" t="s">
        <v>4170</v>
      </c>
      <c r="K24" s="142" t="s">
        <v>4171</v>
      </c>
      <c r="L24" s="156"/>
      <c r="M24" s="156"/>
      <c r="N24" s="2546" cm="1">
        <f t="array" ref="N24">INDEX('6층_부하량'!H3:H3000,MATCH(1,("6-DaHall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6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8" t="s">
        <v>4172</v>
      </c>
      <c r="J25" s="1422" t="s">
        <v>4173</v>
      </c>
      <c r="K25" s="142" t="s">
        <v>4171</v>
      </c>
      <c r="L25" s="2546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5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4171</v>
      </c>
      <c r="I26" s="1428" t="s">
        <v>4174</v>
      </c>
      <c r="J26" s="1422" t="s">
        <v>4175</v>
      </c>
      <c r="K26" s="142" t="s">
        <v>4171</v>
      </c>
      <c r="L26" s="148"/>
      <c r="M26" s="2545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6" cm="1">
        <f t="array" ref="F27">INDEX('6층_부하량'!H3:H3000,MATCH(1,("6-DaHall 1-PDU-13"='6층_부하량'!A3:A3000)*(15='6층_부하량'!B3:B3000),0))</f>
        <v>0</v>
      </c>
      <c r="G27" s="156"/>
      <c r="H27" s="142" t="s">
        <v>4171</v>
      </c>
      <c r="I27" s="1428" t="s">
        <v>4176</v>
      </c>
      <c r="J27" s="1422" t="s">
        <v>4177</v>
      </c>
      <c r="K27" s="142" t="s">
        <v>4171</v>
      </c>
      <c r="L27" s="156"/>
      <c r="M27" s="156"/>
      <c r="N27" s="2546" cm="1">
        <f t="array" ref="N27">INDEX('6층_부하량'!H3:H3000,MATCH(1,("6-DaHall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6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8" t="s">
        <v>4178</v>
      </c>
      <c r="J28" s="1422" t="s">
        <v>4179</v>
      </c>
      <c r="K28" s="142" t="s">
        <v>4171</v>
      </c>
      <c r="L28" s="2546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5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4171</v>
      </c>
      <c r="I29" s="1428" t="s">
        <v>4182</v>
      </c>
      <c r="J29" s="1423" t="s">
        <v>4183</v>
      </c>
      <c r="K29" s="142" t="s">
        <v>4171</v>
      </c>
      <c r="L29" s="148"/>
      <c r="M29" s="2545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6" cm="1">
        <f t="array" ref="F30">INDEX('6층_부하량'!H3:H3000,MATCH(1,("6-DaHall 1-PDU-13"='6층_부하량'!A3:A3000)*(21='6층_부하량'!B3:B3000),0))</f>
        <v>0</v>
      </c>
      <c r="G30" s="156"/>
      <c r="H30" s="142" t="s">
        <v>4171</v>
      </c>
      <c r="I30" s="1428" t="s">
        <v>4186</v>
      </c>
      <c r="J30" s="1423" t="s">
        <v>4187</v>
      </c>
      <c r="K30" s="142" t="s">
        <v>4171</v>
      </c>
      <c r="L30" s="156"/>
      <c r="M30" s="156"/>
      <c r="N30" s="2546" cm="1">
        <f t="array" ref="N30">INDEX('6층_부하량'!H3:H3000,MATCH(1,("6-DaHall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6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8" t="s">
        <v>4469</v>
      </c>
      <c r="J31" s="1423" t="s">
        <v>4253</v>
      </c>
      <c r="K31" s="142" t="s">
        <v>4171</v>
      </c>
      <c r="L31" s="2546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5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4171</v>
      </c>
      <c r="I32" s="1428" t="s">
        <v>4473</v>
      </c>
      <c r="J32" s="1423" t="s">
        <v>4258</v>
      </c>
      <c r="K32" s="142" t="s">
        <v>4171</v>
      </c>
      <c r="L32" s="148"/>
      <c r="M32" s="2545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5" cm="1">
        <f t="array" ref="F33">INDEX('6층_부하량'!H3:H3000,MATCH(1,("6-DaHall 1-PDU-13"='6층_부하량'!A3:A3000)*(27='6층_부하량'!B3:B3000),0))</f>
        <v>0</v>
      </c>
      <c r="G33" s="159"/>
      <c r="H33" s="175" t="s">
        <v>4171</v>
      </c>
      <c r="I33" s="1429" t="s">
        <v>4477</v>
      </c>
      <c r="J33" s="1424" t="s">
        <v>4262</v>
      </c>
      <c r="K33" s="175" t="s">
        <v>4171</v>
      </c>
      <c r="L33" s="159"/>
      <c r="M33" s="159"/>
      <c r="N33" s="2555" cm="1">
        <f t="array" ref="N33">INDEX('6층_부하량'!H3:H3000,MATCH(1,("6-DaHall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7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30" t="s">
        <v>4482</v>
      </c>
      <c r="J34" s="1425" t="s">
        <v>4265</v>
      </c>
      <c r="K34" s="155" t="s">
        <v>4171</v>
      </c>
      <c r="L34" s="2557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5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4171</v>
      </c>
      <c r="I35" s="1428" t="s">
        <v>4487</v>
      </c>
      <c r="J35" s="1423" t="s">
        <v>4267</v>
      </c>
      <c r="K35" s="142" t="s">
        <v>4171</v>
      </c>
      <c r="L35" s="148"/>
      <c r="M35" s="2545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6" cm="1">
        <f t="array" ref="F36">INDEX('6층_부하량'!H3:H3000,MATCH(1,("6-DaHall 1-PDU-13"='6층_부하량'!A3:A3000)*(33='6층_부하량'!B3:B3000),0))</f>
        <v>0</v>
      </c>
      <c r="G36" s="156"/>
      <c r="H36" s="142" t="s">
        <v>4171</v>
      </c>
      <c r="I36" s="1428" t="s">
        <v>4491</v>
      </c>
      <c r="J36" s="1423" t="s">
        <v>4271</v>
      </c>
      <c r="K36" s="142" t="s">
        <v>4171</v>
      </c>
      <c r="L36" s="156"/>
      <c r="M36" s="156"/>
      <c r="N36" s="2546" cm="1">
        <f t="array" ref="N36">INDEX('6층_부하량'!H3:H3000,MATCH(1,("6-DaHall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6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8" t="s">
        <v>4495</v>
      </c>
      <c r="J37" s="1426" t="s">
        <v>4276</v>
      </c>
      <c r="K37" s="142" t="s">
        <v>4171</v>
      </c>
      <c r="L37" s="2546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5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4171</v>
      </c>
      <c r="I38" s="1428" t="s">
        <v>4500</v>
      </c>
      <c r="J38" s="1426" t="s">
        <v>4280</v>
      </c>
      <c r="K38" s="142" t="s">
        <v>4171</v>
      </c>
      <c r="L38" s="148"/>
      <c r="M38" s="2545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6" cm="1">
        <f t="array" ref="F39">INDEX('6층_부하량'!H3:H3000,MATCH(1,("6-DaHall 1-PDU-13"='6층_부하량'!A3:A3000)*(39='6층_부하량'!B3:B3000),0))</f>
        <v>0</v>
      </c>
      <c r="G39" s="156"/>
      <c r="H39" s="142" t="s">
        <v>4171</v>
      </c>
      <c r="I39" s="1428" t="s">
        <v>4504</v>
      </c>
      <c r="J39" s="1423" t="s">
        <v>4284</v>
      </c>
      <c r="K39" s="142" t="s">
        <v>4171</v>
      </c>
      <c r="L39" s="156"/>
      <c r="M39" s="156"/>
      <c r="N39" s="2546" cm="1">
        <f t="array" ref="N39">INDEX('6층_부하량'!H3:H3000,MATCH(1,("6-DaHall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6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8" t="s">
        <v>4348</v>
      </c>
      <c r="J40" s="1423" t="s">
        <v>4416</v>
      </c>
      <c r="K40" s="142" t="s">
        <v>4171</v>
      </c>
      <c r="L40" s="2546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5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4171</v>
      </c>
      <c r="I41" s="1428" t="s">
        <v>4351</v>
      </c>
      <c r="J41" s="1423" t="s">
        <v>4419</v>
      </c>
      <c r="K41" s="142" t="s">
        <v>4171</v>
      </c>
      <c r="L41" s="148"/>
      <c r="M41" s="2545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6" cm="1">
        <f t="array" ref="F42">INDEX('6층_부하량'!H3:H3000,MATCH(1,("6-DaHall 1-PDU-13"='6층_부하량'!A3:A3000)*(45='6층_부하량'!B3:B3000),0))</f>
        <v>0</v>
      </c>
      <c r="G42" s="156"/>
      <c r="H42" s="142" t="s">
        <v>4171</v>
      </c>
      <c r="I42" s="1428" t="s">
        <v>4355</v>
      </c>
      <c r="J42" s="1423" t="s">
        <v>4421</v>
      </c>
      <c r="K42" s="142" t="s">
        <v>4171</v>
      </c>
      <c r="L42" s="156"/>
      <c r="M42" s="156"/>
      <c r="N42" s="2546" cm="1">
        <f t="array" ref="N42">INDEX('6층_부하량'!H3:H3000,MATCH(1,("6-DaHall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6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8" t="s">
        <v>4358</v>
      </c>
      <c r="J43" s="1423" t="s">
        <v>4423</v>
      </c>
      <c r="K43" s="142" t="s">
        <v>4171</v>
      </c>
      <c r="L43" s="2546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5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4171</v>
      </c>
      <c r="I44" s="1428" t="s">
        <v>4360</v>
      </c>
      <c r="J44" s="1423" t="s">
        <v>4425</v>
      </c>
      <c r="K44" s="142" t="s">
        <v>4171</v>
      </c>
      <c r="L44" s="148"/>
      <c r="M44" s="2545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6" cm="1">
        <f t="array" ref="F45">INDEX('6층_부하량'!H3:H3000,MATCH(1,("6-DaHall 1-PDU-13"='6층_부하량'!A3:A3000)*(51='6층_부하량'!B3:B3000),0))</f>
        <v>0</v>
      </c>
      <c r="G45" s="156"/>
      <c r="H45" s="142" t="s">
        <v>4171</v>
      </c>
      <c r="I45" s="1428" t="s">
        <v>4364</v>
      </c>
      <c r="J45" s="1423" t="s">
        <v>4427</v>
      </c>
      <c r="K45" s="142" t="s">
        <v>4171</v>
      </c>
      <c r="L45" s="156"/>
      <c r="M45" s="156"/>
      <c r="N45" s="2546" cm="1">
        <f t="array" ref="N45">INDEX('6층_부하량'!H3:H3000,MATCH(1,("6-DaHall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9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31" t="s">
        <v>4369</v>
      </c>
      <c r="J46" s="1427" t="s">
        <v>4430</v>
      </c>
      <c r="K46" s="165" t="s">
        <v>4171</v>
      </c>
      <c r="L46" s="2549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818" t="s">
        <v>4603</v>
      </c>
      <c r="D49" s="3818"/>
      <c r="E49" s="3818"/>
      <c r="F49" s="172"/>
      <c r="G49" s="172"/>
      <c r="H49" s="132"/>
      <c r="I49" s="3823" t="s">
        <v>4288</v>
      </c>
      <c r="J49" s="382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4136</v>
      </c>
      <c r="L50" s="1342">
        <v>0</v>
      </c>
      <c r="M50" s="1343">
        <v>0</v>
      </c>
      <c r="N50" s="1344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4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4171</v>
      </c>
      <c r="I52" s="1432" t="s">
        <v>4206</v>
      </c>
      <c r="J52" s="282" t="s">
        <v>4152</v>
      </c>
      <c r="K52" s="141" t="s">
        <v>4171</v>
      </c>
      <c r="L52" s="143"/>
      <c r="M52" s="2544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5" cm="1">
        <f t="array" ref="F53">INDEX('6층_부하량'!H3:H3000,MATCH(1,("6-DaHall 1-PDU-14"='6층_부하량'!A3:A3000)*(3='6층_부하량'!B3:B3000),0))</f>
        <v>0</v>
      </c>
      <c r="G53" s="148"/>
      <c r="H53" s="142" t="s">
        <v>4171</v>
      </c>
      <c r="I53" s="1428" t="s">
        <v>4211</v>
      </c>
      <c r="J53" s="283" t="s">
        <v>4157</v>
      </c>
      <c r="K53" s="142" t="s">
        <v>4171</v>
      </c>
      <c r="L53" s="148"/>
      <c r="M53" s="148"/>
      <c r="N53" s="2545" cm="1">
        <f t="array" ref="N53">INDEX('6층_부하량'!H3:H3000,MATCH(1,("6-DaHall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6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8" t="s">
        <v>4214</v>
      </c>
      <c r="J54" s="1422" t="s">
        <v>4162</v>
      </c>
      <c r="K54" s="142" t="s">
        <v>4171</v>
      </c>
      <c r="L54" s="2546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6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4171</v>
      </c>
      <c r="I55" s="1428" t="s">
        <v>4218</v>
      </c>
      <c r="J55" s="1422" t="s">
        <v>4167</v>
      </c>
      <c r="K55" s="142" t="s">
        <v>4171</v>
      </c>
      <c r="L55" s="156"/>
      <c r="M55" s="2546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6" cm="1">
        <f t="array" ref="F56">INDEX('6층_부하량'!H3:H3000,MATCH(1,("6-DaHall 1-PDU-14"='6층_부하량'!A3:A3000)*(9='6층_부하량'!B3:B3000),0))</f>
        <v>0</v>
      </c>
      <c r="G56" s="156"/>
      <c r="H56" s="142" t="s">
        <v>4171</v>
      </c>
      <c r="I56" s="1428" t="s">
        <v>4221</v>
      </c>
      <c r="J56" s="1422" t="s">
        <v>4170</v>
      </c>
      <c r="K56" s="142" t="s">
        <v>4171</v>
      </c>
      <c r="L56" s="156"/>
      <c r="M56" s="156"/>
      <c r="N56" s="2546" cm="1">
        <f t="array" ref="N56">INDEX('6층_부하량'!H3:H3000,MATCH(1,("6-DaHall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6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8" t="s">
        <v>4226</v>
      </c>
      <c r="J57" s="1422" t="s">
        <v>4173</v>
      </c>
      <c r="K57" s="142" t="s">
        <v>4171</v>
      </c>
      <c r="L57" s="2546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5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4171</v>
      </c>
      <c r="I58" s="1428" t="s">
        <v>4230</v>
      </c>
      <c r="J58" s="1422" t="s">
        <v>4175</v>
      </c>
      <c r="K58" s="142" t="s">
        <v>4171</v>
      </c>
      <c r="L58" s="148"/>
      <c r="M58" s="2545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6" cm="1">
        <f t="array" ref="F59">INDEX('6층_부하량'!H3:H3000,MATCH(1,("6-DaHall 1-PDU-14"='6층_부하량'!A3:A3000)*(15='6층_부하량'!B3:B3000),0))</f>
        <v>0</v>
      </c>
      <c r="G59" s="156"/>
      <c r="H59" s="142" t="s">
        <v>4171</v>
      </c>
      <c r="I59" s="1428" t="s">
        <v>4234</v>
      </c>
      <c r="J59" s="1422" t="s">
        <v>4177</v>
      </c>
      <c r="K59" s="142" t="s">
        <v>4171</v>
      </c>
      <c r="L59" s="156"/>
      <c r="M59" s="156"/>
      <c r="N59" s="2546" cm="1">
        <f t="array" ref="N59">INDEX('6층_부하량'!H3:H3000,MATCH(1,("6-DaHall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6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8" t="s">
        <v>4238</v>
      </c>
      <c r="J60" s="1422" t="s">
        <v>4179</v>
      </c>
      <c r="K60" s="142" t="s">
        <v>4171</v>
      </c>
      <c r="L60" s="2546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5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4171</v>
      </c>
      <c r="I61" s="1428" t="s">
        <v>4243</v>
      </c>
      <c r="J61" s="154" t="s">
        <v>4183</v>
      </c>
      <c r="K61" s="142" t="s">
        <v>4171</v>
      </c>
      <c r="L61" s="148"/>
      <c r="M61" s="2545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6" cm="1">
        <f t="array" ref="F62">INDEX('6층_부하량'!H3:H3000,MATCH(1,("6-DaHall 1-PDU-14"='6층_부하량'!A3:A3000)*(21='6층_부하량'!B3:B3000),0))</f>
        <v>0</v>
      </c>
      <c r="G62" s="156"/>
      <c r="H62" s="142" t="s">
        <v>4171</v>
      </c>
      <c r="I62" s="1428" t="s">
        <v>4247</v>
      </c>
      <c r="J62" s="1423" t="s">
        <v>4187</v>
      </c>
      <c r="K62" s="142" t="s">
        <v>4171</v>
      </c>
      <c r="L62" s="156"/>
      <c r="M62" s="156"/>
      <c r="N62" s="2546" cm="1">
        <f t="array" ref="N62">INDEX('6층_부하량'!H3:H3000,MATCH(1,("6-DaHall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6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8" t="s">
        <v>4251</v>
      </c>
      <c r="J63" s="1423" t="s">
        <v>4253</v>
      </c>
      <c r="K63" s="142" t="s">
        <v>4171</v>
      </c>
      <c r="L63" s="2546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5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4171</v>
      </c>
      <c r="I64" s="1428" t="s">
        <v>4256</v>
      </c>
      <c r="J64" s="1423" t="s">
        <v>4258</v>
      </c>
      <c r="K64" s="142" t="s">
        <v>4171</v>
      </c>
      <c r="L64" s="148"/>
      <c r="M64" s="2545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5" cm="1">
        <f t="array" ref="F65">INDEX('6층_부하량'!H3:H3000,MATCH(1,("6-DaHall 1-PDU-14"='6층_부하량'!A3:A3000)*(27='6층_부하량'!B3:B3000),0))</f>
        <v>0</v>
      </c>
      <c r="G65" s="159"/>
      <c r="H65" s="175" t="s">
        <v>4171</v>
      </c>
      <c r="I65" s="1429" t="s">
        <v>4261</v>
      </c>
      <c r="J65" s="1424" t="s">
        <v>4262</v>
      </c>
      <c r="K65" s="175" t="s">
        <v>4171</v>
      </c>
      <c r="L65" s="159"/>
      <c r="M65" s="159"/>
      <c r="N65" s="2555" cm="1">
        <f t="array" ref="N65">INDEX('6층_부하량'!H3:H3000,MATCH(1,("6-DaHall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7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30" t="s">
        <v>4264</v>
      </c>
      <c r="J66" s="1425" t="s">
        <v>4265</v>
      </c>
      <c r="K66" s="155" t="s">
        <v>4171</v>
      </c>
      <c r="L66" s="2557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5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4171</v>
      </c>
      <c r="I67" s="1428" t="s">
        <v>4266</v>
      </c>
      <c r="J67" s="1423" t="s">
        <v>4267</v>
      </c>
      <c r="K67" s="142" t="s">
        <v>4171</v>
      </c>
      <c r="L67" s="148"/>
      <c r="M67" s="2545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6" cm="1">
        <f t="array" ref="F68">INDEX('6층_부하량'!H3:H3000,MATCH(1,("6-DaHall 1-PDU-14"='6층_부하량'!A3:A3000)*(33='6층_부하량'!B3:B3000),0))</f>
        <v>0</v>
      </c>
      <c r="G68" s="156"/>
      <c r="H68" s="142" t="s">
        <v>4171</v>
      </c>
      <c r="I68" s="1428" t="s">
        <v>4270</v>
      </c>
      <c r="J68" s="1423" t="s">
        <v>4271</v>
      </c>
      <c r="K68" s="142" t="s">
        <v>4171</v>
      </c>
      <c r="L68" s="156"/>
      <c r="M68" s="156"/>
      <c r="N68" s="2546" cm="1">
        <f t="array" ref="N68">INDEX('6층_부하량'!H3:H3000,MATCH(1,("6-DaHall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6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8" t="s">
        <v>4274</v>
      </c>
      <c r="J69" s="1426" t="s">
        <v>4276</v>
      </c>
      <c r="K69" s="142" t="s">
        <v>4171</v>
      </c>
      <c r="L69" s="2546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5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4171</v>
      </c>
      <c r="I70" s="1428" t="s">
        <v>4279</v>
      </c>
      <c r="J70" s="1426" t="s">
        <v>4280</v>
      </c>
      <c r="K70" s="142" t="s">
        <v>4171</v>
      </c>
      <c r="L70" s="148"/>
      <c r="M70" s="2545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6" cm="1">
        <f t="array" ref="F71">INDEX('6층_부하량'!H3:H3000,MATCH(1,("6-DaHall 1-PDU-14"='6층_부하량'!A3:A3000)*(39='6층_부하량'!B3:B3000),0))</f>
        <v>0</v>
      </c>
      <c r="G71" s="156"/>
      <c r="H71" s="142" t="s">
        <v>4171</v>
      </c>
      <c r="I71" s="1428" t="s">
        <v>4283</v>
      </c>
      <c r="J71" s="1423" t="s">
        <v>4284</v>
      </c>
      <c r="K71" s="142" t="s">
        <v>4171</v>
      </c>
      <c r="L71" s="156"/>
      <c r="M71" s="156"/>
      <c r="N71" s="2546" cm="1">
        <f t="array" ref="N71">INDEX('6층_부하량'!H3:H3000,MATCH(1,("6-DaHall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6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8" t="s">
        <v>4628</v>
      </c>
      <c r="J72" s="1423" t="s">
        <v>4416</v>
      </c>
      <c r="K72" s="142" t="s">
        <v>4171</v>
      </c>
      <c r="L72" s="2546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5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4171</v>
      </c>
      <c r="I73" s="1428" t="s">
        <v>4418</v>
      </c>
      <c r="J73" s="1423" t="s">
        <v>4419</v>
      </c>
      <c r="K73" s="142" t="s">
        <v>4171</v>
      </c>
      <c r="L73" s="148"/>
      <c r="M73" s="2545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6" cm="1">
        <f t="array" ref="F74">INDEX('6층_부하량'!H3:H3000,MATCH(1,("6-DaHall 1-PDU-14"='6층_부하량'!A3:A3000)*(45='6층_부하량'!B3:B3000),0))</f>
        <v>0</v>
      </c>
      <c r="G74" s="156"/>
      <c r="H74" s="142" t="s">
        <v>4171</v>
      </c>
      <c r="I74" s="1428" t="s">
        <v>4420</v>
      </c>
      <c r="J74" s="1423" t="s">
        <v>4421</v>
      </c>
      <c r="K74" s="142" t="s">
        <v>4171</v>
      </c>
      <c r="L74" s="156"/>
      <c r="M74" s="156"/>
      <c r="N74" s="2546" cm="1">
        <f t="array" ref="N74">INDEX('6층_부하량'!H3:H3000,MATCH(1,("6-DaHall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6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8" t="s">
        <v>4422</v>
      </c>
      <c r="J75" s="1423" t="s">
        <v>4423</v>
      </c>
      <c r="K75" s="142" t="s">
        <v>4171</v>
      </c>
      <c r="L75" s="2546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5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4171</v>
      </c>
      <c r="I76" s="1428" t="s">
        <v>4424</v>
      </c>
      <c r="J76" s="1423" t="s">
        <v>4425</v>
      </c>
      <c r="K76" s="142" t="s">
        <v>4171</v>
      </c>
      <c r="L76" s="148"/>
      <c r="M76" s="2545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6" cm="1">
        <f t="array" ref="F77">INDEX('6층_부하량'!H3:H3000,MATCH(1,("6-DaHall 1-PDU-14"='6층_부하량'!A3:A3000)*(51='6층_부하량'!B3:B3000),0))</f>
        <v>0</v>
      </c>
      <c r="G77" s="156"/>
      <c r="H77" s="142" t="s">
        <v>4171</v>
      </c>
      <c r="I77" s="1428" t="s">
        <v>4426</v>
      </c>
      <c r="J77" s="1423" t="s">
        <v>4427</v>
      </c>
      <c r="K77" s="142" t="s">
        <v>4171</v>
      </c>
      <c r="L77" s="156"/>
      <c r="M77" s="156"/>
      <c r="N77" s="2546" cm="1">
        <f t="array" ref="N77">INDEX('6층_부하량'!H3:H3000,MATCH(1,("6-DaHall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9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31" t="s">
        <v>4429</v>
      </c>
      <c r="J78" s="1427" t="s">
        <v>4430</v>
      </c>
      <c r="K78" s="165" t="s">
        <v>4171</v>
      </c>
      <c r="L78" s="2549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818" t="s">
        <v>4635</v>
      </c>
      <c r="D81" s="3818"/>
      <c r="E81" s="3818"/>
      <c r="F81" s="172"/>
      <c r="G81" s="172"/>
      <c r="H81" s="132"/>
      <c r="I81" s="3823" t="s">
        <v>4636</v>
      </c>
      <c r="J81" s="382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4136</v>
      </c>
      <c r="L82" s="1342">
        <v>0</v>
      </c>
      <c r="M82" s="1343">
        <v>0</v>
      </c>
      <c r="N82" s="1344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4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4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5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5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6" cm="1">
        <f t="array" ref="F86">INDEX('6층_부하량'!H3:H3000,MATCH(1,("6-DaHall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6" cm="1">
        <f t="array" ref="N86">INDEX('6층_부하량'!H3:H3000,MATCH(1,("6-DaHall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6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6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6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6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6" cm="1">
        <f t="array" ref="F89">INDEX('6층_부하량'!H3:H3000,MATCH(1,("6-DaHall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6" cm="1">
        <f t="array" ref="N89">INDEX('6층_부하량'!H3:H3000,MATCH(1,("6-DaHall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6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6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6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6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51" cm="1">
        <f t="array" ref="F92">INDEX('6층_부하량'!H3:H3000,MATCH(1,("6-DaHall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51" cm="1">
        <f t="array" ref="N92">INDEX('6층_부하량'!H3:H3000,MATCH(1,("6-DaHall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8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3" t="s">
        <v>4243</v>
      </c>
      <c r="J93" s="296" t="s">
        <v>4183</v>
      </c>
      <c r="K93" s="155" t="s">
        <v>4171</v>
      </c>
      <c r="L93" s="2548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6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4171</v>
      </c>
      <c r="I94" s="1434" t="s">
        <v>4247</v>
      </c>
      <c r="J94" s="292" t="s">
        <v>4187</v>
      </c>
      <c r="K94" s="142" t="s">
        <v>4171</v>
      </c>
      <c r="L94" s="156"/>
      <c r="M94" s="2546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6" cm="1">
        <f t="array" ref="F95">INDEX('6층_부하량'!H3:H3000,MATCH(1,("6-DaHall 1-PDU-09"='6층_부하량'!A3:A3000)*(23='6층_부하량'!B3:B3000),0))</f>
        <v>0</v>
      </c>
      <c r="G95" s="156"/>
      <c r="H95" s="142" t="s">
        <v>4171</v>
      </c>
      <c r="I95" s="1434" t="s">
        <v>4251</v>
      </c>
      <c r="J95" s="292" t="s">
        <v>4253</v>
      </c>
      <c r="K95" s="142" t="s">
        <v>4171</v>
      </c>
      <c r="L95" s="156"/>
      <c r="M95" s="156"/>
      <c r="N95" s="2546" cm="1">
        <f t="array" ref="N95">INDEX('6층_부하량'!H3:H3000,MATCH(1,("6-DaHall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6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4" t="s">
        <v>4256</v>
      </c>
      <c r="J96" s="292" t="s">
        <v>4258</v>
      </c>
      <c r="K96" s="142" t="s">
        <v>4171</v>
      </c>
      <c r="L96" s="2546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6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4171</v>
      </c>
      <c r="I97" s="1434" t="s">
        <v>4261</v>
      </c>
      <c r="J97" s="292" t="s">
        <v>4262</v>
      </c>
      <c r="K97" s="142" t="s">
        <v>4171</v>
      </c>
      <c r="L97" s="156"/>
      <c r="M97" s="2546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6" cm="1">
        <f t="array" ref="F98">INDEX('6층_부하량'!H3:H3000,MATCH(1,("6-DaHall 1-PDU-09"='6층_부하량'!A3:A3000)*(29='6층_부하량'!B3:B3000),0))</f>
        <v>0</v>
      </c>
      <c r="G98" s="156"/>
      <c r="H98" s="142" t="s">
        <v>4171</v>
      </c>
      <c r="I98" s="1434" t="s">
        <v>4264</v>
      </c>
      <c r="J98" s="292" t="s">
        <v>4265</v>
      </c>
      <c r="K98" s="142" t="s">
        <v>4171</v>
      </c>
      <c r="L98" s="156"/>
      <c r="M98" s="156"/>
      <c r="N98" s="2546" cm="1">
        <f t="array" ref="N98">INDEX('6층_부하량'!H3:H3000,MATCH(1,("6-DaHall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6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6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6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4171</v>
      </c>
      <c r="I100" s="1434" t="s">
        <v>4270</v>
      </c>
      <c r="J100" s="292" t="s">
        <v>4271</v>
      </c>
      <c r="K100" s="142" t="s">
        <v>4171</v>
      </c>
      <c r="L100" s="156"/>
      <c r="M100" s="2546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6" cm="1">
        <f t="array" ref="F101">INDEX('6층_부하량'!H3:H3000,MATCH(1,("6-DaHall 1-PDU-09"='6층_부하량'!A3:A3000)*(35='6층_부하량'!B3:B3000),0))</f>
        <v>0</v>
      </c>
      <c r="G101" s="156"/>
      <c r="H101" s="142" t="s">
        <v>4171</v>
      </c>
      <c r="I101" s="1428" t="s">
        <v>4274</v>
      </c>
      <c r="J101" s="292" t="s">
        <v>4276</v>
      </c>
      <c r="K101" s="142" t="s">
        <v>4171</v>
      </c>
      <c r="L101" s="156"/>
      <c r="M101" s="156"/>
      <c r="N101" s="2546" cm="1">
        <f t="array" ref="N101">INDEX('6층_부하량'!H3:H3000,MATCH(1,("6-DaHall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6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8" t="s">
        <v>4279</v>
      </c>
      <c r="J102" s="1426" t="s">
        <v>4280</v>
      </c>
      <c r="K102" s="142" t="s">
        <v>4171</v>
      </c>
      <c r="L102" s="2546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6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4171</v>
      </c>
      <c r="I103" s="1434" t="s">
        <v>4283</v>
      </c>
      <c r="J103" s="1426" t="s">
        <v>4284</v>
      </c>
      <c r="K103" s="142" t="s">
        <v>4171</v>
      </c>
      <c r="L103" s="156"/>
      <c r="M103" s="2546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6" cm="1">
        <f t="array" ref="F104">INDEX('6층_부하량'!H3:H3000,MATCH(1,("6-DaHall 1-PDU-09"='6층_부하량'!A3:A3000)*(41='6층_부하량'!B3:B3000),0))</f>
        <v>0</v>
      </c>
      <c r="G104" s="156"/>
      <c r="H104" s="142" t="s">
        <v>4171</v>
      </c>
      <c r="I104" s="1428" t="s">
        <v>4628</v>
      </c>
      <c r="J104" s="1426" t="s">
        <v>4416</v>
      </c>
      <c r="K104" s="142" t="s">
        <v>4171</v>
      </c>
      <c r="L104" s="156"/>
      <c r="M104" s="156"/>
      <c r="N104" s="2546" cm="1">
        <f t="array" ref="N104">INDEX('6층_부하량'!H3:H3000,MATCH(1,("6-DaHall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6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8" t="s">
        <v>4418</v>
      </c>
      <c r="J105" s="1426" t="s">
        <v>4419</v>
      </c>
      <c r="K105" s="142" t="s">
        <v>4171</v>
      </c>
      <c r="L105" s="2546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6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4171</v>
      </c>
      <c r="I106" s="1428" t="s">
        <v>4420</v>
      </c>
      <c r="J106" s="1426" t="s">
        <v>4421</v>
      </c>
      <c r="K106" s="142" t="s">
        <v>4171</v>
      </c>
      <c r="L106" s="156"/>
      <c r="M106" s="2546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6" cm="1">
        <f t="array" ref="F107">INDEX('6층_부하량'!H3:H3000,MATCH(1,("6-DaHall 1-PDU-09"='6층_부하량'!A3:A3000)*(47='6층_부하량'!B3:B3000),0))</f>
        <v>0</v>
      </c>
      <c r="G107" s="156"/>
      <c r="H107" s="142" t="s">
        <v>4171</v>
      </c>
      <c r="I107" s="1434" t="s">
        <v>4422</v>
      </c>
      <c r="J107" s="1426" t="s">
        <v>4423</v>
      </c>
      <c r="K107" s="142" t="s">
        <v>4171</v>
      </c>
      <c r="L107" s="156"/>
      <c r="M107" s="156"/>
      <c r="N107" s="2546" cm="1">
        <f t="array" ref="N107">INDEX('6층_부하량'!H3:H3000,MATCH(1,("6-DaHall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9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5" t="s">
        <v>4424</v>
      </c>
      <c r="J108" s="1436" t="s">
        <v>4425</v>
      </c>
      <c r="K108" s="165" t="s">
        <v>4171</v>
      </c>
      <c r="L108" s="2549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818" t="s">
        <v>4687</v>
      </c>
      <c r="D111" s="3818"/>
      <c r="E111" s="3818"/>
      <c r="F111" s="172"/>
      <c r="G111" s="172"/>
      <c r="H111" s="132"/>
      <c r="I111" s="3823" t="s">
        <v>4636</v>
      </c>
      <c r="J111" s="382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4136</v>
      </c>
      <c r="L112" s="1342">
        <v>0</v>
      </c>
      <c r="M112" s="1343">
        <v>0</v>
      </c>
      <c r="N112" s="1344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4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4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5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5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6" cm="1">
        <f t="array" ref="F116">INDEX('6층_부하량'!H3:H3000,MATCH(1,("6-DaHall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6" cm="1">
        <f t="array" ref="N116">INDEX('6층_부하량'!H3:H3000,MATCH(1,("6-DaHall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6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6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6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6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6" cm="1">
        <f t="array" ref="F119">INDEX('6층_부하량'!H3:H3000,MATCH(1,("6-DaHall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6" cm="1">
        <f t="array" ref="N119">INDEX('6층_부하량'!H3:H3000,MATCH(1,("6-DaHall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6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6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6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6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51" cm="1">
        <f t="array" ref="F122">INDEX('6층_부하량'!H3:H3000,MATCH(1,("6-DaHall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51" cm="1">
        <f t="array" ref="N122">INDEX('6층_부하량'!H3:H3000,MATCH(1,("6-DaHall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8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3" t="s">
        <v>4243</v>
      </c>
      <c r="J123" s="296" t="s">
        <v>4183</v>
      </c>
      <c r="K123" s="155" t="s">
        <v>4171</v>
      </c>
      <c r="L123" s="2548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6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6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6" cm="1">
        <f t="array" ref="F125">INDEX('6층_부하량'!H3:H3000,MATCH(1,("6-DaHall 1-PDU-10"='6층_부하량'!A3:A3000)*(23='6층_부하량'!B3:B3000),0))</f>
        <v>0</v>
      </c>
      <c r="G125" s="156"/>
      <c r="H125" s="142" t="s">
        <v>4171</v>
      </c>
      <c r="I125" s="1434" t="s">
        <v>4251</v>
      </c>
      <c r="J125" s="1426" t="s">
        <v>4253</v>
      </c>
      <c r="K125" s="142" t="s">
        <v>4171</v>
      </c>
      <c r="L125" s="156"/>
      <c r="M125" s="156"/>
      <c r="N125" s="2546" cm="1">
        <f t="array" ref="N125">INDEX('6층_부하량'!H3:H3000,MATCH(1,("6-DaHall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6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4" t="s">
        <v>4256</v>
      </c>
      <c r="J126" s="292" t="s">
        <v>4258</v>
      </c>
      <c r="K126" s="142" t="s">
        <v>4171</v>
      </c>
      <c r="L126" s="2546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6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4171</v>
      </c>
      <c r="I127" s="1434" t="s">
        <v>4261</v>
      </c>
      <c r="J127" s="292" t="s">
        <v>4262</v>
      </c>
      <c r="K127" s="142" t="s">
        <v>4171</v>
      </c>
      <c r="L127" s="156"/>
      <c r="M127" s="2546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6" cm="1">
        <f t="array" ref="F128">INDEX('6층_부하량'!H3:H3000,MATCH(1,("6-DaHall 1-PDU-10"='6층_부하량'!A3:A3000)*(29='6층_부하량'!B3:B3000),0))</f>
        <v>0</v>
      </c>
      <c r="G128" s="156"/>
      <c r="H128" s="142" t="s">
        <v>4171</v>
      </c>
      <c r="I128" s="1434" t="s">
        <v>4264</v>
      </c>
      <c r="J128" s="292" t="s">
        <v>4265</v>
      </c>
      <c r="K128" s="142" t="s">
        <v>4171</v>
      </c>
      <c r="L128" s="156"/>
      <c r="M128" s="156"/>
      <c r="N128" s="2546" cm="1">
        <f t="array" ref="N128">INDEX('6층_부하량'!H3:H3000,MATCH(1,("6-DaHall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6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4" t="s">
        <v>4266</v>
      </c>
      <c r="J129" s="292" t="s">
        <v>4267</v>
      </c>
      <c r="K129" s="142" t="s">
        <v>4171</v>
      </c>
      <c r="L129" s="2546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6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4171</v>
      </c>
      <c r="I130" s="1434" t="s">
        <v>4270</v>
      </c>
      <c r="J130" s="292" t="s">
        <v>4271</v>
      </c>
      <c r="K130" s="142" t="s">
        <v>4171</v>
      </c>
      <c r="L130" s="156"/>
      <c r="M130" s="2546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6" cm="1">
        <f t="array" ref="F131">INDEX('6층_부하량'!H3:H3000,MATCH(1,("6-DaHall 1-PDU-10"='6층_부하량'!A3:A3000)*(35='6층_부하량'!B3:B3000),0))</f>
        <v>0</v>
      </c>
      <c r="G131" s="156"/>
      <c r="H131" s="142" t="s">
        <v>4171</v>
      </c>
      <c r="I131" s="1428" t="s">
        <v>4274</v>
      </c>
      <c r="J131" s="292" t="s">
        <v>4276</v>
      </c>
      <c r="K131" s="142" t="s">
        <v>4171</v>
      </c>
      <c r="L131" s="156"/>
      <c r="M131" s="156"/>
      <c r="N131" s="2546" cm="1">
        <f t="array" ref="N131">INDEX('6층_부하량'!H3:H3000,MATCH(1,("6-DaHall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6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8" t="s">
        <v>4279</v>
      </c>
      <c r="J132" s="1426" t="s">
        <v>4280</v>
      </c>
      <c r="K132" s="142" t="s">
        <v>4171</v>
      </c>
      <c r="L132" s="2546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6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4171</v>
      </c>
      <c r="I133" s="1434" t="s">
        <v>4283</v>
      </c>
      <c r="J133" s="1426" t="s">
        <v>4284</v>
      </c>
      <c r="K133" s="142" t="s">
        <v>4171</v>
      </c>
      <c r="L133" s="156"/>
      <c r="M133" s="2546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6" cm="1">
        <f t="array" ref="F134">INDEX('6층_부하량'!H3:H3000,MATCH(1,("6-DaHall 1-PDU-10"='6층_부하량'!A3:A3000)*(41='6층_부하량'!B3:B3000),0))</f>
        <v>0</v>
      </c>
      <c r="G134" s="156"/>
      <c r="H134" s="142" t="s">
        <v>4171</v>
      </c>
      <c r="I134" s="1428" t="s">
        <v>4628</v>
      </c>
      <c r="J134" s="1426" t="s">
        <v>4416</v>
      </c>
      <c r="K134" s="142" t="s">
        <v>4171</v>
      </c>
      <c r="L134" s="156"/>
      <c r="M134" s="156"/>
      <c r="N134" s="2546" cm="1">
        <f t="array" ref="N134">INDEX('6층_부하량'!H3:H3000,MATCH(1,("6-DaHall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6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8" t="s">
        <v>4418</v>
      </c>
      <c r="J135" s="1426" t="s">
        <v>4419</v>
      </c>
      <c r="K135" s="142" t="s">
        <v>4171</v>
      </c>
      <c r="L135" s="2546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6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4171</v>
      </c>
      <c r="I136" s="1428" t="s">
        <v>4420</v>
      </c>
      <c r="J136" s="1426" t="s">
        <v>4421</v>
      </c>
      <c r="K136" s="142" t="s">
        <v>4171</v>
      </c>
      <c r="L136" s="156"/>
      <c r="M136" s="2546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6" cm="1">
        <f t="array" ref="F137">INDEX('6층_부하량'!H3:H3000,MATCH(1,("6-DaHall 1-PDU-10"='6층_부하량'!A3:A3000)*(47='6층_부하량'!B3:B3000),0))</f>
        <v>0</v>
      </c>
      <c r="G137" s="156"/>
      <c r="H137" s="142" t="s">
        <v>4171</v>
      </c>
      <c r="I137" s="1434" t="s">
        <v>4422</v>
      </c>
      <c r="J137" s="292" t="s">
        <v>4423</v>
      </c>
      <c r="K137" s="142" t="s">
        <v>4171</v>
      </c>
      <c r="L137" s="156"/>
      <c r="M137" s="156"/>
      <c r="N137" s="2546" cm="1">
        <f t="array" ref="N137">INDEX('6층_부하량'!H3:H3000,MATCH(1,("6-DaHall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9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5" t="s">
        <v>4424</v>
      </c>
      <c r="J138" s="1436" t="s">
        <v>4425</v>
      </c>
      <c r="K138" s="165" t="s">
        <v>4171</v>
      </c>
      <c r="L138" s="2549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818" t="s">
        <v>4736</v>
      </c>
      <c r="D141" s="3818"/>
      <c r="E141" s="3818"/>
      <c r="F141" s="172"/>
      <c r="G141" s="172"/>
      <c r="H141" s="132"/>
      <c r="I141" s="3823" t="s">
        <v>4636</v>
      </c>
      <c r="J141" s="382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4136</v>
      </c>
      <c r="L142" s="1342">
        <v>5.0999999999999996</v>
      </c>
      <c r="M142" s="1343">
        <v>0</v>
      </c>
      <c r="N142" s="1344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4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2" t="s">
        <v>4206</v>
      </c>
      <c r="J144" s="290" t="s">
        <v>4152</v>
      </c>
      <c r="K144" s="141" t="s">
        <v>4171</v>
      </c>
      <c r="L144" s="2544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5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5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6" cm="1">
        <f t="array" ref="F146">INDEX('6층_부하량'!H3:H3000,MATCH(1,("6-DaHall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6" cm="1">
        <f t="array" ref="N146">INDEX('6층_부하량'!H3:H3000,MATCH(1,("6-DaHall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6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6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6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6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6" cm="1">
        <f t="array" ref="F149">INDEX('6층_부하량'!H3:H3000,MATCH(1,("6-DaHall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6" cm="1">
        <f t="array" ref="N149">INDEX('6층_부하량'!H3:H3000,MATCH(1,("6-DaHall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6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6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6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6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51" cm="1">
        <f t="array" ref="F152">INDEX('6층_부하량'!H3:H3000,MATCH(1,("6-DaHall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51" cm="1">
        <f t="array" ref="N152">INDEX('6층_부하량'!H3:H3000,MATCH(1,("6-DaHall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8" cm="1">
        <f t="array" ref="D153">INDEX('6층_부하량'!F3:F3000,MATCH(1,("6-DaHall 1-PDU-11"='6층_부하량'!A3:A3000)*(19='6층_부하량'!B3:B3000),0))</f>
        <v>6.21</v>
      </c>
      <c r="E153" s="178"/>
      <c r="F153" s="178"/>
      <c r="G153" s="162"/>
      <c r="H153" s="141" t="s">
        <v>4171</v>
      </c>
      <c r="I153" s="1433" t="s">
        <v>4243</v>
      </c>
      <c r="J153" s="1437" t="s">
        <v>4183</v>
      </c>
      <c r="K153" s="141" t="s">
        <v>4171</v>
      </c>
      <c r="L153" s="2548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9" t="s">
        <v>4756</v>
      </c>
      <c r="B154" s="155" t="s">
        <v>4208</v>
      </c>
      <c r="C154" s="188" t="s">
        <v>4149</v>
      </c>
      <c r="D154" s="156"/>
      <c r="E154" s="2546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4171</v>
      </c>
      <c r="I154" s="1434" t="s">
        <v>4247</v>
      </c>
      <c r="J154" s="1426" t="s">
        <v>4187</v>
      </c>
      <c r="K154" s="155" t="s">
        <v>4171</v>
      </c>
      <c r="L154" s="156"/>
      <c r="M154" s="2546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6" cm="1">
        <f t="array" ref="F155">INDEX('6층_부하량'!H3:H3000,MATCH(1,("6-DaHall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6" t="s">
        <v>4253</v>
      </c>
      <c r="K155" s="142" t="s">
        <v>4171</v>
      </c>
      <c r="L155" s="156"/>
      <c r="M155" s="156"/>
      <c r="N155" s="2546" cm="1">
        <f t="array" ref="N155">INDEX('6층_부하량'!H3:H3000,MATCH(1,("6-DaHall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6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6" t="s">
        <v>4258</v>
      </c>
      <c r="K156" s="142" t="s">
        <v>4171</v>
      </c>
      <c r="L156" s="2546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6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6" t="s">
        <v>4262</v>
      </c>
      <c r="K157" s="142" t="s">
        <v>4171</v>
      </c>
      <c r="L157" s="156"/>
      <c r="M157" s="2546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6" cm="1">
        <f t="array" ref="F158">INDEX('6층_부하량'!H3:H3000,MATCH(1,("6-DaHall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6" t="s">
        <v>4265</v>
      </c>
      <c r="K158" s="142" t="s">
        <v>4171</v>
      </c>
      <c r="L158" s="156"/>
      <c r="M158" s="156"/>
      <c r="N158" s="2546" cm="1">
        <f t="array" ref="N158">INDEX('6층_부하량'!H3:H3000,MATCH(1,("6-DaHall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6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6" t="s">
        <v>4267</v>
      </c>
      <c r="K159" s="142" t="s">
        <v>4171</v>
      </c>
      <c r="L159" s="2546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6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6" t="s">
        <v>4271</v>
      </c>
      <c r="K160" s="142" t="s">
        <v>4171</v>
      </c>
      <c r="L160" s="156"/>
      <c r="M160" s="2546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6" cm="1">
        <f t="array" ref="F161">INDEX('6층_부하량'!H3:H3000,MATCH(1,("6-DaHall 1-PDU-11"='6층_부하량'!A3:A3000)*(35='6층_부하량'!B3:B3000),0))</f>
        <v>0</v>
      </c>
      <c r="G161" s="156"/>
      <c r="H161" s="142" t="s">
        <v>4171</v>
      </c>
      <c r="I161" s="1428" t="s">
        <v>4274</v>
      </c>
      <c r="J161" s="1426" t="s">
        <v>4276</v>
      </c>
      <c r="K161" s="142" t="s">
        <v>4171</v>
      </c>
      <c r="L161" s="156"/>
      <c r="M161" s="156"/>
      <c r="N161" s="2546" cm="1">
        <f t="array" ref="N161">INDEX('6층_부하량'!H3:H3000,MATCH(1,("6-DaHall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6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8" t="s">
        <v>4279</v>
      </c>
      <c r="J162" s="1426" t="s">
        <v>4280</v>
      </c>
      <c r="K162" s="142" t="s">
        <v>4171</v>
      </c>
      <c r="L162" s="2546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6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4171</v>
      </c>
      <c r="I163" s="1434" t="s">
        <v>4283</v>
      </c>
      <c r="J163" s="1426" t="s">
        <v>4284</v>
      </c>
      <c r="K163" s="142" t="s">
        <v>4171</v>
      </c>
      <c r="L163" s="156"/>
      <c r="M163" s="2546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6" cm="1">
        <f t="array" ref="F164">INDEX('6층_부하량'!H3:H3000,MATCH(1,("6-DaHall 1-PDU-11"='6층_부하량'!A3:A3000)*(41='6층_부하량'!B3:B3000),0))</f>
        <v>0</v>
      </c>
      <c r="G164" s="156"/>
      <c r="H164" s="142" t="s">
        <v>4171</v>
      </c>
      <c r="I164" s="1428" t="s">
        <v>4628</v>
      </c>
      <c r="J164" s="1426" t="s">
        <v>4416</v>
      </c>
      <c r="K164" s="142" t="s">
        <v>4171</v>
      </c>
      <c r="L164" s="156"/>
      <c r="M164" s="156"/>
      <c r="N164" s="2546" cm="1">
        <f t="array" ref="N164">INDEX('6층_부하량'!H3:H3000,MATCH(1,("6-DaHall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6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8" t="s">
        <v>4418</v>
      </c>
      <c r="J165" s="1426" t="s">
        <v>4419</v>
      </c>
      <c r="K165" s="142" t="s">
        <v>4171</v>
      </c>
      <c r="L165" s="2546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6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4171</v>
      </c>
      <c r="I166" s="1428" t="s">
        <v>4420</v>
      </c>
      <c r="J166" s="1426" t="s">
        <v>4421</v>
      </c>
      <c r="K166" s="142" t="s">
        <v>4171</v>
      </c>
      <c r="L166" s="156"/>
      <c r="M166" s="2546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1000" t="s">
        <v>4781</v>
      </c>
      <c r="B167" s="142" t="s">
        <v>4208</v>
      </c>
      <c r="C167" s="163" t="s">
        <v>4149</v>
      </c>
      <c r="D167" s="156"/>
      <c r="E167" s="156"/>
      <c r="F167" s="2546" cm="1">
        <f t="array" ref="F167">INDEX('6층_부하량'!H3:H3000,MATCH(1,("6-DaHall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6" t="s">
        <v>4423</v>
      </c>
      <c r="K167" s="142" t="s">
        <v>4171</v>
      </c>
      <c r="L167" s="156"/>
      <c r="M167" s="156"/>
      <c r="N167" s="2546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1" t="s">
        <v>4782</v>
      </c>
      <c r="B168" s="165" t="s">
        <v>4208</v>
      </c>
      <c r="C168" s="183" t="s">
        <v>4149</v>
      </c>
      <c r="D168" s="2549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6" t="s">
        <v>4425</v>
      </c>
      <c r="K168" s="165" t="s">
        <v>4171</v>
      </c>
      <c r="L168" s="2549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6.21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818" t="s">
        <v>4783</v>
      </c>
      <c r="D170" s="3818"/>
      <c r="E170" s="3818"/>
      <c r="F170" s="172"/>
      <c r="G170" s="172"/>
      <c r="H170" s="132"/>
      <c r="I170" s="3823" t="s">
        <v>4636</v>
      </c>
      <c r="J170" s="382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4136</v>
      </c>
      <c r="L171" s="1342">
        <v>5.0999999999999996</v>
      </c>
      <c r="M171" s="1343">
        <v>0</v>
      </c>
      <c r="N171" s="1344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4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2" t="s">
        <v>4206</v>
      </c>
      <c r="J173" s="290" t="s">
        <v>4152</v>
      </c>
      <c r="K173" s="141" t="s">
        <v>4171</v>
      </c>
      <c r="L173" s="2544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5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5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6" cm="1">
        <f t="array" ref="F175">INDEX('6층_부하량'!H3:H3000,MATCH(1,("6-DaHall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6" cm="1">
        <f t="array" ref="N175">INDEX('6층_부하량'!H3:H3000,MATCH(1,("6-DaHall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6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6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6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6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6" cm="1">
        <f t="array" ref="F178">INDEX('6층_부하량'!H3:H3000,MATCH(1,("6-DaHall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6" cm="1">
        <f t="array" ref="N178">INDEX('6층_부하량'!H3:H3000,MATCH(1,("6-DaHall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6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8" t="s">
        <v>4230</v>
      </c>
      <c r="J179" s="1426" t="s">
        <v>4175</v>
      </c>
      <c r="K179" s="142" t="s">
        <v>4171</v>
      </c>
      <c r="L179" s="2546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6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6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51" cm="1">
        <f t="array" ref="F181">INDEX('6층_부하량'!H3:H3000,MATCH(1,("6-DaHall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51" cm="1">
        <f t="array" ref="N181">INDEX('6층_부하량'!H3:H3000,MATCH(1,("6-DaHall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8" cm="1">
        <f t="array" ref="D182">INDEX('6층_부하량'!F3:F3000,MATCH(1,("6-DaHall 1-PDU-12"='6층_부하량'!A3:A3000)*(19='6층_부하량'!B3:B3000),0))</f>
        <v>6.13</v>
      </c>
      <c r="E182" s="178"/>
      <c r="F182" s="178"/>
      <c r="G182" s="162"/>
      <c r="H182" s="141" t="s">
        <v>4171</v>
      </c>
      <c r="I182" s="295" t="s">
        <v>4243</v>
      </c>
      <c r="J182" s="1437" t="s">
        <v>4183</v>
      </c>
      <c r="K182" s="141" t="s">
        <v>4171</v>
      </c>
      <c r="L182" s="2548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9" t="s">
        <v>4803</v>
      </c>
      <c r="B183" s="155" t="s">
        <v>4208</v>
      </c>
      <c r="C183" s="188" t="s">
        <v>4149</v>
      </c>
      <c r="D183" s="156"/>
      <c r="E183" s="2546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4171</v>
      </c>
      <c r="I183" s="1434" t="s">
        <v>4247</v>
      </c>
      <c r="J183" s="1426" t="s">
        <v>4187</v>
      </c>
      <c r="K183" s="155" t="s">
        <v>4171</v>
      </c>
      <c r="L183" s="156"/>
      <c r="M183" s="2546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6" cm="1">
        <f t="array" ref="F184">INDEX('6층_부하량'!H3:H3000,MATCH(1,("6-DaHall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6" t="s">
        <v>4253</v>
      </c>
      <c r="K184" s="142" t="s">
        <v>4171</v>
      </c>
      <c r="L184" s="156"/>
      <c r="M184" s="156"/>
      <c r="N184" s="2546" cm="1">
        <f t="array" ref="N184">INDEX('6층_부하량'!H3:H3000,MATCH(1,("6-DaHall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6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6" t="s">
        <v>4258</v>
      </c>
      <c r="K185" s="142" t="s">
        <v>4171</v>
      </c>
      <c r="L185" s="2546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6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6" t="s">
        <v>4262</v>
      </c>
      <c r="K186" s="142" t="s">
        <v>4171</v>
      </c>
      <c r="L186" s="156"/>
      <c r="M186" s="2546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6" cm="1">
        <f t="array" ref="F187">INDEX('6층_부하량'!H3:H3000,MATCH(1,("6-DaHall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6" t="s">
        <v>4265</v>
      </c>
      <c r="K187" s="142" t="s">
        <v>4171</v>
      </c>
      <c r="L187" s="156"/>
      <c r="M187" s="156"/>
      <c r="N187" s="2546" cm="1">
        <f t="array" ref="N187">INDEX('6층_부하량'!H3:H3000,MATCH(1,("6-DaHall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6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6" t="s">
        <v>4267</v>
      </c>
      <c r="K188" s="142" t="s">
        <v>4171</v>
      </c>
      <c r="L188" s="2546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6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6" t="s">
        <v>4271</v>
      </c>
      <c r="K189" s="142" t="s">
        <v>4171</v>
      </c>
      <c r="L189" s="156"/>
      <c r="M189" s="2546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6" cm="1">
        <f t="array" ref="F190">INDEX('6층_부하량'!H3:H3000,MATCH(1,("6-DaHall 1-PDU-12"='6층_부하량'!A3:A3000)*(35='6층_부하량'!B3:B3000),0))</f>
        <v>0</v>
      </c>
      <c r="G190" s="156"/>
      <c r="H190" s="142" t="s">
        <v>4171</v>
      </c>
      <c r="I190" s="1428" t="s">
        <v>4274</v>
      </c>
      <c r="J190" s="1426" t="s">
        <v>4276</v>
      </c>
      <c r="K190" s="142" t="s">
        <v>4171</v>
      </c>
      <c r="L190" s="156"/>
      <c r="M190" s="156"/>
      <c r="N190" s="2546" cm="1">
        <f t="array" ref="N190">INDEX('6층_부하량'!H3:H3000,MATCH(1,("6-DaHall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6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8" t="s">
        <v>4279</v>
      </c>
      <c r="J191" s="1426" t="s">
        <v>4280</v>
      </c>
      <c r="K191" s="142" t="s">
        <v>4171</v>
      </c>
      <c r="L191" s="2546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6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4171</v>
      </c>
      <c r="I192" s="1434" t="s">
        <v>4283</v>
      </c>
      <c r="J192" s="1426" t="s">
        <v>4284</v>
      </c>
      <c r="K192" s="142" t="s">
        <v>4171</v>
      </c>
      <c r="L192" s="156"/>
      <c r="M192" s="2546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6" cm="1">
        <f t="array" ref="F193">INDEX('6층_부하량'!H3:H3000,MATCH(1,("6-DaHall 1-PDU-12"='6층_부하량'!A3:A3000)*(41='6층_부하량'!B3:B3000),0))</f>
        <v>0</v>
      </c>
      <c r="G193" s="156"/>
      <c r="H193" s="142" t="s">
        <v>4171</v>
      </c>
      <c r="I193" s="1428" t="s">
        <v>4628</v>
      </c>
      <c r="J193" s="1426" t="s">
        <v>4416</v>
      </c>
      <c r="K193" s="142" t="s">
        <v>4171</v>
      </c>
      <c r="L193" s="156"/>
      <c r="M193" s="156"/>
      <c r="N193" s="2546" cm="1">
        <f t="array" ref="N193">INDEX('6층_부하량'!H3:H3000,MATCH(1,("6-DaHall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6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8" t="s">
        <v>4418</v>
      </c>
      <c r="J194" s="292" t="s">
        <v>4419</v>
      </c>
      <c r="K194" s="142" t="s">
        <v>4171</v>
      </c>
      <c r="L194" s="2546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6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4171</v>
      </c>
      <c r="I195" s="1428" t="s">
        <v>4420</v>
      </c>
      <c r="J195" s="1426" t="s">
        <v>4421</v>
      </c>
      <c r="K195" s="142" t="s">
        <v>4171</v>
      </c>
      <c r="L195" s="156"/>
      <c r="M195" s="2546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1000" t="s">
        <v>4781</v>
      </c>
      <c r="B196" s="142" t="s">
        <v>4208</v>
      </c>
      <c r="C196" s="163" t="s">
        <v>4149</v>
      </c>
      <c r="D196" s="156"/>
      <c r="E196" s="156"/>
      <c r="F196" s="2546" cm="1">
        <f t="array" ref="F196">INDEX('6층_부하량'!H3:H3000,MATCH(1,("6-DaHall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6" t="s">
        <v>4423</v>
      </c>
      <c r="K196" s="142" t="s">
        <v>4171</v>
      </c>
      <c r="L196" s="156"/>
      <c r="M196" s="156"/>
      <c r="N196" s="2546" cm="1">
        <f t="array" ref="N196">INDEX('6층_부하량'!H3:H3000,MATCH(1,("6-DaHall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1" t="s">
        <v>4782</v>
      </c>
      <c r="B197" s="165" t="s">
        <v>4208</v>
      </c>
      <c r="C197" s="183" t="s">
        <v>4149</v>
      </c>
      <c r="D197" s="2549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6" t="s">
        <v>4425</v>
      </c>
      <c r="K197" s="165" t="s">
        <v>4171</v>
      </c>
      <c r="L197" s="2549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6.13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818" t="s">
        <v>4830</v>
      </c>
      <c r="D199" s="3818"/>
      <c r="E199" s="3818"/>
      <c r="F199" s="172"/>
      <c r="G199" s="172"/>
      <c r="H199" s="132"/>
      <c r="I199" s="3823" t="s">
        <v>4636</v>
      </c>
      <c r="J199" s="382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4136</v>
      </c>
      <c r="L200" s="1342">
        <v>21.6</v>
      </c>
      <c r="M200" s="1343">
        <v>21.2</v>
      </c>
      <c r="N200" s="1344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4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2" t="s">
        <v>4206</v>
      </c>
      <c r="J202" s="1439" t="s">
        <v>4152</v>
      </c>
      <c r="K202" s="141" t="s">
        <v>4171</v>
      </c>
      <c r="L202" s="2544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5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4171</v>
      </c>
      <c r="I203" s="1428" t="s">
        <v>4211</v>
      </c>
      <c r="J203" s="1426" t="s">
        <v>4157</v>
      </c>
      <c r="K203" s="142" t="s">
        <v>4171</v>
      </c>
      <c r="L203" s="148"/>
      <c r="M203" s="2545" cm="1">
        <f t="array" ref="M203">INDEX('6층_부하량'!G3:G3000,MATCH(1,("6-DaHall 1-PDU-01"='6층_부하량'!A3:A3000)*(4='6층_부하량'!B3:B3000),0))</f>
        <v>7.1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6" cm="1">
        <f t="array" ref="F204">INDEX('6층_부하량'!H3:H3000,MATCH(1,("6-DaHall 1-PDU-01"='6층_부하량'!A3:A3000)*(5='6층_부하량'!B3:B3000),0))</f>
        <v>0</v>
      </c>
      <c r="G204" s="156"/>
      <c r="H204" s="142" t="s">
        <v>4171</v>
      </c>
      <c r="I204" s="1428" t="s">
        <v>4214</v>
      </c>
      <c r="J204" s="1426" t="s">
        <v>4162</v>
      </c>
      <c r="K204" s="142" t="s">
        <v>4171</v>
      </c>
      <c r="L204" s="156"/>
      <c r="M204" s="156"/>
      <c r="N204" s="2546" cm="1">
        <f t="array" ref="N204">INDEX('6층_부하량'!H3:H3000,MATCH(1,("6-DaHall 1-PDU-01"='6층_부하량'!A3:A3000)*(6='6층_부하량'!B3:B3000),0))</f>
        <v>3.17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1" t="s">
        <v>4837</v>
      </c>
      <c r="B205" s="142" t="s">
        <v>4208</v>
      </c>
      <c r="C205" s="1148" t="s">
        <v>4149</v>
      </c>
      <c r="D205" s="2546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8" t="s">
        <v>4218</v>
      </c>
      <c r="J205" s="1426" t="s">
        <v>4167</v>
      </c>
      <c r="K205" s="142" t="s">
        <v>4171</v>
      </c>
      <c r="L205" s="2546" cm="1">
        <f t="array" ref="L205">INDEX('6층_부하량'!F3:F3000,MATCH(1,("6-DaHall 1-PDU-01"='6층_부하량'!A3:A3000)*(8='6층_부하량'!B3:B3000),0))</f>
        <v>5.01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2" t="s">
        <v>4839</v>
      </c>
      <c r="B206" s="142" t="s">
        <v>4208</v>
      </c>
      <c r="C206" s="1148" t="s">
        <v>4149</v>
      </c>
      <c r="D206" s="156"/>
      <c r="E206" s="2546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4171</v>
      </c>
      <c r="I206" s="1428" t="s">
        <v>4221</v>
      </c>
      <c r="J206" s="1426" t="s">
        <v>4170</v>
      </c>
      <c r="K206" s="142" t="s">
        <v>4171</v>
      </c>
      <c r="L206" s="156"/>
      <c r="M206" s="2546" cm="1">
        <f t="array" ref="M206">INDEX('6층_부하량'!G3:G3000,MATCH(1,("6-DaHall 1-PDU-01"='6층_부하량'!A3:A3000)*(10='6층_부하량'!B3:B3000),0))</f>
        <v>9.0399999999999991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1" t="s">
        <v>4841</v>
      </c>
      <c r="B207" s="142" t="s">
        <v>4208</v>
      </c>
      <c r="C207" s="1148" t="s">
        <v>4149</v>
      </c>
      <c r="D207" s="156"/>
      <c r="E207" s="156"/>
      <c r="F207" s="2546" cm="1">
        <f t="array" ref="F207">INDEX('6층_부하량'!H3:H3000,MATCH(1,("6-DaHall 1-PDU-01"='6층_부하량'!A3:A3000)*(11='6층_부하량'!B3:B3000),0))</f>
        <v>0</v>
      </c>
      <c r="G207" s="156"/>
      <c r="H207" s="142" t="s">
        <v>4171</v>
      </c>
      <c r="I207" s="1428" t="s">
        <v>4226</v>
      </c>
      <c r="J207" s="1426" t="s">
        <v>4173</v>
      </c>
      <c r="K207" s="142" t="s">
        <v>4171</v>
      </c>
      <c r="L207" s="156"/>
      <c r="M207" s="156"/>
      <c r="N207" s="2546" cm="1">
        <f t="array" ref="N207">INDEX('6층_부하량'!H3:H3000,MATCH(1,("6-DaHall 1-PDU-01"='6층_부하량'!A3:A3000)*(12='6층_부하량'!B3:B3000),0))</f>
        <v>8.32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2" t="s">
        <v>4843</v>
      </c>
      <c r="B208" s="142" t="s">
        <v>4208</v>
      </c>
      <c r="C208" s="1148" t="s">
        <v>4149</v>
      </c>
      <c r="D208" s="2546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8" t="s">
        <v>4230</v>
      </c>
      <c r="J208" s="1426" t="s">
        <v>4175</v>
      </c>
      <c r="K208" s="142" t="s">
        <v>4171</v>
      </c>
      <c r="L208" s="2546" cm="1">
        <f t="array" ref="L208">INDEX('6층_부하량'!F3:F3000,MATCH(1,("6-DaHall 1-PDU-01"='6층_부하량'!A3:A3000)*(14='6층_부하량'!B3:B3000),0))</f>
        <v>6.67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1" t="s">
        <v>4845</v>
      </c>
      <c r="B209" s="142" t="s">
        <v>4208</v>
      </c>
      <c r="C209" s="1148" t="s">
        <v>4149</v>
      </c>
      <c r="D209" s="156"/>
      <c r="E209" s="2546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4171</v>
      </c>
      <c r="I209" s="1428" t="s">
        <v>4234</v>
      </c>
      <c r="J209" s="1426" t="s">
        <v>4177</v>
      </c>
      <c r="K209" s="142" t="s">
        <v>4171</v>
      </c>
      <c r="L209" s="156"/>
      <c r="M209" s="2546" cm="1">
        <f t="array" ref="M209">INDEX('6층_부하량'!G3:G3000,MATCH(1,("6-DaHall 1-PDU-01"='6층_부하량'!A3:A3000)*(16='6층_부하량'!B3:B3000),0))</f>
        <v>6.34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3" t="s">
        <v>4847</v>
      </c>
      <c r="B210" s="158" t="s">
        <v>4208</v>
      </c>
      <c r="C210" s="1149" t="s">
        <v>4149</v>
      </c>
      <c r="D210" s="176"/>
      <c r="E210" s="176"/>
      <c r="F210" s="2551" cm="1">
        <f t="array" ref="F210">INDEX('6층_부하량'!H3:H3000,MATCH(1,("6-DaHall 1-PDU-01"='6층_부하량'!A3:A3000)*(17='6층_부하량'!B3:B3000),0))</f>
        <v>0</v>
      </c>
      <c r="G210" s="159"/>
      <c r="H210" s="158" t="s">
        <v>4171</v>
      </c>
      <c r="I210" s="1438" t="s">
        <v>4238</v>
      </c>
      <c r="J210" s="294" t="s">
        <v>4179</v>
      </c>
      <c r="K210" s="158" t="s">
        <v>4171</v>
      </c>
      <c r="L210" s="176"/>
      <c r="M210" s="176"/>
      <c r="N210" s="2551" cm="1">
        <f t="array" ref="N210">INDEX('6층_부하량'!H3:H3000,MATCH(1,("6-DaHall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8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3" t="s">
        <v>4243</v>
      </c>
      <c r="J211" s="296" t="s">
        <v>4183</v>
      </c>
      <c r="K211" s="141" t="s">
        <v>4171</v>
      </c>
      <c r="L211" s="2548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6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4171</v>
      </c>
      <c r="I212" s="1434" t="s">
        <v>4247</v>
      </c>
      <c r="J212" s="292" t="s">
        <v>4187</v>
      </c>
      <c r="K212" s="155" t="s">
        <v>4171</v>
      </c>
      <c r="L212" s="156"/>
      <c r="M212" s="2546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6" cm="1">
        <f t="array" ref="F213">INDEX('6층_부하량'!H3:H3000,MATCH(1,("6-DaHall 1-PDU-01"='6층_부하량'!A3:A3000)*(23='6층_부하량'!B3:B3000),0))</f>
        <v>0</v>
      </c>
      <c r="G213" s="156"/>
      <c r="H213" s="142" t="s">
        <v>4171</v>
      </c>
      <c r="I213" s="1434" t="s">
        <v>4251</v>
      </c>
      <c r="J213" s="292" t="s">
        <v>4253</v>
      </c>
      <c r="K213" s="142" t="s">
        <v>4171</v>
      </c>
      <c r="L213" s="156"/>
      <c r="M213" s="156"/>
      <c r="N213" s="2546" cm="1">
        <f t="array" ref="N213">INDEX('6층_부하량'!H3:H3000,MATCH(1,("6-DaHall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6" cm="1">
        <f t="array" ref="D214">INDEX('6층_부하량'!F3:F3000,MATCH(1,("6-DaHall 1-PDU-01"='6층_부하량'!A3:A3000)*(25='6층_부하량'!B3:B3000),0))</f>
        <v>3.75</v>
      </c>
      <c r="E214" s="156"/>
      <c r="F214" s="156"/>
      <c r="G214" s="156"/>
      <c r="H214" s="142" t="s">
        <v>4171</v>
      </c>
      <c r="I214" s="1434" t="s">
        <v>4256</v>
      </c>
      <c r="J214" s="292" t="s">
        <v>4258</v>
      </c>
      <c r="K214" s="142" t="s">
        <v>4171</v>
      </c>
      <c r="L214" s="2546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6" cm="1">
        <f t="array" ref="E215">INDEX('6층_부하량'!G3:G3000,MATCH(1,("6-DaHall 1-PDU-01"='6층_부하량'!A3:A3000)*(27='6층_부하량'!B3:B3000),0))</f>
        <v>2.33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6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6" cm="1">
        <f t="array" ref="F216">INDEX('6층_부하량'!H3:H3000,MATCH(1,("6-DaHall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6" t="s">
        <v>4265</v>
      </c>
      <c r="K216" s="142" t="s">
        <v>4171</v>
      </c>
      <c r="L216" s="156"/>
      <c r="M216" s="156"/>
      <c r="N216" s="2546" cm="1">
        <f t="array" ref="N216">INDEX('6층_부하량'!H3:H3000,MATCH(1,("6-DaHall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6" cm="1">
        <f t="array" ref="D217">INDEX('6층_부하량'!F3:F3000,MATCH(1,("6-DaHall 1-PDU-01"='6층_부하량'!A3:A3000)*(31='6층_부하량'!B3:B3000),0))</f>
        <v>2.1</v>
      </c>
      <c r="E217" s="156"/>
      <c r="F217" s="156"/>
      <c r="G217" s="156"/>
      <c r="H217" s="142" t="s">
        <v>4171</v>
      </c>
      <c r="I217" s="297" t="s">
        <v>4266</v>
      </c>
      <c r="J217" s="1426" t="s">
        <v>4267</v>
      </c>
      <c r="K217" s="142" t="s">
        <v>4171</v>
      </c>
      <c r="L217" s="2546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6" cm="1">
        <f t="array" ref="E218">INDEX('6층_부하량'!G3:G3000,MATCH(1,("6-DaHall 1-PDU-01"='6층_부하량'!A3:A3000)*(33='6층_부하량'!B3:B3000),0))</f>
        <v>1.97</v>
      </c>
      <c r="F218" s="156"/>
      <c r="G218" s="156"/>
      <c r="H218" s="142" t="s">
        <v>4171</v>
      </c>
      <c r="I218" s="297" t="s">
        <v>4270</v>
      </c>
      <c r="J218" s="1426" t="s">
        <v>4271</v>
      </c>
      <c r="K218" s="142" t="s">
        <v>4171</v>
      </c>
      <c r="L218" s="156"/>
      <c r="M218" s="2546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6" cm="1">
        <f t="array" ref="F219">INDEX('6층_부하량'!H3:H3000,MATCH(1,("6-DaHall 1-PDU-01"='6층_부하량'!A3:A3000)*(35='6층_부하량'!B3:B3000),0))</f>
        <v>0.69</v>
      </c>
      <c r="G219" s="156"/>
      <c r="H219" s="142" t="s">
        <v>4171</v>
      </c>
      <c r="I219" s="291" t="s">
        <v>4274</v>
      </c>
      <c r="J219" s="1426" t="s">
        <v>4276</v>
      </c>
      <c r="K219" s="142" t="s">
        <v>4171</v>
      </c>
      <c r="L219" s="156"/>
      <c r="M219" s="156"/>
      <c r="N219" s="2546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4208</v>
      </c>
      <c r="Q219" s="188" t="s">
        <v>4149</v>
      </c>
      <c r="R219" s="2038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6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6" t="s">
        <v>4280</v>
      </c>
      <c r="K220" s="142" t="s">
        <v>4171</v>
      </c>
      <c r="L220" s="2546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6" cm="1">
        <f t="array" ref="E221">INDEX('6층_부하량'!G3:G3000,MATCH(1,("6-DaHall 1-PDU-01"='6층_부하량'!A3:A3000)*(39='6층_부하량'!B3:B3000),0))</f>
        <v>0.33</v>
      </c>
      <c r="F221" s="156"/>
      <c r="G221" s="156"/>
      <c r="H221" s="142" t="s">
        <v>4171</v>
      </c>
      <c r="I221" s="297" t="s">
        <v>4283</v>
      </c>
      <c r="J221" s="1426" t="s">
        <v>4284</v>
      </c>
      <c r="K221" s="142" t="s">
        <v>4171</v>
      </c>
      <c r="L221" s="156"/>
      <c r="M221" s="2546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6" cm="1">
        <f t="array" ref="F222">INDEX('6층_부하량'!H3:H3000,MATCH(1,("6-DaHall 1-PDU-01"='6층_부하량'!A3:A3000)*(41='6층_부하량'!B3:B3000),0))</f>
        <v>1</v>
      </c>
      <c r="G222" s="156"/>
      <c r="H222" s="142" t="s">
        <v>4171</v>
      </c>
      <c r="I222" s="291" t="s">
        <v>4628</v>
      </c>
      <c r="J222" s="1426" t="s">
        <v>4416</v>
      </c>
      <c r="K222" s="142" t="s">
        <v>4171</v>
      </c>
      <c r="L222" s="156"/>
      <c r="M222" s="156"/>
      <c r="N222" s="2546" cm="1">
        <f t="array" ref="N222">INDEX('6층_부하량'!H3:H3000,MATCH(1,("6-DaHall 1-PDU-01"='6층_부하량'!A3:A3000)*(42='6층_부하량'!B3:B3000),0))</f>
        <v>4.49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6" cm="1">
        <f t="array" ref="D223">INDEX('6층_부하량'!F3:F3000,MATCH(1,("6-DaHall 1-PDU-01"='6층_부하량'!A3:A3000)*(43='6층_부하량'!B3:B3000),0))</f>
        <v>5.63</v>
      </c>
      <c r="E223" s="156"/>
      <c r="F223" s="156"/>
      <c r="G223" s="156"/>
      <c r="H223" s="142" t="s">
        <v>4171</v>
      </c>
      <c r="I223" s="291" t="s">
        <v>4418</v>
      </c>
      <c r="J223" s="1426" t="s">
        <v>4419</v>
      </c>
      <c r="K223" s="142" t="s">
        <v>4171</v>
      </c>
      <c r="L223" s="2546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8" t="s">
        <v>1988</v>
      </c>
      <c r="S223" s="2071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6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3" t="s">
        <v>4421</v>
      </c>
      <c r="K224" s="142" t="s">
        <v>4171</v>
      </c>
      <c r="L224" s="156"/>
      <c r="M224" s="2546" cm="1">
        <f t="array" ref="M224">INDEX('6층_부하량'!G3:G3000,MATCH(1,("6-DaHall 1-PDU-01"='6층_부하량'!A3:A3000)*(46='6층_부하량'!B3:B3000),0))</f>
        <v>0.57999999999999996</v>
      </c>
      <c r="N224" s="156"/>
      <c r="O224" s="156"/>
      <c r="P224" s="156" t="s">
        <v>4208</v>
      </c>
      <c r="Q224" s="163" t="s">
        <v>4149</v>
      </c>
      <c r="R224" s="2242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6" cm="1">
        <f t="array" ref="F225">INDEX('6층_부하량'!H3:H3000,MATCH(1,("6-DaHall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6" t="s">
        <v>4423</v>
      </c>
      <c r="K225" s="142" t="s">
        <v>4171</v>
      </c>
      <c r="L225" s="156"/>
      <c r="M225" s="156"/>
      <c r="N225" s="2546" cm="1">
        <f t="array" ref="N225">INDEX('6층_부하량'!H3:H3000,MATCH(1,("6-DaHall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9" cm="1">
        <f t="array" ref="D226">INDEX('6층_부하량'!F3:F3000,MATCH(1,("6-DaHall 1-PDU-01"='6층_부하량'!A3:A3000)*(49='6층_부하량'!B3:B3000),0))</f>
        <v>9.41</v>
      </c>
      <c r="E226" s="166"/>
      <c r="F226" s="166"/>
      <c r="G226" s="166"/>
      <c r="H226" s="165" t="s">
        <v>4171</v>
      </c>
      <c r="I226" s="299" t="s">
        <v>4424</v>
      </c>
      <c r="J226" s="1436" t="s">
        <v>4425</v>
      </c>
      <c r="K226" s="165" t="s">
        <v>4171</v>
      </c>
      <c r="L226" s="2549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34.57</v>
      </c>
      <c r="M227" s="127">
        <f>SUM(E202:E226,M202:M226)</f>
        <v>27.689999999999998</v>
      </c>
      <c r="N227" s="127">
        <f>SUM(F202:F226,N202:N226)</f>
        <v>18.78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818" t="s">
        <v>4879</v>
      </c>
      <c r="D229" s="3818"/>
      <c r="E229" s="3818"/>
      <c r="F229" s="172"/>
      <c r="G229" s="172"/>
      <c r="H229" s="132"/>
      <c r="I229" s="3823" t="s">
        <v>4636</v>
      </c>
      <c r="J229" s="382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4136</v>
      </c>
      <c r="L230" s="1342">
        <v>19.2</v>
      </c>
      <c r="M230" s="1343">
        <v>18.8</v>
      </c>
      <c r="N230" s="1344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4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2" t="s">
        <v>4206</v>
      </c>
      <c r="J232" s="290" t="s">
        <v>4152</v>
      </c>
      <c r="K232" s="141" t="s">
        <v>4171</v>
      </c>
      <c r="L232" s="2544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5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4171</v>
      </c>
      <c r="I233" s="1428" t="s">
        <v>4211</v>
      </c>
      <c r="J233" s="292" t="s">
        <v>4157</v>
      </c>
      <c r="K233" s="142" t="s">
        <v>4171</v>
      </c>
      <c r="L233" s="148"/>
      <c r="M233" s="2545" cm="1">
        <f t="array" ref="M233">INDEX('6층_부하량'!G3:G3000,MATCH(1,("6-DaHall 1-PDU-02"='6층_부하량'!A3:A3000)*(4='6층_부하량'!B3:B3000),0))</f>
        <v>6.37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6" cm="1">
        <f t="array" ref="F234">INDEX('6층_부하량'!H3:H3000,MATCH(1,("6-DaHall 1-PDU-02"='6층_부하량'!A3:A3000)*(5='6층_부하량'!B3:B3000),0))</f>
        <v>0</v>
      </c>
      <c r="G234" s="156"/>
      <c r="H234" s="142" t="s">
        <v>4171</v>
      </c>
      <c r="I234" s="1428" t="s">
        <v>4214</v>
      </c>
      <c r="J234" s="292" t="s">
        <v>4162</v>
      </c>
      <c r="K234" s="142" t="s">
        <v>4171</v>
      </c>
      <c r="L234" s="156"/>
      <c r="M234" s="156"/>
      <c r="N234" s="2546" cm="1">
        <f t="array" ref="N234">INDEX('6층_부하량'!H3:H3000,MATCH(1,("6-DaHall 1-PDU-02"='6층_부하량'!A3:A3000)*(6='6층_부하량'!B3:B3000),0))</f>
        <v>5.39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1" t="s">
        <v>4886</v>
      </c>
      <c r="B235" s="142" t="s">
        <v>4208</v>
      </c>
      <c r="C235" s="1148" t="s">
        <v>4149</v>
      </c>
      <c r="D235" s="2546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6" cm="1">
        <f t="array" ref="L235">INDEX('6층_부하량'!F3:F3000,MATCH(1,("6-DaHall 1-PDU-02"='6층_부하량'!A3:A3000)*(8='6층_부하량'!B3:B3000),0))</f>
        <v>3.48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2" t="s">
        <v>4888</v>
      </c>
      <c r="B236" s="142" t="s">
        <v>4208</v>
      </c>
      <c r="C236" s="1148" t="s">
        <v>4149</v>
      </c>
      <c r="D236" s="156"/>
      <c r="E236" s="2546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6" cm="1">
        <f t="array" ref="M236">INDEX('6층_부하량'!G3:G3000,MATCH(1,("6-DaHall 1-PDU-02"='6층_부하량'!A3:A3000)*(10='6층_부하량'!B3:B3000),0))</f>
        <v>8.92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1" t="s">
        <v>4890</v>
      </c>
      <c r="B237" s="142" t="s">
        <v>4208</v>
      </c>
      <c r="C237" s="1148" t="s">
        <v>4149</v>
      </c>
      <c r="D237" s="156"/>
      <c r="E237" s="156"/>
      <c r="F237" s="2546" cm="1">
        <f t="array" ref="F237">INDEX('6층_부하량'!H3:H3000,MATCH(1,("6-DaHall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6" cm="1">
        <f t="array" ref="N237">INDEX('6층_부하량'!H3:H3000,MATCH(1,("6-DaHall 1-PDU-02"='6층_부하량'!A3:A3000)*(12='6층_부하량'!B3:B3000),0))</f>
        <v>10.53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2" t="s">
        <v>4892</v>
      </c>
      <c r="B238" s="142" t="s">
        <v>4208</v>
      </c>
      <c r="C238" s="1148" t="s">
        <v>4149</v>
      </c>
      <c r="D238" s="2546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6" cm="1">
        <f t="array" ref="L238">INDEX('6층_부하량'!F3:F3000,MATCH(1,("6-DaHall 1-PDU-02"='6층_부하량'!A3:A3000)*(14='6층_부하량'!B3:B3000),0))</f>
        <v>8.58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1" t="s">
        <v>4894</v>
      </c>
      <c r="B239" s="142" t="s">
        <v>4208</v>
      </c>
      <c r="C239" s="1148" t="s">
        <v>4149</v>
      </c>
      <c r="D239" s="156"/>
      <c r="E239" s="2546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6" cm="1">
        <f t="array" ref="M239">INDEX('6층_부하량'!G3:G3000,MATCH(1,("6-DaHall 1-PDU-02"='6층_부하량'!A3:A3000)*(16='6층_부하량'!B3:B3000),0))</f>
        <v>5.31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3" t="s">
        <v>4896</v>
      </c>
      <c r="B240" s="158" t="s">
        <v>4208</v>
      </c>
      <c r="C240" s="1149" t="s">
        <v>4149</v>
      </c>
      <c r="D240" s="176"/>
      <c r="E240" s="176"/>
      <c r="F240" s="2551" cm="1">
        <f t="array" ref="F240">INDEX('6층_부하량'!H3:H3000,MATCH(1,("6-DaHall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40" t="s">
        <v>4179</v>
      </c>
      <c r="K240" s="158" t="s">
        <v>4171</v>
      </c>
      <c r="L240" s="176"/>
      <c r="M240" s="176"/>
      <c r="N240" s="2551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8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3" t="s">
        <v>4243</v>
      </c>
      <c r="J241" s="296" t="s">
        <v>4183</v>
      </c>
      <c r="K241" s="141" t="s">
        <v>4171</v>
      </c>
      <c r="L241" s="2548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6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4171</v>
      </c>
      <c r="I242" s="1434" t="s">
        <v>4247</v>
      </c>
      <c r="J242" s="292" t="s">
        <v>4187</v>
      </c>
      <c r="K242" s="155" t="s">
        <v>4171</v>
      </c>
      <c r="L242" s="156"/>
      <c r="M242" s="2546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6" cm="1">
        <f t="array" ref="F243">INDEX('6층_부하량'!H3:H3000,MATCH(1,("6-DaHall 1-PDU-02"='6층_부하량'!A3:A3000)*(23='6층_부하량'!B3:B3000),0))</f>
        <v>0</v>
      </c>
      <c r="G243" s="156"/>
      <c r="H243" s="142" t="s">
        <v>4171</v>
      </c>
      <c r="I243" s="1434" t="s">
        <v>4251</v>
      </c>
      <c r="J243" s="292" t="s">
        <v>4253</v>
      </c>
      <c r="K243" s="142" t="s">
        <v>4171</v>
      </c>
      <c r="L243" s="156"/>
      <c r="M243" s="156"/>
      <c r="N243" s="2546" cm="1">
        <f t="array" ref="N243">INDEX('6층_부하량'!H3:H3000,MATCH(1,("6-DaHall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6" cm="1">
        <f t="array" ref="D244">INDEX('6층_부하량'!F3:F3000,MATCH(1,("6-DaHall 1-PDU-02"='6층_부하량'!A3:A3000)*(25='6층_부하량'!B3:B3000),0))</f>
        <v>2.4300000000000002</v>
      </c>
      <c r="E244" s="156"/>
      <c r="F244" s="156"/>
      <c r="G244" s="156"/>
      <c r="H244" s="142" t="s">
        <v>4171</v>
      </c>
      <c r="I244" s="1434" t="s">
        <v>4256</v>
      </c>
      <c r="J244" s="292" t="s">
        <v>4258</v>
      </c>
      <c r="K244" s="142" t="s">
        <v>4171</v>
      </c>
      <c r="L244" s="2546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6" cm="1">
        <f t="array" ref="E245">INDEX('6층_부하량'!G3:G3000,MATCH(1,("6-DaHall 1-PDU-02"='6층_부하량'!A3:A3000)*(27='6층_부하량'!B3:B3000),0))</f>
        <v>1.41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6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6" cm="1">
        <f t="array" ref="F246">INDEX('6층_부하량'!H3:H3000,MATCH(1,("6-DaHall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6" cm="1">
        <f t="array" ref="N246">INDEX('6층_부하량'!H3:H3000,MATCH(1,("6-DaHall 1-PDU-02"='6층_부하량'!A3:A3000)*(30='6층_부하량'!B3:B3000),0))</f>
        <v>9.4499999999999993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6" cm="1">
        <f t="array" ref="D247">INDEX('6층_부하량'!F3:F3000,MATCH(1,("6-DaHall 1-PDU-02"='6층_부하량'!A3:A3000)*(31='6층_부하량'!B3:B3000),0))</f>
        <v>2.0499999999999998</v>
      </c>
      <c r="E247" s="156"/>
      <c r="F247" s="156"/>
      <c r="G247" s="156"/>
      <c r="H247" s="142" t="s">
        <v>4171</v>
      </c>
      <c r="I247" s="297" t="s">
        <v>4266</v>
      </c>
      <c r="J247" s="1426" t="s">
        <v>4267</v>
      </c>
      <c r="K247" s="142" t="s">
        <v>4171</v>
      </c>
      <c r="L247" s="2546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6" cm="1">
        <f t="array" ref="E248">INDEX('6층_부하량'!G3:G3000,MATCH(1,("6-DaHall 1-PDU-02"='6층_부하량'!A3:A3000)*(33='6층_부하량'!B3:B3000),0))</f>
        <v>2.1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6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6" cm="1">
        <f t="array" ref="F249">INDEX('6층_부하량'!H3:H3000,MATCH(1,("6-DaHall 1-PDU-02"='6층_부하량'!A3:A3000)*(35='6층_부하량'!B3:B3000),0))</f>
        <v>0.97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6" cm="1">
        <f t="array" ref="N249">INDEX('6층_부하량'!H3:H3000,MATCH(1,("6-DaHall 1-PDU-02"='6층_부하량'!A3:A3000)*(36='6층_부하량'!B3:B3000),0))</f>
        <v>2.2800000000000002</v>
      </c>
      <c r="O249" s="156"/>
      <c r="P249" s="148" t="s">
        <v>4208</v>
      </c>
      <c r="Q249" s="163" t="s">
        <v>4149</v>
      </c>
      <c r="R249" s="2038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6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6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6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4171</v>
      </c>
      <c r="I251" s="297" t="s">
        <v>4283</v>
      </c>
      <c r="J251" s="1426" t="s">
        <v>4284</v>
      </c>
      <c r="K251" s="142" t="s">
        <v>4171</v>
      </c>
      <c r="L251" s="156"/>
      <c r="M251" s="2546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6" cm="1">
        <f t="array" ref="F252">INDEX('6층_부하량'!H3:H3000,MATCH(1,("6-DaHall 1-PDU-02"='6층_부하량'!A3:A3000)*(41='6층_부하량'!B3:B3000),0))</f>
        <v>1.69</v>
      </c>
      <c r="G252" s="156"/>
      <c r="H252" s="142" t="s">
        <v>4171</v>
      </c>
      <c r="I252" s="291" t="s">
        <v>4628</v>
      </c>
      <c r="J252" s="1426" t="s">
        <v>4416</v>
      </c>
      <c r="K252" s="142" t="s">
        <v>4171</v>
      </c>
      <c r="L252" s="156"/>
      <c r="M252" s="156"/>
      <c r="N252" s="2546" cm="1">
        <f t="array" ref="N252">INDEX('6층_부하량'!H3:H3000,MATCH(1,("6-DaHall 1-PDU-02"='6층_부하량'!A3:A3000)*(42='6층_부하량'!B3:B3000),0))</f>
        <v>4.62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6" cm="1">
        <f t="array" ref="D253">INDEX('6층_부하량'!F3:F3000,MATCH(1,("6-DaHall 1-PDU-02"='6층_부하량'!A3:A3000)*(43='6층_부하량'!B3:B3000),0))</f>
        <v>5.98</v>
      </c>
      <c r="E253" s="156"/>
      <c r="F253" s="156"/>
      <c r="G253" s="156"/>
      <c r="H253" s="142" t="s">
        <v>4171</v>
      </c>
      <c r="I253" s="291" t="s">
        <v>4418</v>
      </c>
      <c r="J253" s="1426" t="s">
        <v>4419</v>
      </c>
      <c r="K253" s="142" t="s">
        <v>4171</v>
      </c>
      <c r="L253" s="2546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8" t="s">
        <v>1988</v>
      </c>
      <c r="S253" s="2071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6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4171</v>
      </c>
      <c r="I254" s="1428" t="s">
        <v>4420</v>
      </c>
      <c r="J254" s="1426" t="s">
        <v>4421</v>
      </c>
      <c r="K254" s="142" t="s">
        <v>4171</v>
      </c>
      <c r="L254" s="156"/>
      <c r="M254" s="2546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6" cm="1">
        <f t="array" ref="F255">INDEX('6층_부하량'!H3:H3000,MATCH(1,("6-DaHall 1-PDU-02"='6층_부하량'!A3:A3000)*(47='6층_부하량'!B3:B3000),0))</f>
        <v>0</v>
      </c>
      <c r="G255" s="156"/>
      <c r="H255" s="142" t="s">
        <v>4171</v>
      </c>
      <c r="I255" s="1434" t="s">
        <v>4422</v>
      </c>
      <c r="J255" s="292" t="s">
        <v>4423</v>
      </c>
      <c r="K255" s="142" t="s">
        <v>4171</v>
      </c>
      <c r="L255" s="156"/>
      <c r="M255" s="156"/>
      <c r="N255" s="2546" cm="1">
        <f t="array" ref="N255">INDEX('6층_부하량'!H3:H3000,MATCH(1,("6-DaHall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9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5" t="s">
        <v>4424</v>
      </c>
      <c r="J256" s="1436" t="s">
        <v>4425</v>
      </c>
      <c r="K256" s="165" t="s">
        <v>4171</v>
      </c>
      <c r="L256" s="2549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24.020000000000003</v>
      </c>
      <c r="M257" s="130">
        <f>SUM(E232:E256,M232:M256)</f>
        <v>24.44</v>
      </c>
      <c r="N257" s="130">
        <f>SUM(F232:F256,N232:N256)</f>
        <v>34.93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818" t="s">
        <v>4927</v>
      </c>
      <c r="D259" s="3818"/>
      <c r="E259" s="3818"/>
      <c r="F259" s="172"/>
      <c r="G259" s="172"/>
      <c r="H259" s="132"/>
      <c r="I259" s="3823" t="s">
        <v>4636</v>
      </c>
      <c r="J259" s="382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4136</v>
      </c>
      <c r="L260" s="1342">
        <v>20.7</v>
      </c>
      <c r="M260" s="1343">
        <v>21.3</v>
      </c>
      <c r="N260" s="1344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4" cm="1">
        <f t="array" ref="D262">INDEX('6층_부하량'!F3:F3000,MATCH(1,("6-DaHall 1-PDU-03"='6층_부하량'!A3:A3000)*(1='6층_부하량'!B3:B3000),0))</f>
        <v>6</v>
      </c>
      <c r="E262" s="143"/>
      <c r="F262" s="143"/>
      <c r="G262" s="143"/>
      <c r="H262" s="141" t="s">
        <v>4171</v>
      </c>
      <c r="I262" s="1432" t="s">
        <v>4206</v>
      </c>
      <c r="J262" s="1439" t="s">
        <v>4152</v>
      </c>
      <c r="K262" s="141" t="s">
        <v>4171</v>
      </c>
      <c r="L262" s="2544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5" cm="1">
        <f t="array" ref="E263">INDEX('6층_부하량'!G3:G3000,MATCH(1,("6-DaHall 1-PDU-03"='6층_부하량'!A3:A3000)*(3='6층_부하량'!B3:B3000),0))</f>
        <v>5.42</v>
      </c>
      <c r="F263" s="148"/>
      <c r="G263" s="148"/>
      <c r="H263" s="142" t="s">
        <v>4171</v>
      </c>
      <c r="I263" s="1428" t="s">
        <v>4211</v>
      </c>
      <c r="J263" s="1426" t="s">
        <v>4157</v>
      </c>
      <c r="K263" s="142" t="s">
        <v>4171</v>
      </c>
      <c r="L263" s="148"/>
      <c r="M263" s="2545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6" cm="1">
        <f t="array" ref="F264">INDEX('6층_부하량'!H3:H3000,MATCH(1,("6-DaHall 1-PDU-03"='6층_부하량'!A3:A3000)*(5='6층_부하량'!B3:B3000),0))</f>
        <v>0.94</v>
      </c>
      <c r="G264" s="156"/>
      <c r="H264" s="142" t="s">
        <v>4171</v>
      </c>
      <c r="I264" s="1434" t="s">
        <v>4214</v>
      </c>
      <c r="J264" s="1423" t="s">
        <v>4162</v>
      </c>
      <c r="K264" s="142" t="s">
        <v>4171</v>
      </c>
      <c r="L264" s="156"/>
      <c r="M264" s="156"/>
      <c r="N264" s="2546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6" cm="1">
        <f t="array" ref="D265">INDEX('6층_부하량'!F3:F3000,MATCH(1,("6-DaHall 1-PDU-03"='6층_부하량'!A3:A3000)*(7='6층_부하량'!B3:B3000),0))</f>
        <v>4.1900000000000004</v>
      </c>
      <c r="E265" s="156"/>
      <c r="F265" s="156"/>
      <c r="G265" s="156"/>
      <c r="H265" s="142" t="s">
        <v>4171</v>
      </c>
      <c r="I265" s="1434" t="s">
        <v>4218</v>
      </c>
      <c r="J265" s="1423" t="s">
        <v>4167</v>
      </c>
      <c r="K265" s="142" t="s">
        <v>4171</v>
      </c>
      <c r="L265" s="2546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6" cm="1">
        <f t="array" ref="E266">INDEX('6층_부하량'!G3:G3000,MATCH(1,("6-DaHall 1-PDU-03"='6층_부하량'!A3:A3000)*(9='6층_부하량'!B3:B3000),0))</f>
        <v>5.8</v>
      </c>
      <c r="F266" s="156"/>
      <c r="G266" s="156"/>
      <c r="H266" s="142" t="s">
        <v>4171</v>
      </c>
      <c r="I266" s="1434" t="s">
        <v>4221</v>
      </c>
      <c r="J266" s="1423" t="s">
        <v>4170</v>
      </c>
      <c r="K266" s="142" t="s">
        <v>4171</v>
      </c>
      <c r="L266" s="156"/>
      <c r="M266" s="2546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6" cm="1">
        <f t="array" ref="F267">INDEX('6층_부하량'!H3:H3000,MATCH(1,("6-DaHall 1-PDU-03"='6층_부하량'!A3:A3000)*(11='6층_부하량'!B3:B3000),0))</f>
        <v>4.43</v>
      </c>
      <c r="G267" s="156" t="s">
        <v>4939</v>
      </c>
      <c r="H267" s="142" t="s">
        <v>4171</v>
      </c>
      <c r="I267" s="1434" t="s">
        <v>4226</v>
      </c>
      <c r="J267" s="1423" t="s">
        <v>4173</v>
      </c>
      <c r="K267" s="142" t="s">
        <v>4171</v>
      </c>
      <c r="L267" s="156"/>
      <c r="M267" s="156"/>
      <c r="N267" s="2546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6" cm="1">
        <f t="array" ref="D268">INDEX('6층_부하량'!F3:F3000,MATCH(1,("6-DaHall 1-PDU-03"='6층_부하량'!A3:A3000)*(13='6층_부하량'!B3:B3000),0))</f>
        <v>8.0399999999999991</v>
      </c>
      <c r="E268" s="156"/>
      <c r="F268" s="156"/>
      <c r="G268" s="156"/>
      <c r="H268" s="142" t="s">
        <v>4171</v>
      </c>
      <c r="I268" s="1434" t="s">
        <v>4230</v>
      </c>
      <c r="J268" s="1423" t="s">
        <v>4175</v>
      </c>
      <c r="K268" s="142" t="s">
        <v>4171</v>
      </c>
      <c r="L268" s="2546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6" cm="1">
        <f t="array" ref="E269">INDEX('6층_부하량'!G3:G3000,MATCH(1,("6-DaHall 1-PDU-03"='6층_부하량'!A3:A3000)*(15='6층_부하량'!B3:B3000),0))</f>
        <v>4.33</v>
      </c>
      <c r="F269" s="156"/>
      <c r="G269" s="156"/>
      <c r="H269" s="142" t="s">
        <v>4171</v>
      </c>
      <c r="I269" s="1434" t="s">
        <v>4234</v>
      </c>
      <c r="J269" s="150" t="s">
        <v>4177</v>
      </c>
      <c r="K269" s="142" t="s">
        <v>4171</v>
      </c>
      <c r="L269" s="156"/>
      <c r="M269" s="2546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51" cm="1">
        <f t="array" ref="F270">INDEX('6층_부하량'!H3:H3000,MATCH(1,("6-DaHall 1-PDU-03"='6층_부하량'!A3:A3000)*(17='6층_부하량'!B3:B3000),0))</f>
        <v>2.12</v>
      </c>
      <c r="G270" s="159"/>
      <c r="H270" s="158" t="s">
        <v>4171</v>
      </c>
      <c r="I270" s="1441" t="s">
        <v>4238</v>
      </c>
      <c r="J270" s="191" t="s">
        <v>4179</v>
      </c>
      <c r="K270" s="158" t="s">
        <v>4171</v>
      </c>
      <c r="L270" s="176"/>
      <c r="M270" s="176"/>
      <c r="N270" s="2551" cm="1">
        <f t="array" ref="N270">INDEX('6층_부하량'!H3:H3000,MATCH(1,("6-DaHall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8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2" t="s">
        <v>4243</v>
      </c>
      <c r="J271" s="1444" t="s">
        <v>4183</v>
      </c>
      <c r="K271" s="141" t="s">
        <v>4171</v>
      </c>
      <c r="L271" s="2548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6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4171</v>
      </c>
      <c r="I272" s="1433" t="s">
        <v>4247</v>
      </c>
      <c r="J272" s="180" t="s">
        <v>4187</v>
      </c>
      <c r="K272" s="155" t="s">
        <v>4171</v>
      </c>
      <c r="L272" s="156"/>
      <c r="M272" s="2546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6" cm="1">
        <f t="array" ref="F273">INDEX('6층_부하량'!H3:H3000,MATCH(1,("6-DaHall 1-PDU-03"='6층_부하량'!A3:A3000)*(23='6층_부하량'!B3:B3000),0))</f>
        <v>0</v>
      </c>
      <c r="G273" s="156"/>
      <c r="H273" s="142" t="s">
        <v>4171</v>
      </c>
      <c r="I273" s="1434" t="s">
        <v>4251</v>
      </c>
      <c r="J273" s="150" t="s">
        <v>4253</v>
      </c>
      <c r="K273" s="142" t="s">
        <v>4171</v>
      </c>
      <c r="L273" s="156"/>
      <c r="M273" s="156"/>
      <c r="N273" s="2546" cm="1">
        <f t="array" ref="N273">INDEX('6층_부하량'!H3:H3000,MATCH(1,("6-DaHall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6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4" t="s">
        <v>4256</v>
      </c>
      <c r="J274" s="150" t="s">
        <v>4258</v>
      </c>
      <c r="K274" s="142" t="s">
        <v>4171</v>
      </c>
      <c r="L274" s="2546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6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4171</v>
      </c>
      <c r="I275" s="1434" t="s">
        <v>4261</v>
      </c>
      <c r="J275" s="150" t="s">
        <v>4262</v>
      </c>
      <c r="K275" s="142" t="s">
        <v>4171</v>
      </c>
      <c r="L275" s="156"/>
      <c r="M275" s="2546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6" cm="1">
        <f t="array" ref="F276">INDEX('6층_부하량'!H3:H3000,MATCH(1,("6-DaHall 1-PDU-03"='6층_부하량'!A3:A3000)*(29='6층_부하량'!B3:B3000),0))</f>
        <v>0</v>
      </c>
      <c r="G276" s="156"/>
      <c r="H276" s="142" t="s">
        <v>4171</v>
      </c>
      <c r="I276" s="1434" t="s">
        <v>4264</v>
      </c>
      <c r="J276" s="150" t="s">
        <v>4265</v>
      </c>
      <c r="K276" s="142" t="s">
        <v>4171</v>
      </c>
      <c r="L276" s="156"/>
      <c r="M276" s="156"/>
      <c r="N276" s="2546" cm="1">
        <f t="array" ref="N276">INDEX('6층_부하량'!H3:H3000,MATCH(1,("6-DaHall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6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4" t="s">
        <v>4266</v>
      </c>
      <c r="J277" s="150" t="s">
        <v>4267</v>
      </c>
      <c r="K277" s="142" t="s">
        <v>4171</v>
      </c>
      <c r="L277" s="2546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6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6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6" cm="1">
        <f t="array" ref="F279">INDEX('6층_부하량'!H3:H3000,MATCH(1,("6-DaHall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6" cm="1">
        <f t="array" ref="N279">INDEX('6층_부하량'!H3:H3000,MATCH(1,("6-DaHall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6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4" t="s">
        <v>4279</v>
      </c>
      <c r="J280" s="154" t="s">
        <v>4280</v>
      </c>
      <c r="K280" s="142" t="s">
        <v>4171</v>
      </c>
      <c r="L280" s="2546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6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4171</v>
      </c>
      <c r="I281" s="1434" t="s">
        <v>4283</v>
      </c>
      <c r="J281" s="150" t="s">
        <v>4284</v>
      </c>
      <c r="K281" s="142" t="s">
        <v>4171</v>
      </c>
      <c r="L281" s="156"/>
      <c r="M281" s="2546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6" cm="1">
        <f t="array" ref="F282">INDEX('6층_부하량'!H3:H3000,MATCH(1,("6-DaHall 1-PDU-03"='6층_부하량'!A3:A3000)*(41='6층_부하량'!B3:B3000),0))</f>
        <v>0</v>
      </c>
      <c r="G282" s="156"/>
      <c r="H282" s="142" t="s">
        <v>4171</v>
      </c>
      <c r="I282" s="1434" t="s">
        <v>4628</v>
      </c>
      <c r="J282" s="150" t="s">
        <v>4416</v>
      </c>
      <c r="K282" s="142" t="s">
        <v>4171</v>
      </c>
      <c r="L282" s="156"/>
      <c r="M282" s="156"/>
      <c r="N282" s="2546" cm="1">
        <f t="array" ref="N282">INDEX('6층_부하량'!H3:H3000,MATCH(1,("6-DaHall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6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4" t="s">
        <v>4418</v>
      </c>
      <c r="J283" s="150" t="s">
        <v>4419</v>
      </c>
      <c r="K283" s="142" t="s">
        <v>4171</v>
      </c>
      <c r="L283" s="2546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6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4171</v>
      </c>
      <c r="I284" s="1434" t="s">
        <v>4420</v>
      </c>
      <c r="J284" s="150" t="s">
        <v>4421</v>
      </c>
      <c r="K284" s="142" t="s">
        <v>4171</v>
      </c>
      <c r="L284" s="156"/>
      <c r="M284" s="2546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6" cm="1">
        <f t="array" ref="F285">INDEX('6층_부하량'!H3:H3000,MATCH(1,("6-DaHall 1-PDU-03"='6층_부하량'!A3:A3000)*(47='6층_부하량'!B3:B3000),0))</f>
        <v>0</v>
      </c>
      <c r="G285" s="156"/>
      <c r="H285" s="142" t="s">
        <v>4171</v>
      </c>
      <c r="I285" s="1434" t="s">
        <v>4422</v>
      </c>
      <c r="J285" s="150" t="s">
        <v>4423</v>
      </c>
      <c r="K285" s="142" t="s">
        <v>4171</v>
      </c>
      <c r="L285" s="156"/>
      <c r="M285" s="156"/>
      <c r="N285" s="2546" cm="1">
        <f t="array" ref="N285">INDEX('6층_부하량'!H3:H3000,MATCH(1,("6-DaHall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9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3" t="s">
        <v>4424</v>
      </c>
      <c r="J286" s="1445" t="s">
        <v>4425</v>
      </c>
      <c r="K286" s="165" t="s">
        <v>4171</v>
      </c>
      <c r="L286" s="2549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18.23</v>
      </c>
      <c r="M287" s="127">
        <f>SUM(E262:E286,M262:M286)</f>
        <v>15.549999999999999</v>
      </c>
      <c r="N287" s="127">
        <f>SUM(F262:F286,N262:N286)</f>
        <v>7.4899999999999993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818" t="s">
        <v>4970</v>
      </c>
      <c r="D289" s="3818"/>
      <c r="E289" s="3818"/>
      <c r="F289" s="172"/>
      <c r="G289" s="172"/>
      <c r="H289" s="132"/>
      <c r="I289" s="3823" t="s">
        <v>4636</v>
      </c>
      <c r="J289" s="382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4136</v>
      </c>
      <c r="L290" s="1342">
        <v>18.600000000000001</v>
      </c>
      <c r="M290" s="1343">
        <v>29.1</v>
      </c>
      <c r="N290" s="1344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4" cm="1">
        <f t="array" ref="D292">INDEX('6층_부하량'!F3:F3000,MATCH(1,("6-DaHall 1-PDU-04"='6층_부하량'!A3:A3000)*(1='6층_부하량'!B3:B3000),0))</f>
        <v>4.6399999999999997</v>
      </c>
      <c r="E292" s="143"/>
      <c r="F292" s="143"/>
      <c r="G292" s="143"/>
      <c r="H292" s="141" t="s">
        <v>4171</v>
      </c>
      <c r="I292" s="1432" t="s">
        <v>4206</v>
      </c>
      <c r="J292" s="1439" t="s">
        <v>4152</v>
      </c>
      <c r="K292" s="141" t="s">
        <v>4171</v>
      </c>
      <c r="L292" s="2544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5" cm="1">
        <f t="array" ref="E293">INDEX('6층_부하량'!G3:G3000,MATCH(1,("6-DaHall 1-PDU-04"='6층_부하량'!A3:A3000)*(3='6층_부하량'!B3:B3000),0))</f>
        <v>5.79</v>
      </c>
      <c r="F293" s="148"/>
      <c r="G293" s="148"/>
      <c r="H293" s="142" t="s">
        <v>4171</v>
      </c>
      <c r="I293" s="1428" t="s">
        <v>4211</v>
      </c>
      <c r="J293" s="1426" t="s">
        <v>4157</v>
      </c>
      <c r="K293" s="142" t="s">
        <v>4171</v>
      </c>
      <c r="L293" s="148"/>
      <c r="M293" s="2545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6" cm="1">
        <f t="array" ref="F294">INDEX('6층_부하량'!H3:H3000,MATCH(1,("6-DaHall 1-PDU-04"='6층_부하량'!A3:A3000)*(5='6층_부하량'!B3:B3000),0))</f>
        <v>1</v>
      </c>
      <c r="G294" s="156"/>
      <c r="H294" s="142" t="s">
        <v>4171</v>
      </c>
      <c r="I294" s="1434" t="s">
        <v>4214</v>
      </c>
      <c r="J294" s="1423" t="s">
        <v>4162</v>
      </c>
      <c r="K294" s="142" t="s">
        <v>4171</v>
      </c>
      <c r="L294" s="156"/>
      <c r="M294" s="156"/>
      <c r="N294" s="2546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6" cm="1">
        <f t="array" ref="D295">INDEX('6층_부하량'!F3:F3000,MATCH(1,("6-DaHall 1-PDU-04"='6층_부하량'!A3:A3000)*(7='6층_부하량'!B3:B3000),0))</f>
        <v>4.41</v>
      </c>
      <c r="E295" s="156"/>
      <c r="F295" s="156"/>
      <c r="G295" s="156"/>
      <c r="H295" s="142" t="s">
        <v>4171</v>
      </c>
      <c r="I295" s="1434" t="s">
        <v>4218</v>
      </c>
      <c r="J295" s="1423" t="s">
        <v>4167</v>
      </c>
      <c r="K295" s="142" t="s">
        <v>4171</v>
      </c>
      <c r="L295" s="2546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6" cm="1">
        <f t="array" ref="E296">INDEX('6층_부하량'!G3:G3000,MATCH(1,("6-DaHall 1-PDU-04"='6층_부하량'!A3:A3000)*(9='6층_부하량'!B3:B3000),0))</f>
        <v>6.13</v>
      </c>
      <c r="F296" s="156"/>
      <c r="G296" s="156"/>
      <c r="H296" s="142" t="s">
        <v>4171</v>
      </c>
      <c r="I296" s="1434" t="s">
        <v>4221</v>
      </c>
      <c r="J296" s="1423" t="s">
        <v>4170</v>
      </c>
      <c r="K296" s="142" t="s">
        <v>4171</v>
      </c>
      <c r="L296" s="156"/>
      <c r="M296" s="2546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6" cm="1">
        <f t="array" ref="F297">INDEX('6층_부하량'!H3:H3000,MATCH(1,("6-DaHall 1-PDU-04"='6층_부하량'!A3:A3000)*(11='6층_부하량'!B3:B3000),0))</f>
        <v>5.57</v>
      </c>
      <c r="G297" s="156" t="s">
        <v>4939</v>
      </c>
      <c r="H297" s="142" t="s">
        <v>4171</v>
      </c>
      <c r="I297" s="1434" t="s">
        <v>4226</v>
      </c>
      <c r="J297" s="1423" t="s">
        <v>4173</v>
      </c>
      <c r="K297" s="142" t="s">
        <v>4171</v>
      </c>
      <c r="L297" s="156"/>
      <c r="M297" s="156"/>
      <c r="N297" s="2546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6" cm="1">
        <f t="array" ref="D298">INDEX('6층_부하량'!F3:F3000,MATCH(1,("6-DaHall 1-PDU-04"='6층_부하량'!A3:A3000)*(13='6층_부하량'!B3:B3000),0))</f>
        <v>5.95</v>
      </c>
      <c r="E298" s="156"/>
      <c r="F298" s="156"/>
      <c r="G298" s="156"/>
      <c r="H298" s="142" t="s">
        <v>4171</v>
      </c>
      <c r="I298" s="1434" t="s">
        <v>4230</v>
      </c>
      <c r="J298" s="1423" t="s">
        <v>4175</v>
      </c>
      <c r="K298" s="142" t="s">
        <v>4171</v>
      </c>
      <c r="L298" s="2546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6" cm="1">
        <f t="array" ref="E299">INDEX('6층_부하량'!G3:G3000,MATCH(1,("6-DaHall 1-PDU-04"='6층_부하량'!A3:A3000)*(15='6층_부하량'!B3:B3000),0))</f>
        <v>4</v>
      </c>
      <c r="F299" s="156"/>
      <c r="G299" s="156"/>
      <c r="H299" s="142" t="s">
        <v>4171</v>
      </c>
      <c r="I299" s="1434" t="s">
        <v>4234</v>
      </c>
      <c r="J299" s="150" t="s">
        <v>4177</v>
      </c>
      <c r="K299" s="142" t="s">
        <v>4171</v>
      </c>
      <c r="L299" s="156"/>
      <c r="M299" s="2546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51" cm="1">
        <f t="array" ref="F300">INDEX('6층_부하량'!H3:H3000,MATCH(1,("6-DaHall 1-PDU-04"='6층_부하량'!A3:A3000)*(17='6층_부하량'!B3:B3000),0))</f>
        <v>1.92</v>
      </c>
      <c r="G300" s="159"/>
      <c r="H300" s="158" t="s">
        <v>4171</v>
      </c>
      <c r="I300" s="1441" t="s">
        <v>4238</v>
      </c>
      <c r="J300" s="191" t="s">
        <v>4179</v>
      </c>
      <c r="K300" s="158" t="s">
        <v>4171</v>
      </c>
      <c r="L300" s="176"/>
      <c r="M300" s="176"/>
      <c r="N300" s="2551" cm="1">
        <f t="array" ref="N300">INDEX('6층_부하량'!H3:H3000,MATCH(1,("6-DaHall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8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2" t="s">
        <v>4243</v>
      </c>
      <c r="J301" s="1444" t="s">
        <v>4183</v>
      </c>
      <c r="K301" s="141" t="s">
        <v>4171</v>
      </c>
      <c r="L301" s="2548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6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4171</v>
      </c>
      <c r="I302" s="1433" t="s">
        <v>4247</v>
      </c>
      <c r="J302" s="180" t="s">
        <v>4187</v>
      </c>
      <c r="K302" s="155" t="s">
        <v>4171</v>
      </c>
      <c r="L302" s="156"/>
      <c r="M302" s="2546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6" cm="1">
        <f t="array" ref="F303">INDEX('6층_부하량'!H3:H3000,MATCH(1,("6-DaHall 1-PDU-04"='6층_부하량'!A3:A3000)*(23='6층_부하량'!B3:B3000),0))</f>
        <v>0</v>
      </c>
      <c r="G303" s="156"/>
      <c r="H303" s="142" t="s">
        <v>4171</v>
      </c>
      <c r="I303" s="1434" t="s">
        <v>4251</v>
      </c>
      <c r="J303" s="150" t="s">
        <v>4253</v>
      </c>
      <c r="K303" s="142" t="s">
        <v>4171</v>
      </c>
      <c r="L303" s="156"/>
      <c r="M303" s="156"/>
      <c r="N303" s="2546" cm="1">
        <f t="array" ref="N303">INDEX('6층_부하량'!H3:H3000,MATCH(1,("6-DaHall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6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4" t="s">
        <v>4256</v>
      </c>
      <c r="J304" s="150" t="s">
        <v>4258</v>
      </c>
      <c r="K304" s="142" t="s">
        <v>4171</v>
      </c>
      <c r="L304" s="2546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6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4171</v>
      </c>
      <c r="I305" s="1434" t="s">
        <v>4261</v>
      </c>
      <c r="J305" s="150" t="s">
        <v>4262</v>
      </c>
      <c r="K305" s="142" t="s">
        <v>4171</v>
      </c>
      <c r="L305" s="156"/>
      <c r="M305" s="2546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6" cm="1">
        <f t="array" ref="F306">INDEX('6층_부하량'!H3:H3000,MATCH(1,("6-DaHall 1-PDU-04"='6층_부하량'!A3:A3000)*(29='6층_부하량'!B3:B3000),0))</f>
        <v>0</v>
      </c>
      <c r="G306" s="156"/>
      <c r="H306" s="142" t="s">
        <v>4171</v>
      </c>
      <c r="I306" s="1434" t="s">
        <v>4264</v>
      </c>
      <c r="J306" s="150" t="s">
        <v>4265</v>
      </c>
      <c r="K306" s="142" t="s">
        <v>4171</v>
      </c>
      <c r="L306" s="156"/>
      <c r="M306" s="156"/>
      <c r="N306" s="2546" cm="1">
        <f t="array" ref="N306">INDEX('6층_부하량'!H3:H3000,MATCH(1,("6-DaHall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6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4" t="s">
        <v>4266</v>
      </c>
      <c r="J307" s="150" t="s">
        <v>4267</v>
      </c>
      <c r="K307" s="142" t="s">
        <v>4171</v>
      </c>
      <c r="L307" s="2546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6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6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6" cm="1">
        <f t="array" ref="F309">INDEX('6층_부하량'!H3:H3000,MATCH(1,("6-DaHall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6" cm="1">
        <f t="array" ref="N309">INDEX('6층_부하량'!H3:H3000,MATCH(1,("6-DaHall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6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4" t="s">
        <v>4279</v>
      </c>
      <c r="J310" s="154" t="s">
        <v>4280</v>
      </c>
      <c r="K310" s="142" t="s">
        <v>4171</v>
      </c>
      <c r="L310" s="2546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6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4171</v>
      </c>
      <c r="I311" s="1434" t="s">
        <v>4283</v>
      </c>
      <c r="J311" s="150" t="s">
        <v>4284</v>
      </c>
      <c r="K311" s="142" t="s">
        <v>4171</v>
      </c>
      <c r="L311" s="156"/>
      <c r="M311" s="2546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6" cm="1">
        <f t="array" ref="F312">INDEX('6층_부하량'!H3:H3000,MATCH(1,("6-DaHall 1-PDU-04"='6층_부하량'!A3:A3000)*(41='6층_부하량'!B3:B3000),0))</f>
        <v>0</v>
      </c>
      <c r="G312" s="156"/>
      <c r="H312" s="142" t="s">
        <v>4171</v>
      </c>
      <c r="I312" s="1434" t="s">
        <v>4628</v>
      </c>
      <c r="J312" s="150" t="s">
        <v>4416</v>
      </c>
      <c r="K312" s="142" t="s">
        <v>4171</v>
      </c>
      <c r="L312" s="156"/>
      <c r="M312" s="156"/>
      <c r="N312" s="2546" cm="1">
        <f t="array" ref="N312">INDEX('6층_부하량'!H3:H3000,MATCH(1,("6-DaHall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6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4" t="s">
        <v>4418</v>
      </c>
      <c r="J313" s="150" t="s">
        <v>4419</v>
      </c>
      <c r="K313" s="142" t="s">
        <v>4171</v>
      </c>
      <c r="L313" s="2546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6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4171</v>
      </c>
      <c r="I314" s="1434" t="s">
        <v>4420</v>
      </c>
      <c r="J314" s="150" t="s">
        <v>4421</v>
      </c>
      <c r="K314" s="142" t="s">
        <v>4171</v>
      </c>
      <c r="L314" s="156"/>
      <c r="M314" s="2546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6" cm="1">
        <f t="array" ref="F315">INDEX('6층_부하량'!H3:H3000,MATCH(1,("6-DaHall 1-PDU-04"='6층_부하량'!A3:A3000)*(47='6층_부하량'!B3:B3000),0))</f>
        <v>0</v>
      </c>
      <c r="G315" s="156"/>
      <c r="H315" s="142" t="s">
        <v>4171</v>
      </c>
      <c r="I315" s="1434" t="s">
        <v>4422</v>
      </c>
      <c r="J315" s="150" t="s">
        <v>4423</v>
      </c>
      <c r="K315" s="142" t="s">
        <v>4171</v>
      </c>
      <c r="L315" s="156"/>
      <c r="M315" s="156"/>
      <c r="N315" s="2546" cm="1">
        <f t="array" ref="N315">INDEX('6층_부하량'!H3:H3000,MATCH(1,("6-DaHall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9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5" t="s">
        <v>4424</v>
      </c>
      <c r="J316" s="1445" t="s">
        <v>4425</v>
      </c>
      <c r="K316" s="165" t="s">
        <v>4171</v>
      </c>
      <c r="L316" s="2549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15</v>
      </c>
      <c r="M317" s="127">
        <f>SUM(E292:E316,M292:M316)</f>
        <v>15.92</v>
      </c>
      <c r="N317" s="127">
        <f>SUM(F292:F316,N292:N316)</f>
        <v>8.49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818" t="s">
        <v>5011</v>
      </c>
      <c r="D319" s="3818"/>
      <c r="E319" s="3818"/>
      <c r="F319" s="172"/>
      <c r="G319" s="172"/>
      <c r="H319" s="132"/>
      <c r="I319" s="3823" t="s">
        <v>4288</v>
      </c>
      <c r="J319" s="382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4136</v>
      </c>
      <c r="L320" s="1342">
        <v>19.5</v>
      </c>
      <c r="M320" s="1343">
        <v>43.6</v>
      </c>
      <c r="N320" s="1344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4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4" cm="1">
        <f t="array" ref="M322">INDEX('6층_부하량'!G3:G3000,MATCH(1,("6-DaHall 1-PDU-05"='6층_부하량'!A3:A3000)*(2='6층_부하량'!B3:B3000),0))</f>
        <v>13.51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5" cm="1">
        <f t="array" ref="F323">INDEX('6층_부하량'!H3:H3000,MATCH(1,("6-DaHall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5" cm="1">
        <f t="array" ref="N323">INDEX('6층_부하량'!H3:H3000,MATCH(1,("6-DaHall 1-PDU-05"='6층_부하량'!A3:A3000)*(4='6층_부하량'!B3:B3000),0))</f>
        <v>5.63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6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4" t="s">
        <v>4214</v>
      </c>
      <c r="J324" s="150" t="s">
        <v>4162</v>
      </c>
      <c r="K324" s="142" t="s">
        <v>4171</v>
      </c>
      <c r="L324" s="2546" cm="1">
        <f t="array" ref="L324">INDEX('6층_부하량'!F3:F3000,MATCH(1,("6-DaHall 1-PDU-05"='6층_부하량'!A3:A3000)*(6='6층_부하량'!B3:B3000),0))</f>
        <v>0.74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6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6" cm="1">
        <f t="array" ref="M325">INDEX('6층_부하량'!G3:G3000,MATCH(1,("6-DaHall 1-PDU-05"='6층_부하량'!A3:A3000)*(8='6층_부하량'!B3:B3000),0))</f>
        <v>3.91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6" cm="1">
        <f t="array" ref="F326">INDEX('6층_부하량'!H3:H3000,MATCH(1,("6-DaHall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6" cm="1">
        <f t="array" ref="N326">INDEX('6층_부하량'!H3:H3000,MATCH(1,("6-DaHall 1-PDU-05"='6층_부하량'!A3:A3000)*(10='6층_부하량'!B3:B3000),0))</f>
        <v>1.07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6" cm="1">
        <f t="array" ref="D327">INDEX('6층_부하량'!F3:F3000,MATCH(1,("6-DaHall 1-PDU-05"='6층_부하량'!A3:A3000)*(11='6층_부하량'!B3:B3000),0))</f>
        <v>1.79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6" cm="1">
        <f t="array" ref="L327">INDEX('6층_부하량'!F3:F3000,MATCH(1,("6-DaHall 1-PDU-05"='6층_부하량'!A3:A3000)*(12='6층_부하량'!B3:B3000),0))</f>
        <v>1.49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6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6" cm="1">
        <f t="array" ref="M328">INDEX('6층_부하량'!G3:G3000,MATCH(1,("6-DaHall 1-PDU-05"='6층_부하량'!A3:A3000)*(14='6층_부하량'!B3:B3000),0))</f>
        <v>5.83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6" cm="1">
        <f t="array" ref="F329">INDEX('6층_부하량'!H3:H3000,MATCH(1,("6-DaHall 1-PDU-05"='6층_부하량'!A3:A3000)*(15='6층_부하량'!B3:B3000),0))</f>
        <v>3.96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6" cm="1">
        <f t="array" ref="N329">INDEX('6층_부하량'!H3:H3000,MATCH(1,("6-DaHall 1-PDU-05"='6층_부하량'!A3:A3000)*(16='6층_부하량'!B3:B3000),0))</f>
        <v>3.77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6" cm="1">
        <f t="array" ref="D330">INDEX('6층_부하량'!F3:F3000,MATCH(1,("6-DaHall 1-PDU-05"='6층_부하량'!A3:A3000)*(17='6층_부하량'!B3:B3000),0))</f>
        <v>1.08</v>
      </c>
      <c r="E330" s="156"/>
      <c r="F330" s="156"/>
      <c r="G330" s="156"/>
      <c r="H330" s="142" t="s">
        <v>4171</v>
      </c>
      <c r="I330" s="149" t="s">
        <v>4238</v>
      </c>
      <c r="J330" s="1423" t="s">
        <v>4179</v>
      </c>
      <c r="K330" s="142" t="s">
        <v>4171</v>
      </c>
      <c r="L330" s="2546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6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6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6" cm="1">
        <f t="array" ref="F332">INDEX('6층_부하량'!H3:H3000,MATCH(1,("6-DaHall 1-PDU-05"='6층_부하량'!A3:A3000)*(21='6층_부하량'!B3:B3000),0))</f>
        <v>0</v>
      </c>
      <c r="G332" s="156"/>
      <c r="H332" s="142" t="s">
        <v>4171</v>
      </c>
      <c r="I332" s="1434" t="s">
        <v>4247</v>
      </c>
      <c r="J332" s="150" t="s">
        <v>4187</v>
      </c>
      <c r="K332" s="142" t="s">
        <v>4171</v>
      </c>
      <c r="L332" s="156"/>
      <c r="M332" s="156"/>
      <c r="N332" s="2546" cm="1">
        <f t="array" ref="N332">INDEX('6층_부하량'!H3:H3000,MATCH(1,("6-DaHall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8" t="s">
        <v>5034</v>
      </c>
      <c r="B333" s="142" t="s">
        <v>4208</v>
      </c>
      <c r="C333" s="163" t="s">
        <v>4149</v>
      </c>
      <c r="D333" s="2546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6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6" cm="1">
        <f t="array" ref="E334">INDEX('6층_부하량'!G3:G3000,MATCH(1,("6-DaHall 1-PDU-05"='6층_부하량'!A3:A3000)*(25='6층_부하량'!B3:B3000),0))</f>
        <v>11.44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6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51" cm="1">
        <f t="array" ref="F335">INDEX('6층_부하량'!H3:H3000,MATCH(1,("6-DaHall 1-PDU-05"='6층_부하량'!A3:A3000)*(27='6층_부하량'!B3:B3000),0))</f>
        <v>5.79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51" cm="1">
        <f t="array" ref="N335">INDEX('6층_부하량'!H3:H3000,MATCH(1,("6-DaHall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8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8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6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6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6" cm="1">
        <f t="array" ref="F338">INDEX('6층_부하량'!H3:H3000,MATCH(1,("6-DaHall 1-PDU-05"='6층_부하량'!A3:A3000)*(33='6층_부하량'!B3:B3000),0))</f>
        <v>1.1400000000000001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6" cm="1">
        <f t="array" ref="N338">INDEX('6층_부하량'!H3:H3000,MATCH(1,("6-DaHall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6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6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4" cm="1">
        <f t="array" ref="E340">INDEX('6층_부하량'!G3:G3000,MATCH(1,("6-DaHall 1-PDU-05"='6층_부하량'!A3:A3000)*(37='6층_부하량'!B3:B3000),0))</f>
        <v>7.89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4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6" cm="1">
        <f t="array" ref="F341">INDEX('6층_부하량'!H3:H3000,MATCH(1,("6-DaHall 1-PDU-05"='6층_부하량'!A3:A3000)*(39='6층_부하량'!B3:B3000),0))</f>
        <v>2.19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6" cm="1">
        <f t="array" ref="N341">INDEX('6층_부하량'!H3:H3000,MATCH(1,("6-DaHall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6" cm="1">
        <f t="array" ref="D342">INDEX('6층_부하량'!F3:F3000,MATCH(1,("6-DaHall 1-PDU-05"='6층_부하량'!A3:A3000)*(41='6층_부하량'!B3:B3000),0))</f>
        <v>2.14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6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6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6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6" cm="1">
        <f t="array" ref="F344">INDEX('6층_부하량'!H3:H3000,MATCH(1,("6-DaHall 1-PDU-05"='6층_부하량'!A3:A3000)*(45='6층_부하량'!B3:B3000),0))</f>
        <v>5.42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6" cm="1">
        <f t="array" ref="N344">INDEX('6층_부하량'!H3:H3000,MATCH(1,("6-DaHall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4" cm="1">
        <f t="array" ref="D345">INDEX('6층_부하량'!F3:F3000,MATCH(1,("6-DaHall 1-PDU-05"='6층_부하량'!A3:A3000)*(47='6층_부하량'!B3:B3000),0))</f>
        <v>5.79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4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6" cm="1">
        <f t="array" ref="E346">INDEX('6층_부하량'!G3:G3000,MATCH(1,("6-DaHall 1-PDU-05"='6층_부하량'!A3:A3000)*(49='6층_부하량'!B3:B3000),0))</f>
        <v>9.0299999999999994</v>
      </c>
      <c r="F346" s="156"/>
      <c r="G346" s="156"/>
      <c r="H346" s="142" t="s">
        <v>4171</v>
      </c>
      <c r="I346" s="291" t="s">
        <v>4424</v>
      </c>
      <c r="J346" s="1426" t="s">
        <v>4425</v>
      </c>
      <c r="K346" s="142" t="s">
        <v>4171</v>
      </c>
      <c r="L346" s="156"/>
      <c r="M346" s="2546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4" cm="1">
        <f t="array" ref="F347">INDEX('6층_부하량'!H3:H3000,MATCH(1,("6-DaHall 1-PDU-05"='6층_부하량'!A3:A3000)*(51='6층_부하량'!B3:B3000),0))</f>
        <v>4.8100000000000005</v>
      </c>
      <c r="G347" s="156"/>
      <c r="H347" s="142" t="s">
        <v>4171</v>
      </c>
      <c r="I347" s="291" t="s">
        <v>4364</v>
      </c>
      <c r="J347" s="1423" t="s">
        <v>4366</v>
      </c>
      <c r="K347" s="142" t="s">
        <v>4171</v>
      </c>
      <c r="L347" s="156"/>
      <c r="M347" s="156"/>
      <c r="N347" s="2554" cm="1">
        <f t="array" ref="N347">INDEX('6층_부하량'!H3:H3000,MATCH(1,("6-DaHall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8" cm="1">
        <f t="array" ref="D348">INDEX('6층_부하량'!F3:F3000,MATCH(1,("6-DaHall 1-PDU-05"='6층_부하량'!A3:A3000)*(53='6층_부하량'!B3:B3000),0))</f>
        <v>6.77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8" cm="1">
        <f t="array" ref="L348">INDEX('6층_부하량'!F3:F3000,MATCH(1,("6-DaHall 1-PDU-05"='6층_부하량'!A3:A3000)*(54='6층_부하량'!B3:B3000),0))</f>
        <v>4.43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24.909999999999997</v>
      </c>
      <c r="M349" s="130">
        <f>SUM(E322:E348,M322:M348)</f>
        <v>61.81</v>
      </c>
      <c r="N349" s="130">
        <f>SUM(F322:F348,N322:N348)</f>
        <v>33.78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818" t="s">
        <v>5066</v>
      </c>
      <c r="D351" s="3818"/>
      <c r="E351" s="3818"/>
      <c r="F351" s="172"/>
      <c r="G351" s="172"/>
      <c r="H351" s="132"/>
      <c r="I351" s="3823" t="s">
        <v>4288</v>
      </c>
      <c r="J351" s="382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4136</v>
      </c>
      <c r="L352" s="1342">
        <v>12.5</v>
      </c>
      <c r="M352" s="1343">
        <v>37.1</v>
      </c>
      <c r="N352" s="1344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4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4" cm="1">
        <f t="array" ref="M354">INDEX('6층_부하량'!G3:G3000,MATCH(1,("6-DaHall 1-PDU-06"='6층_부하량'!A3:A3000)*(2='6층_부하량'!B3:B3000),0))</f>
        <v>12.7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5" cm="1">
        <f t="array" ref="F355">INDEX('6층_부하량'!H3:H3000,MATCH(1,("6-DaHall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5" cm="1">
        <f t="array" ref="N355">INDEX('6층_부하량'!H3:H3000,MATCH(1,("6-DaHall 1-PDU-06"='6층_부하량'!A3:A3000)*(4='6층_부하량'!B3:B3000),0))</f>
        <v>4.54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6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8" t="s">
        <v>4214</v>
      </c>
      <c r="J356" s="150" t="s">
        <v>4162</v>
      </c>
      <c r="K356" s="142" t="s">
        <v>4171</v>
      </c>
      <c r="L356" s="2546" cm="1">
        <f t="array" ref="L356">INDEX('6층_부하량'!F3:F3000,MATCH(1,("6-DaHall 1-PDU-06"='6층_부하량'!A3:A3000)*(6='6층_부하량'!B3:B3000),0))</f>
        <v>0.76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6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6" cm="1">
        <f t="array" ref="M357">INDEX('6층_부하량'!G3:G3000,MATCH(1,("6-DaHall 1-PDU-06"='6층_부하량'!A3:A3000)*(8='6층_부하량'!B3:B3000),0))</f>
        <v>4.49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6" cm="1">
        <f t="array" ref="F358">INDEX('6층_부하량'!H3:H3000,MATCH(1,("6-DaHall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6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6" cm="1">
        <f t="array" ref="D359">INDEX('6층_부하량'!F3:F3000,MATCH(1,("6-DaHall 1-PDU-06"='6층_부하량'!A3:A3000)*(11='6층_부하량'!B3:B3000),0))</f>
        <v>1.94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6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6" cm="1">
        <f t="array" ref="E360">INDEX('6층_부하량'!G3:G3000,MATCH(1,("6-DaHall 1-PDU-06"='6층_부하량'!A3:A3000)*(13='6층_부하량'!B3:B3000),0))</f>
        <v>3.67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6" cm="1">
        <f t="array" ref="M360">INDEX('6층_부하량'!G3:G3000,MATCH(1,("6-DaHall 1-PDU-06"='6층_부하량'!A3:A3000)*(14='6층_부하량'!B3:B3000),0))</f>
        <v>3.56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6" cm="1">
        <f t="array" ref="F361">INDEX('6층_부하량'!H3:H3000,MATCH(1,("6-DaHall 1-PDU-06"='6층_부하량'!A3:A3000)*(15='6층_부하량'!B3:B3000),0))</f>
        <v>3.49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6" cm="1">
        <f t="array" ref="N361">INDEX('6층_부하량'!H3:H3000,MATCH(1,("6-DaHall 1-PDU-06"='6층_부하량'!A3:A3000)*(16='6층_부하량'!B3:B3000),0))</f>
        <v>4.6100000000000003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6" cm="1">
        <f t="array" ref="D362">INDEX('6층_부하량'!F3:F3000,MATCH(1,("6-DaHall 1-PDU-06"='6층_부하량'!A3:A3000)*(17='6층_부하량'!B3:B3000),0))</f>
        <v>1.04</v>
      </c>
      <c r="E362" s="156"/>
      <c r="F362" s="156"/>
      <c r="G362" s="156"/>
      <c r="H362" s="142" t="s">
        <v>4171</v>
      </c>
      <c r="I362" s="149" t="s">
        <v>4238</v>
      </c>
      <c r="J362" s="1423" t="s">
        <v>4179</v>
      </c>
      <c r="K362" s="142" t="s">
        <v>4171</v>
      </c>
      <c r="L362" s="2546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6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6" t="s">
        <v>4183</v>
      </c>
      <c r="K363" s="142" t="s">
        <v>4171</v>
      </c>
      <c r="L363" s="156"/>
      <c r="M363" s="2546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6" cm="1">
        <f t="array" ref="F364">INDEX('6층_부하량'!H3:H3000,MATCH(1,("6-DaHall 1-PDU-06"='6층_부하량'!A3:A3000)*(21='6층_부하량'!B3:B3000),0))</f>
        <v>0</v>
      </c>
      <c r="G364" s="156"/>
      <c r="H364" s="142" t="s">
        <v>4171</v>
      </c>
      <c r="I364" s="1428" t="s">
        <v>4247</v>
      </c>
      <c r="J364" s="1426" t="s">
        <v>4187</v>
      </c>
      <c r="K364" s="142" t="s">
        <v>4171</v>
      </c>
      <c r="L364" s="156"/>
      <c r="M364" s="156"/>
      <c r="N364" s="2546" cm="1">
        <f t="array" ref="N364">INDEX('6층_부하량'!H3:H3000,MATCH(1,("6-DaHall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8" t="s">
        <v>5088</v>
      </c>
      <c r="B365" s="142" t="s">
        <v>4208</v>
      </c>
      <c r="C365" s="163" t="s">
        <v>4149</v>
      </c>
      <c r="D365" s="2546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6" t="s">
        <v>4253</v>
      </c>
      <c r="K365" s="142" t="s">
        <v>4171</v>
      </c>
      <c r="L365" s="2546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6" cm="1">
        <f t="array" ref="E366">INDEX('6층_부하량'!G3:G3000,MATCH(1,("6-DaHall 1-PDU-06"='6층_부하량'!A3:A3000)*(25='6층_부하량'!B3:B3000),0))</f>
        <v>8.48</v>
      </c>
      <c r="F366" s="156"/>
      <c r="G366" s="156"/>
      <c r="H366" s="142" t="s">
        <v>4171</v>
      </c>
      <c r="I366" s="149" t="s">
        <v>4256</v>
      </c>
      <c r="J366" s="1426" t="s">
        <v>4258</v>
      </c>
      <c r="K366" s="142" t="s">
        <v>4171</v>
      </c>
      <c r="L366" s="156"/>
      <c r="M366" s="2546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51" cm="1">
        <f t="array" ref="F367">INDEX('6층_부하량'!H3:H3000,MATCH(1,("6-DaHall 1-PDU-06"='6층_부하량'!A3:A3000)*(27='6층_부하량'!B3:B3000),0))</f>
        <v>6.68</v>
      </c>
      <c r="G367" s="176"/>
      <c r="H367" s="175" t="s">
        <v>4171</v>
      </c>
      <c r="I367" s="185" t="s">
        <v>4261</v>
      </c>
      <c r="J367" s="1440" t="s">
        <v>4262</v>
      </c>
      <c r="K367" s="175" t="s">
        <v>4171</v>
      </c>
      <c r="L367" s="176"/>
      <c r="M367" s="176"/>
      <c r="N367" s="2551" cm="1">
        <f t="array" ref="N367">INDEX('6층_부하량'!H3:H3000,MATCH(1,("6-DaHall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8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7" t="s">
        <v>4265</v>
      </c>
      <c r="K368" s="155" t="s">
        <v>4171</v>
      </c>
      <c r="L368" s="2548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6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4171</v>
      </c>
      <c r="I369" s="149" t="s">
        <v>4266</v>
      </c>
      <c r="J369" s="1426" t="s">
        <v>4267</v>
      </c>
      <c r="K369" s="142" t="s">
        <v>4171</v>
      </c>
      <c r="L369" s="156"/>
      <c r="M369" s="2546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6" cm="1">
        <f t="array" ref="F370">INDEX('6층_부하량'!H3:H3000,MATCH(1,("6-DaHall 1-PDU-06"='6층_부하량'!A3:A3000)*(33='6층_부하량'!B3:B3000),0))</f>
        <v>1.19</v>
      </c>
      <c r="G370" s="156"/>
      <c r="H370" s="142" t="s">
        <v>4171</v>
      </c>
      <c r="I370" s="149" t="s">
        <v>4270</v>
      </c>
      <c r="J370" s="1426" t="s">
        <v>4271</v>
      </c>
      <c r="K370" s="142" t="s">
        <v>4171</v>
      </c>
      <c r="L370" s="156"/>
      <c r="M370" s="156"/>
      <c r="N370" s="2546" cm="1">
        <f t="array" ref="N370">INDEX('6층_부하량'!H3:H3000,MATCH(1,("6-DaHall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6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6" t="s">
        <v>4276</v>
      </c>
      <c r="K371" s="142" t="s">
        <v>4171</v>
      </c>
      <c r="L371" s="2546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4" cm="1">
        <f t="array" ref="E372">INDEX('6층_부하량'!G3:G3000,MATCH(1,("6-DaHall 1-PDU-06"='6층_부하량'!A3:A3000)*(37='6층_부하량'!B3:B3000),0))</f>
        <v>7.63</v>
      </c>
      <c r="F372" s="156"/>
      <c r="G372" s="156"/>
      <c r="H372" s="142" t="s">
        <v>4171</v>
      </c>
      <c r="I372" s="149" t="s">
        <v>4279</v>
      </c>
      <c r="J372" s="1426" t="s">
        <v>4280</v>
      </c>
      <c r="K372" s="142" t="s">
        <v>4171</v>
      </c>
      <c r="L372" s="156"/>
      <c r="M372" s="2554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6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4171</v>
      </c>
      <c r="I373" s="291" t="s">
        <v>4283</v>
      </c>
      <c r="J373" s="1426" t="s">
        <v>4284</v>
      </c>
      <c r="K373" s="142" t="s">
        <v>4171</v>
      </c>
      <c r="L373" s="156"/>
      <c r="M373" s="156"/>
      <c r="N373" s="2546" cm="1">
        <f t="array" ref="N373">INDEX('6층_부하량'!H3:H3000,MATCH(1,("6-DaHall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6" cm="1">
        <f t="array" ref="D374">INDEX('6층_부하량'!F3:F3000,MATCH(1,("6-DaHall 1-PDU-06"='6층_부하량'!A3:A3000)*(41='6층_부하량'!B3:B3000),0))</f>
        <v>1.02</v>
      </c>
      <c r="E374" s="156"/>
      <c r="F374" s="156"/>
      <c r="G374" s="156"/>
      <c r="H374" s="142" t="s">
        <v>4171</v>
      </c>
      <c r="I374" s="291" t="s">
        <v>4628</v>
      </c>
      <c r="J374" s="1426" t="s">
        <v>4416</v>
      </c>
      <c r="K374" s="142" t="s">
        <v>4171</v>
      </c>
      <c r="L374" s="2546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6" cm="1">
        <f t="array" ref="E375">INDEX('6층_부하량'!G3:G3000,MATCH(1,("6-DaHall 1-PDU-06"='6층_부하량'!A3:A3000)*(43='6층_부하량'!B3:B3000),0))</f>
        <v>5.48</v>
      </c>
      <c r="F375" s="156"/>
      <c r="G375" s="156"/>
      <c r="H375" s="142" t="s">
        <v>4171</v>
      </c>
      <c r="I375" s="291" t="s">
        <v>4418</v>
      </c>
      <c r="J375" s="1426" t="s">
        <v>4419</v>
      </c>
      <c r="K375" s="142" t="s">
        <v>4171</v>
      </c>
      <c r="L375" s="156"/>
      <c r="M375" s="2546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6" cm="1">
        <f t="array" ref="F376">INDEX('6층_부하량'!H3:H3000,MATCH(1,("6-DaHall 1-PDU-06"='6층_부하량'!A3:A3000)*(45='6층_부하량'!B3:B3000),0))</f>
        <v>5.51</v>
      </c>
      <c r="G376" s="156"/>
      <c r="H376" s="142" t="s">
        <v>4171</v>
      </c>
      <c r="I376" s="291" t="s">
        <v>4420</v>
      </c>
      <c r="J376" s="1426" t="s">
        <v>4421</v>
      </c>
      <c r="K376" s="142" t="s">
        <v>4171</v>
      </c>
      <c r="L376" s="156"/>
      <c r="M376" s="156"/>
      <c r="N376" s="2546" cm="1">
        <f t="array" ref="N376">INDEX('6층_부하량'!H3:H3000,MATCH(1,("6-DaHall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4" cm="1">
        <f t="array" ref="D377">INDEX('6층_부하량'!F3:F3000,MATCH(1,("6-DaHall 1-PDU-06"='6층_부하량'!A3:A3000)*(47='6층_부하량'!B3:B3000),0))</f>
        <v>5.0999999999999996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4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6" cm="1">
        <f t="array" ref="E378">INDEX('6층_부하량'!G3:G3000,MATCH(1,("6-DaHall 1-PDU-06"='6층_부하량'!A3:A3000)*(49='6층_부하량'!B3:B3000),0))</f>
        <v>1.48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6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4" cm="1">
        <f t="array" ref="F379">INDEX('6층_부하량'!H3:H3000,MATCH(1,("6-DaHall 1-PDU-06"='6층_부하량'!A3:A3000)*(51='6층_부하량'!B3:B3000),0))</f>
        <v>5.7</v>
      </c>
      <c r="G379" s="156"/>
      <c r="H379" s="142" t="s">
        <v>4171</v>
      </c>
      <c r="I379" s="291" t="s">
        <v>4364</v>
      </c>
      <c r="J379" s="1423" t="s">
        <v>4366</v>
      </c>
      <c r="K379" s="142" t="s">
        <v>4171</v>
      </c>
      <c r="L379" s="156"/>
      <c r="M379" s="156"/>
      <c r="N379" s="2554" cm="1">
        <f t="array" ref="N379">INDEX('6층_부하량'!H3:H3000,MATCH(1,("6-DaHall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8" cm="1">
        <f t="array" ref="D380">INDEX('6층_부하량'!F3:F3000,MATCH(1,("6-DaHall 1-PDU-06"='6층_부하량'!A3:A3000)*(53='6층_부하량'!B3:B3000),0))</f>
        <v>1.34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8" cm="1">
        <f t="array" ref="L380">INDEX('6층_부하량'!F3:F3000,MATCH(1,("6-DaHall 1-PDU-06"='6층_부하량'!A3:A3000)*(54='6층_부하량'!B3:B3000),0))</f>
        <v>2.65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14.24</v>
      </c>
      <c r="M381" s="127">
        <f>SUM(E354:E380,M354:M380)</f>
        <v>47.88</v>
      </c>
      <c r="N381" s="127">
        <f>SUM(F354:F380,N354:N380)</f>
        <v>34.199999999999996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818" t="s">
        <v>5114</v>
      </c>
      <c r="D383" s="3818"/>
      <c r="E383" s="3818"/>
      <c r="F383" s="172"/>
      <c r="G383" s="172"/>
      <c r="H383" s="132"/>
      <c r="I383" s="3823" t="s">
        <v>4288</v>
      </c>
      <c r="J383" s="382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4136</v>
      </c>
      <c r="L384" s="1342">
        <v>0</v>
      </c>
      <c r="M384" s="1343">
        <v>0</v>
      </c>
      <c r="N384" s="1344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4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4171</v>
      </c>
      <c r="I386" s="1432" t="s">
        <v>4206</v>
      </c>
      <c r="J386" s="1439" t="s">
        <v>4152</v>
      </c>
      <c r="K386" s="141" t="s">
        <v>4171</v>
      </c>
      <c r="L386" s="143"/>
      <c r="M386" s="2544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5" cm="1">
        <f t="array" ref="F387">INDEX('6층_부하량'!H3:H3000,MATCH(1,("6-DaHall 1-PDU-07"='6층_부하량'!A3:A3000)*(3='6층_부하량'!B3:B3000),0))</f>
        <v>0</v>
      </c>
      <c r="G387" s="148"/>
      <c r="H387" s="142" t="s">
        <v>4171</v>
      </c>
      <c r="I387" s="1428" t="s">
        <v>4211</v>
      </c>
      <c r="J387" s="1426" t="s">
        <v>4157</v>
      </c>
      <c r="K387" s="142" t="s">
        <v>4171</v>
      </c>
      <c r="L387" s="148"/>
      <c r="M387" s="148"/>
      <c r="N387" s="2545" cm="1">
        <f t="array" ref="N387">INDEX('6층_부하량'!H3:H3000,MATCH(1,("6-DaHall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6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4" t="s">
        <v>4214</v>
      </c>
      <c r="J388" s="1423" t="s">
        <v>4162</v>
      </c>
      <c r="K388" s="142" t="s">
        <v>4171</v>
      </c>
      <c r="L388" s="2546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6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4171</v>
      </c>
      <c r="I389" s="1434" t="s">
        <v>4218</v>
      </c>
      <c r="J389" s="150" t="s">
        <v>4167</v>
      </c>
      <c r="K389" s="142" t="s">
        <v>4171</v>
      </c>
      <c r="L389" s="156"/>
      <c r="M389" s="2546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6" cm="1">
        <f t="array" ref="F390">INDEX('6층_부하량'!H3:H3000,MATCH(1,("6-DaHall 1-PDU-07"='6층_부하량'!A3:A3000)*(9='6층_부하량'!B3:B3000),0))</f>
        <v>0</v>
      </c>
      <c r="G390" s="156"/>
      <c r="H390" s="142" t="s">
        <v>4171</v>
      </c>
      <c r="I390" s="1434" t="s">
        <v>4221</v>
      </c>
      <c r="J390" s="150" t="s">
        <v>4170</v>
      </c>
      <c r="K390" s="142" t="s">
        <v>4171</v>
      </c>
      <c r="L390" s="156"/>
      <c r="M390" s="156"/>
      <c r="N390" s="2546" cm="1">
        <f t="array" ref="N390">INDEX('6층_부하량'!H3:H3000,MATCH(1,("6-DaHall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6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4" t="s">
        <v>4226</v>
      </c>
      <c r="J391" s="150" t="s">
        <v>4173</v>
      </c>
      <c r="K391" s="142" t="s">
        <v>4171</v>
      </c>
      <c r="L391" s="2546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6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4171</v>
      </c>
      <c r="I392" s="1434" t="s">
        <v>4230</v>
      </c>
      <c r="J392" s="150" t="s">
        <v>4175</v>
      </c>
      <c r="K392" s="142" t="s">
        <v>4171</v>
      </c>
      <c r="L392" s="156"/>
      <c r="M392" s="2546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6" cm="1">
        <f t="array" ref="F393">INDEX('6층_부하량'!H3:H3000,MATCH(1,("6-DaHall 1-PDU-07"='6층_부하량'!A3:A3000)*(15='6층_부하량'!B3:B3000),0))</f>
        <v>0</v>
      </c>
      <c r="G393" s="156"/>
      <c r="H393" s="142" t="s">
        <v>4171</v>
      </c>
      <c r="I393" s="1434" t="s">
        <v>4234</v>
      </c>
      <c r="J393" s="1423" t="s">
        <v>4177</v>
      </c>
      <c r="K393" s="142" t="s">
        <v>4171</v>
      </c>
      <c r="L393" s="156"/>
      <c r="M393" s="156"/>
      <c r="N393" s="2546" cm="1">
        <f t="array" ref="N393">INDEX('6층_부하량'!H3:H3000,MATCH(1,("6-DaHall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6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4" t="s">
        <v>4238</v>
      </c>
      <c r="J394" s="1423" t="s">
        <v>4179</v>
      </c>
      <c r="K394" s="142" t="s">
        <v>4171</v>
      </c>
      <c r="L394" s="2546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6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4171</v>
      </c>
      <c r="I395" s="1434" t="s">
        <v>4243</v>
      </c>
      <c r="J395" s="1423" t="s">
        <v>4183</v>
      </c>
      <c r="K395" s="142" t="s">
        <v>4171</v>
      </c>
      <c r="L395" s="156"/>
      <c r="M395" s="2546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6" cm="1">
        <f t="array" ref="F396">INDEX('6층_부하량'!H3:H3000,MATCH(1,("6-DaHall 1-PDU-07"='6층_부하량'!A3:A3000)*(21='6층_부하량'!B3:B3000),0))</f>
        <v>0</v>
      </c>
      <c r="G396" s="156"/>
      <c r="H396" s="142" t="s">
        <v>4171</v>
      </c>
      <c r="I396" s="1434" t="s">
        <v>4247</v>
      </c>
      <c r="J396" s="150" t="s">
        <v>4187</v>
      </c>
      <c r="K396" s="142" t="s">
        <v>4171</v>
      </c>
      <c r="L396" s="156"/>
      <c r="M396" s="156"/>
      <c r="N396" s="2546" cm="1">
        <f t="array" ref="N396">INDEX('6층_부하량'!H3:H3000,MATCH(1,("6-DaHall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6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4" t="s">
        <v>4251</v>
      </c>
      <c r="J397" s="150" t="s">
        <v>4253</v>
      </c>
      <c r="K397" s="142" t="s">
        <v>4171</v>
      </c>
      <c r="L397" s="2546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6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4171</v>
      </c>
      <c r="I398" s="1434" t="s">
        <v>4256</v>
      </c>
      <c r="J398" s="150" t="s">
        <v>4258</v>
      </c>
      <c r="K398" s="142" t="s">
        <v>4171</v>
      </c>
      <c r="L398" s="156"/>
      <c r="M398" s="2546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51" cm="1">
        <f t="array" ref="F399">INDEX('6층_부하량'!H3:H3000,MATCH(1,("6-DaHall 1-PDU-07"='6층_부하량'!A3:A3000)*(27='6층_부하량'!B3:B3000),0))</f>
        <v>0</v>
      </c>
      <c r="G399" s="176"/>
      <c r="H399" s="175" t="s">
        <v>4171</v>
      </c>
      <c r="I399" s="1446" t="s">
        <v>4261</v>
      </c>
      <c r="J399" s="186" t="s">
        <v>4262</v>
      </c>
      <c r="K399" s="175" t="s">
        <v>4171</v>
      </c>
      <c r="L399" s="176"/>
      <c r="M399" s="176"/>
      <c r="N399" s="2551" cm="1">
        <f t="array" ref="N399">INDEX('6층_부하량'!H3:H3000,MATCH(1,("6-DaHall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8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3" t="s">
        <v>4264</v>
      </c>
      <c r="J400" s="1425" t="s">
        <v>4265</v>
      </c>
      <c r="K400" s="155" t="s">
        <v>4171</v>
      </c>
      <c r="L400" s="2548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6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4171</v>
      </c>
      <c r="I401" s="1434" t="s">
        <v>4266</v>
      </c>
      <c r="J401" s="1423" t="s">
        <v>4267</v>
      </c>
      <c r="K401" s="142" t="s">
        <v>4171</v>
      </c>
      <c r="L401" s="156"/>
      <c r="M401" s="2546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6" cm="1">
        <f t="array" ref="F402">INDEX('6층_부하량'!H3:H3000,MATCH(1,("6-DaHall 1-PDU-07"='6층_부하량'!A3:A3000)*(33='6층_부하량'!B3:B3000),0))</f>
        <v>0</v>
      </c>
      <c r="G402" s="156"/>
      <c r="H402" s="142" t="s">
        <v>4171</v>
      </c>
      <c r="I402" s="1434" t="s">
        <v>4270</v>
      </c>
      <c r="J402" s="1423" t="s">
        <v>4271</v>
      </c>
      <c r="K402" s="142" t="s">
        <v>4171</v>
      </c>
      <c r="L402" s="156"/>
      <c r="M402" s="156"/>
      <c r="N402" s="2546" cm="1">
        <f t="array" ref="N402">INDEX('6층_부하량'!H3:H3000,MATCH(1,("6-DaHall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6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4" t="s">
        <v>4274</v>
      </c>
      <c r="J403" s="150" t="s">
        <v>4276</v>
      </c>
      <c r="K403" s="142" t="s">
        <v>4171</v>
      </c>
      <c r="L403" s="2546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4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4171</v>
      </c>
      <c r="I404" s="1434" t="s">
        <v>4279</v>
      </c>
      <c r="J404" s="150" t="s">
        <v>4280</v>
      </c>
      <c r="K404" s="142" t="s">
        <v>4171</v>
      </c>
      <c r="L404" s="156"/>
      <c r="M404" s="2554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6" cm="1">
        <f t="array" ref="F405">INDEX('6층_부하량'!H3:H3000,MATCH(1,("6-DaHall 1-PDU-07"='6층_부하량'!A3:A3000)*(39='6층_부하량'!B3:B3000),0))</f>
        <v>0</v>
      </c>
      <c r="G405" s="156"/>
      <c r="H405" s="142" t="s">
        <v>4171</v>
      </c>
      <c r="I405" s="1434" t="s">
        <v>4283</v>
      </c>
      <c r="J405" s="150" t="s">
        <v>4284</v>
      </c>
      <c r="K405" s="142" t="s">
        <v>4171</v>
      </c>
      <c r="L405" s="156"/>
      <c r="M405" s="156"/>
      <c r="N405" s="2546" cm="1">
        <f t="array" ref="N405">INDEX('6층_부하량'!H3:H3000,MATCH(1,("6-DaHall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6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6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6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6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6" cm="1">
        <f t="array" ref="F408">INDEX('6층_부하량'!H3:H3000,MATCH(1,("6-DaHall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6" cm="1">
        <f t="array" ref="N408">INDEX('6층_부하량'!H3:H3000,MATCH(1,("6-DaHall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4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4" t="s">
        <v>4422</v>
      </c>
      <c r="J409" s="1423" t="s">
        <v>4423</v>
      </c>
      <c r="K409" s="142" t="s">
        <v>4171</v>
      </c>
      <c r="L409" s="2554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6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3" t="s">
        <v>4425</v>
      </c>
      <c r="K410" s="142" t="s">
        <v>4171</v>
      </c>
      <c r="L410" s="156"/>
      <c r="M410" s="2546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4" cm="1">
        <f t="array" ref="F411">INDEX('6층_부하량'!H3:H3000,MATCH(1,("6-DaHall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3" t="s">
        <v>4366</v>
      </c>
      <c r="K411" s="142" t="s">
        <v>4171</v>
      </c>
      <c r="L411" s="156"/>
      <c r="M411" s="156"/>
      <c r="N411" s="2554" cm="1">
        <f t="array" ref="N411">INDEX('6층_부하량'!H3:H3000,MATCH(1,("6-DaHall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8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8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818" t="s">
        <v>5170</v>
      </c>
      <c r="D415" s="3818"/>
      <c r="E415" s="3818"/>
      <c r="F415" s="172"/>
      <c r="G415" s="172"/>
      <c r="H415" s="132"/>
      <c r="I415" s="3823" t="s">
        <v>4288</v>
      </c>
      <c r="J415" s="382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4136</v>
      </c>
      <c r="L416" s="1342">
        <v>0</v>
      </c>
      <c r="M416" s="1343">
        <v>0</v>
      </c>
      <c r="N416" s="1344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4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4171</v>
      </c>
      <c r="I418" s="1432" t="s">
        <v>4206</v>
      </c>
      <c r="J418" s="1439" t="s">
        <v>4152</v>
      </c>
      <c r="K418" s="141" t="s">
        <v>4171</v>
      </c>
      <c r="L418" s="143"/>
      <c r="M418" s="2544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5" cm="1">
        <f t="array" ref="F419">INDEX('6층_부하량'!H3:H3000,MATCH(1,("6-DaHall 1-PDU-08"='6층_부하량'!A3:A3000)*(3='6층_부하량'!B3:B3000),0))</f>
        <v>0</v>
      </c>
      <c r="G419" s="148"/>
      <c r="H419" s="142" t="s">
        <v>4171</v>
      </c>
      <c r="I419" s="1428" t="s">
        <v>4211</v>
      </c>
      <c r="J419" s="1426" t="s">
        <v>4157</v>
      </c>
      <c r="K419" s="142" t="s">
        <v>4171</v>
      </c>
      <c r="L419" s="148"/>
      <c r="M419" s="148"/>
      <c r="N419" s="2545" cm="1">
        <f t="array" ref="N419">INDEX('6층_부하량'!H3:H3000,MATCH(1,("6-DaHall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6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4" t="s">
        <v>4214</v>
      </c>
      <c r="J420" s="1423" t="s">
        <v>4162</v>
      </c>
      <c r="K420" s="142" t="s">
        <v>4171</v>
      </c>
      <c r="L420" s="2546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6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4171</v>
      </c>
      <c r="I421" s="1434" t="s">
        <v>4218</v>
      </c>
      <c r="J421" s="150" t="s">
        <v>4167</v>
      </c>
      <c r="K421" s="142" t="s">
        <v>4171</v>
      </c>
      <c r="L421" s="156"/>
      <c r="M421" s="2546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6" cm="1">
        <f t="array" ref="F422">INDEX('6층_부하량'!H3:H3000,MATCH(1,("6-DaHall 1-PDU-08"='6층_부하량'!A3:A3000)*(9='6층_부하량'!B3:B3000),0))</f>
        <v>0</v>
      </c>
      <c r="G422" s="156"/>
      <c r="H422" s="142" t="s">
        <v>4171</v>
      </c>
      <c r="I422" s="1434" t="s">
        <v>4221</v>
      </c>
      <c r="J422" s="150" t="s">
        <v>4170</v>
      </c>
      <c r="K422" s="142" t="s">
        <v>4171</v>
      </c>
      <c r="L422" s="156"/>
      <c r="M422" s="156"/>
      <c r="N422" s="2546" cm="1">
        <f t="array" ref="N422">INDEX('6층_부하량'!H3:H3000,MATCH(1,("6-DaHall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6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4" t="s">
        <v>4226</v>
      </c>
      <c r="J423" s="150" t="s">
        <v>4173</v>
      </c>
      <c r="K423" s="142" t="s">
        <v>4171</v>
      </c>
      <c r="L423" s="2546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6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4171</v>
      </c>
      <c r="I424" s="1434" t="s">
        <v>4230</v>
      </c>
      <c r="J424" s="150" t="s">
        <v>4175</v>
      </c>
      <c r="K424" s="142" t="s">
        <v>4171</v>
      </c>
      <c r="L424" s="156"/>
      <c r="M424" s="2546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6" cm="1">
        <f t="array" ref="F425">INDEX('6층_부하량'!H3:H3000,MATCH(1,("6-DaHall 1-PDU-08"='6층_부하량'!A3:A3000)*(15='6층_부하량'!B3:B3000),0))</f>
        <v>0</v>
      </c>
      <c r="G425" s="156"/>
      <c r="H425" s="142" t="s">
        <v>4171</v>
      </c>
      <c r="I425" s="1434" t="s">
        <v>4234</v>
      </c>
      <c r="J425" s="1423" t="s">
        <v>4177</v>
      </c>
      <c r="K425" s="142" t="s">
        <v>4171</v>
      </c>
      <c r="L425" s="156"/>
      <c r="M425" s="156"/>
      <c r="N425" s="2546" cm="1">
        <f t="array" ref="N425">INDEX('6층_부하량'!H3:H3000,MATCH(1,("6-DaHall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6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4" t="s">
        <v>4238</v>
      </c>
      <c r="J426" s="1423" t="s">
        <v>4179</v>
      </c>
      <c r="K426" s="142" t="s">
        <v>4171</v>
      </c>
      <c r="L426" s="2546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6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4171</v>
      </c>
      <c r="I427" s="1434" t="s">
        <v>4243</v>
      </c>
      <c r="J427" s="1423" t="s">
        <v>4183</v>
      </c>
      <c r="K427" s="142" t="s">
        <v>4171</v>
      </c>
      <c r="L427" s="156"/>
      <c r="M427" s="2546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6" cm="1">
        <f t="array" ref="F428">INDEX('6층_부하량'!H3:H3000,MATCH(1,("6-DaHall 1-PDU-08"='6층_부하량'!A3:A3000)*(21='6층_부하량'!B3:B3000),0))</f>
        <v>0</v>
      </c>
      <c r="G428" s="156"/>
      <c r="H428" s="142" t="s">
        <v>4171</v>
      </c>
      <c r="I428" s="1434" t="s">
        <v>4247</v>
      </c>
      <c r="J428" s="150" t="s">
        <v>4187</v>
      </c>
      <c r="K428" s="142" t="s">
        <v>4171</v>
      </c>
      <c r="L428" s="156"/>
      <c r="M428" s="156"/>
      <c r="N428" s="2546" cm="1">
        <f t="array" ref="N428">INDEX('6층_부하량'!H3:H3000,MATCH(1,("6-DaHall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6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4" t="s">
        <v>4251</v>
      </c>
      <c r="J429" s="150" t="s">
        <v>4253</v>
      </c>
      <c r="K429" s="142" t="s">
        <v>4171</v>
      </c>
      <c r="L429" s="2546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6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4171</v>
      </c>
      <c r="I430" s="1434" t="s">
        <v>4256</v>
      </c>
      <c r="J430" s="150" t="s">
        <v>4258</v>
      </c>
      <c r="K430" s="142" t="s">
        <v>4171</v>
      </c>
      <c r="L430" s="156"/>
      <c r="M430" s="2546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51" cm="1">
        <f t="array" ref="F431">INDEX('6층_부하량'!H3:H3000,MATCH(1,("6-DaHall 1-PDU-08"='6층_부하량'!A3:A3000)*(27='6층_부하량'!B3:B3000),0))</f>
        <v>0</v>
      </c>
      <c r="G431" s="176"/>
      <c r="H431" s="175" t="s">
        <v>4171</v>
      </c>
      <c r="I431" s="1446" t="s">
        <v>4261</v>
      </c>
      <c r="J431" s="186" t="s">
        <v>4262</v>
      </c>
      <c r="K431" s="175" t="s">
        <v>4171</v>
      </c>
      <c r="L431" s="176"/>
      <c r="M431" s="176"/>
      <c r="N431" s="2551" cm="1">
        <f t="array" ref="N431">INDEX('6층_부하량'!H3:H3000,MATCH(1,("6-DaHall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8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3" t="s">
        <v>4264</v>
      </c>
      <c r="J432" s="1425" t="s">
        <v>4265</v>
      </c>
      <c r="K432" s="155" t="s">
        <v>4171</v>
      </c>
      <c r="L432" s="2548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6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4171</v>
      </c>
      <c r="I433" s="1434" t="s">
        <v>4266</v>
      </c>
      <c r="J433" s="1423" t="s">
        <v>4267</v>
      </c>
      <c r="K433" s="142" t="s">
        <v>4171</v>
      </c>
      <c r="L433" s="156"/>
      <c r="M433" s="2546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6" cm="1">
        <f t="array" ref="F434">INDEX('6층_부하량'!H3:H3000,MATCH(1,("6-DaHall 1-PDU-08"='6층_부하량'!A3:A3000)*(33='6층_부하량'!B3:B3000),0))</f>
        <v>0</v>
      </c>
      <c r="G434" s="156"/>
      <c r="H434" s="142" t="s">
        <v>4171</v>
      </c>
      <c r="I434" s="1434" t="s">
        <v>4270</v>
      </c>
      <c r="J434" s="1423" t="s">
        <v>4271</v>
      </c>
      <c r="K434" s="142" t="s">
        <v>4171</v>
      </c>
      <c r="L434" s="156"/>
      <c r="M434" s="156"/>
      <c r="N434" s="2546" cm="1">
        <f t="array" ref="N434">INDEX('6층_부하량'!H3:H3000,MATCH(1,("6-DaHall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6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4" t="s">
        <v>4274</v>
      </c>
      <c r="J435" s="150" t="s">
        <v>4276</v>
      </c>
      <c r="K435" s="142" t="s">
        <v>4171</v>
      </c>
      <c r="L435" s="2546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4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4171</v>
      </c>
      <c r="I436" s="1434" t="s">
        <v>4279</v>
      </c>
      <c r="J436" s="150" t="s">
        <v>4280</v>
      </c>
      <c r="K436" s="142" t="s">
        <v>4171</v>
      </c>
      <c r="L436" s="156"/>
      <c r="M436" s="2554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6" cm="1">
        <f t="array" ref="F437">INDEX('6층_부하량'!H3:H3000,MATCH(1,("6-DaHall 1-PDU-08"='6층_부하량'!A3:A3000)*(39='6층_부하량'!B3:B3000),0))</f>
        <v>0</v>
      </c>
      <c r="G437" s="156"/>
      <c r="H437" s="142" t="s">
        <v>4171</v>
      </c>
      <c r="I437" s="1434" t="s">
        <v>4283</v>
      </c>
      <c r="J437" s="150" t="s">
        <v>4284</v>
      </c>
      <c r="K437" s="142" t="s">
        <v>4171</v>
      </c>
      <c r="L437" s="156"/>
      <c r="M437" s="156"/>
      <c r="N437" s="2546" cm="1">
        <f t="array" ref="N437">INDEX('6층_부하량'!H3:H3000,MATCH(1,("6-DaHall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6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4" t="s">
        <v>4628</v>
      </c>
      <c r="J438" s="150" t="s">
        <v>4416</v>
      </c>
      <c r="K438" s="142" t="s">
        <v>4171</v>
      </c>
      <c r="L438" s="2546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6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6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6" cm="1">
        <f t="array" ref="F440">INDEX('6층_부하량'!H3:H3000,MATCH(1,("6-DaHall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6" cm="1">
        <f t="array" ref="N440">INDEX('6층_부하량'!H3:H3000,MATCH(1,("6-DaHall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4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3" t="s">
        <v>4423</v>
      </c>
      <c r="K441" s="142" t="s">
        <v>4171</v>
      </c>
      <c r="L441" s="2554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6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3" t="s">
        <v>4425</v>
      </c>
      <c r="K442" s="142" t="s">
        <v>4171</v>
      </c>
      <c r="L442" s="156"/>
      <c r="M442" s="2546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4" cm="1">
        <f t="array" ref="F443">INDEX('6층_부하량'!H3:H3000,MATCH(1,("6-DaHall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3" t="s">
        <v>4427</v>
      </c>
      <c r="K443" s="142" t="s">
        <v>4171</v>
      </c>
      <c r="L443" s="156"/>
      <c r="M443" s="156"/>
      <c r="N443" s="2554" cm="1">
        <f t="array" ref="N443">INDEX('6층_부하량'!H3:H3000,MATCH(1,("6-DaHall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8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8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474.2700000000001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84" t="s">
        <v>9312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819" t="s">
        <v>4562</v>
      </c>
      <c r="J3" s="3825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4136</v>
      </c>
      <c r="L4" s="1342">
        <v>2.2999999999999998</v>
      </c>
      <c r="M4" s="1343">
        <v>2.1</v>
      </c>
      <c r="N4" s="1344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81"/>
      <c r="U5" s="2581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4" cm="1">
        <f t="array" ref="D6">INDEX('6층_부하량'!I3:I3000,MATCH(1,("6-DaHall 1-CEP-05"='6층_부하량'!A3:A3000)*(1='6층_부하량'!B3:B3000),0))</f>
        <v>0.11822916666666666</v>
      </c>
      <c r="E6" s="2544" cm="1">
        <f t="array" ref="E6">INDEX('6층_부하량'!J3:J3000,MATCH(1,("6-DaHall 1-CEP-05"='6층_부하량'!A3:A3000)*(1='6층_부하량'!B3:B3000),0))</f>
        <v>0.78283221948859361</v>
      </c>
      <c r="F6" s="2544" cm="1">
        <f t="array" ref="F6">INDEX('6층_부하량'!K3:K3000,MATCH(1,("6-DaHall 1-CEP-05"='6층_부하량'!A3:A3000)*(1='6층_부하량'!B3:B3000),0))</f>
        <v>0.69687107686914174</v>
      </c>
      <c r="G6" s="346"/>
      <c r="H6" s="141" t="s">
        <v>4563</v>
      </c>
      <c r="I6" s="144" t="s">
        <v>4206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4296</v>
      </c>
      <c r="D7" s="1268" t="s">
        <v>4564</v>
      </c>
      <c r="E7" s="1268" t="s">
        <v>4565</v>
      </c>
      <c r="F7" s="1268" t="s">
        <v>4566</v>
      </c>
      <c r="G7" s="1268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5" cm="1">
        <f t="array" ref="L7">INDEX('6층_부하량'!I3:I3000,MATCH(1,("6-DaHall 1-CEP-05"='6층_부하량'!A3:A3000)*(3='6층_부하량'!B3:B3000),0))</f>
        <v>0</v>
      </c>
      <c r="M7" s="2545" cm="1">
        <f t="array" ref="M7">INDEX('6층_부하량'!J3:J3000,MATCH(1,("6-DaHall 1-CEP-05"='6층_부하량'!A3:A3000)*(3='6층_부하량'!B3:B3000),0))</f>
        <v>0</v>
      </c>
      <c r="N7" s="2545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3" t="s">
        <v>6552</v>
      </c>
      <c r="B8" s="142" t="s">
        <v>4204</v>
      </c>
      <c r="C8" s="188" t="s">
        <v>4149</v>
      </c>
      <c r="D8" s="2546" cm="1">
        <f t="array" ref="D8">INDEX('6층_부하량'!I3:I3000,MATCH(1,("6-DaHall 1-CEP-05"='6층_부하량'!A3:A3000)*(4='6층_부하량'!B3:B3000),0))</f>
        <v>0</v>
      </c>
      <c r="E8" s="2546" cm="1">
        <f t="array" ref="E8">INDEX('6층_부하량'!J3:J3000,MATCH(1,("6-DaHall 1-CEP-05"='6층_부하량'!A3:A3000)*(4='6층_부하량'!B3:B3000),0))</f>
        <v>0</v>
      </c>
      <c r="F8" s="2546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6" cm="1">
        <f t="array" ref="L8">INDEX('6층_부하량'!I3:I3000,MATCH(1,("6-DaHall 1-CEP-05"='6층_부하량'!A3:A3000)*(5='6층_부하량'!B3:B3000),0))</f>
        <v>0</v>
      </c>
      <c r="M8" s="2546" cm="1">
        <f t="array" ref="M8">INDEX('6층_부하량'!J3:J3000,MATCH(1,("6-DaHall 1-CEP-05"='6층_부하량'!A3:A3000)*(5='6층_부하량'!B3:B3000),0))</f>
        <v>0</v>
      </c>
      <c r="N8" s="2546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6" cm="1">
        <f t="array" ref="D9">INDEX('6층_부하량'!I3:I3000,MATCH(1,("6-DaHall 1-CEP-05"='6층_부하량'!A3:A3000)*(6='6층_부하량'!B3:B3000),0))</f>
        <v>0</v>
      </c>
      <c r="E9" s="2546" cm="1">
        <f t="array" ref="E9">INDEX('6층_부하량'!J3:J3000,MATCH(1,("6-DaHall 1-CEP-05"='6층_부하량'!A3:A3000)*(6='6층_부하량'!B3:B3000),0))</f>
        <v>0</v>
      </c>
      <c r="F9" s="2546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6" cm="1">
        <f t="array" ref="L9">INDEX('6층_부하량'!I3:I3000,MATCH(1,("6-DaHall 1-CEP-05"='6층_부하량'!A3:A3000)*(7='6층_부하량'!B3:B3000),0))</f>
        <v>0</v>
      </c>
      <c r="M9" s="2546" cm="1">
        <f t="array" ref="M9">INDEX('6층_부하량'!J3:J3000,MATCH(1,("6-DaHall 1-CEP-05"='6층_부하량'!A3:A3000)*(7='6층_부하량'!B3:B3000),0))</f>
        <v>0</v>
      </c>
      <c r="N9" s="2546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6" cm="1">
        <f t="array" ref="D10">INDEX('6층_부하량'!I3:I3000,MATCH(1,("6-DaHall 1-CEP-05"='6층_부하량'!A3:A3000)*(8='6층_부하량'!B3:B3000),0))</f>
        <v>0</v>
      </c>
      <c r="E10" s="2546" cm="1">
        <f t="array" ref="E10">INDEX('6층_부하량'!J3:J3000,MATCH(1,("6-DaHall 1-CEP-05"='6층_부하량'!A3:A3000)*(8='6층_부하량'!B3:B3000),0))</f>
        <v>0</v>
      </c>
      <c r="F10" s="2546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6" cm="1">
        <f t="array" ref="L10">INDEX('6층_부하량'!I3:I3000,MATCH(1,("6-DaHall 1-CEP-05"='6층_부하량'!A3:A3000)*(9='6층_부하량'!B3:B3000),0))</f>
        <v>0</v>
      </c>
      <c r="M10" s="2546" cm="1">
        <f t="array" ref="M10">INDEX('6층_부하량'!J3:J3000,MATCH(1,("6-DaHall 1-CEP-05"='6층_부하량'!A3:A3000)*(9='6층_부하량'!B3:B3000),0))</f>
        <v>0</v>
      </c>
      <c r="N10" s="2546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5" cm="1">
        <f t="array" ref="D11">INDEX('6층_부하량'!I3:I3000,MATCH(1,("6-DaHall 1-CEP-05"='6층_부하량'!A3:A3000)*(10='6층_부하량'!B3:B3000),0))</f>
        <v>0</v>
      </c>
      <c r="E11" s="2555" cm="1">
        <f t="array" ref="E11">INDEX('6층_부하량'!J3:J3000,MATCH(1,("6-DaHall 1-CEP-05"='6층_부하량'!A3:A3000)*(10='6층_부하량'!B3:B3000),0))</f>
        <v>0</v>
      </c>
      <c r="F11" s="2555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5" cm="1">
        <f t="array" ref="L11">INDEX('6층_부하량'!I3:I3000,MATCH(1,("6-DaHall 1-CEP-05"='6층_부하량'!A3:A3000)*(11='6층_부하량'!B3:B3000),0))</f>
        <v>5.1144561352218414</v>
      </c>
      <c r="M11" s="2556" cm="1">
        <f t="array" ref="M11">INDEX('6층_부하량'!J3:J3000,MATCH(1,("6-DaHall 1-CEP-05"='6층_부하량'!A3:A3000)*(11='6층_부하량'!B3:B3000),0))</f>
        <v>10.628752576709733</v>
      </c>
      <c r="N11" s="2556" cm="1">
        <f t="array" ref="N11">INDEX('6층_부하량'!K3:K3000,MATCH(1,("6-DaHall 1-CEP-05"='6층_부하량'!A3:A3000)*(11='6층_부하량'!B3:B3000),0))</f>
        <v>8.2798429094402977</v>
      </c>
      <c r="O11" s="348"/>
      <c r="P11" s="176" t="s">
        <v>4148</v>
      </c>
      <c r="Q11" s="2248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9" t="s">
        <v>4296</v>
      </c>
      <c r="D12" s="2557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7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9"/>
      <c r="B13" s="142" t="s">
        <v>4153</v>
      </c>
      <c r="C13" s="142" t="s">
        <v>4158</v>
      </c>
      <c r="D13" s="156"/>
      <c r="E13" s="2546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6" cm="1">
        <f t="array" ref="M13">INDEX('6층_부하량'!J3:J3000,MATCH(1,("6-DaHall 1-CEP-05"='6층_부하량'!A3:A3000)*(15='6층_부하량'!B3:B3000),0))</f>
        <v>9.6310951914598704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9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9" cm="1">
        <f t="array" ref="N14">INDEX('6층_부하량'!K3:K3000,MATCH(1,("6-DaHall 1-CEP-05"='6층_부하량'!A3:A3000)*(17='6층_부하량'!B3:B3000),0))</f>
        <v>7.9592355961427792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17.59033078760265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5.232685301888508</v>
      </c>
      <c r="M15" s="130">
        <f>SUM(E6:E14,M6:M14)</f>
        <v>21.042679987658197</v>
      </c>
      <c r="N15" s="130">
        <f>SUM(F6:F14,N6:N14)</f>
        <v>16.935949582452217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43.211314871998923</v>
      </c>
      <c r="M16" s="130">
        <f>SUM(D12:O14)</f>
        <v>17.59033078760265</v>
      </c>
      <c r="N16" s="986">
        <f>M16/L16</f>
        <v>0.40707696212690908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818" t="s">
        <v>4575</v>
      </c>
      <c r="D17" s="3818"/>
      <c r="E17" s="3818"/>
      <c r="F17" s="172"/>
      <c r="G17" s="172"/>
      <c r="H17" s="132"/>
      <c r="I17" s="3823" t="s">
        <v>4576</v>
      </c>
      <c r="J17" s="382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4136</v>
      </c>
      <c r="L18" s="1342">
        <v>0</v>
      </c>
      <c r="M18" s="1343">
        <v>0</v>
      </c>
      <c r="N18" s="1344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4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21" t="s">
        <v>4152</v>
      </c>
      <c r="K20" s="141" t="s">
        <v>4150</v>
      </c>
      <c r="L20" s="143"/>
      <c r="M20" s="2544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5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2" t="s">
        <v>4157</v>
      </c>
      <c r="K21" s="142" t="s">
        <v>4150</v>
      </c>
      <c r="L21" s="148"/>
      <c r="M21" s="148"/>
      <c r="N21" s="2545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6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2" t="s">
        <v>4162</v>
      </c>
      <c r="K22" s="142" t="s">
        <v>4150</v>
      </c>
      <c r="L22" s="2546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6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2" t="s">
        <v>4167</v>
      </c>
      <c r="K23" s="142" t="s">
        <v>4150</v>
      </c>
      <c r="L23" s="156"/>
      <c r="M23" s="2546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6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8" t="s">
        <v>4169</v>
      </c>
      <c r="J24" s="1422" t="s">
        <v>4170</v>
      </c>
      <c r="K24" s="142" t="s">
        <v>4171</v>
      </c>
      <c r="L24" s="156"/>
      <c r="M24" s="156"/>
      <c r="N24" s="2546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6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8" t="s">
        <v>4172</v>
      </c>
      <c r="J25" s="1422" t="s">
        <v>4173</v>
      </c>
      <c r="K25" s="142" t="s">
        <v>4171</v>
      </c>
      <c r="L25" s="2546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5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8" t="s">
        <v>4174</v>
      </c>
      <c r="J26" s="1422" t="s">
        <v>4175</v>
      </c>
      <c r="K26" s="142" t="s">
        <v>4171</v>
      </c>
      <c r="L26" s="148"/>
      <c r="M26" s="2545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6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8" t="s">
        <v>4176</v>
      </c>
      <c r="J27" s="1422" t="s">
        <v>4177</v>
      </c>
      <c r="K27" s="142" t="s">
        <v>4171</v>
      </c>
      <c r="L27" s="156"/>
      <c r="M27" s="156"/>
      <c r="N27" s="2546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6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8" t="s">
        <v>4178</v>
      </c>
      <c r="J28" s="1422" t="s">
        <v>4179</v>
      </c>
      <c r="K28" s="142" t="s">
        <v>4171</v>
      </c>
      <c r="L28" s="2546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5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8" t="s">
        <v>4182</v>
      </c>
      <c r="J29" s="1423" t="s">
        <v>4183</v>
      </c>
      <c r="K29" s="142" t="s">
        <v>4171</v>
      </c>
      <c r="L29" s="148"/>
      <c r="M29" s="2545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6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8" t="s">
        <v>4186</v>
      </c>
      <c r="J30" s="1423" t="s">
        <v>4187</v>
      </c>
      <c r="K30" s="142" t="s">
        <v>4171</v>
      </c>
      <c r="L30" s="156"/>
      <c r="M30" s="156"/>
      <c r="N30" s="2546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6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8" t="s">
        <v>4469</v>
      </c>
      <c r="J31" s="1423" t="s">
        <v>4253</v>
      </c>
      <c r="K31" s="142" t="s">
        <v>4171</v>
      </c>
      <c r="L31" s="2546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5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8" t="s">
        <v>4473</v>
      </c>
      <c r="J32" s="1423" t="s">
        <v>4258</v>
      </c>
      <c r="K32" s="142" t="s">
        <v>4171</v>
      </c>
      <c r="L32" s="148"/>
      <c r="M32" s="2545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5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9" t="s">
        <v>4477</v>
      </c>
      <c r="J33" s="1424" t="s">
        <v>4262</v>
      </c>
      <c r="K33" s="175" t="s">
        <v>4171</v>
      </c>
      <c r="L33" s="159"/>
      <c r="M33" s="159"/>
      <c r="N33" s="2555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7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30" t="s">
        <v>4482</v>
      </c>
      <c r="J34" s="1425" t="s">
        <v>4265</v>
      </c>
      <c r="K34" s="155" t="s">
        <v>4171</v>
      </c>
      <c r="L34" s="2557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5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8" t="s">
        <v>4487</v>
      </c>
      <c r="J35" s="1423" t="s">
        <v>4267</v>
      </c>
      <c r="K35" s="142" t="s">
        <v>4171</v>
      </c>
      <c r="L35" s="148"/>
      <c r="M35" s="2545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6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8" t="s">
        <v>4491</v>
      </c>
      <c r="J36" s="1423" t="s">
        <v>4271</v>
      </c>
      <c r="K36" s="142" t="s">
        <v>4171</v>
      </c>
      <c r="L36" s="156"/>
      <c r="M36" s="156"/>
      <c r="N36" s="2546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6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8" t="s">
        <v>4495</v>
      </c>
      <c r="J37" s="1426" t="s">
        <v>4276</v>
      </c>
      <c r="K37" s="142" t="s">
        <v>4171</v>
      </c>
      <c r="L37" s="2546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5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8" t="s">
        <v>4500</v>
      </c>
      <c r="J38" s="1426" t="s">
        <v>4280</v>
      </c>
      <c r="K38" s="142" t="s">
        <v>4171</v>
      </c>
      <c r="L38" s="148"/>
      <c r="M38" s="2545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6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8" t="s">
        <v>4504</v>
      </c>
      <c r="J39" s="1423" t="s">
        <v>4284</v>
      </c>
      <c r="K39" s="142" t="s">
        <v>4171</v>
      </c>
      <c r="L39" s="156"/>
      <c r="M39" s="156"/>
      <c r="N39" s="2546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6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8" t="s">
        <v>4348</v>
      </c>
      <c r="J40" s="1423" t="s">
        <v>4416</v>
      </c>
      <c r="K40" s="142" t="s">
        <v>4171</v>
      </c>
      <c r="L40" s="2546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5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8" t="s">
        <v>4351</v>
      </c>
      <c r="J41" s="1423" t="s">
        <v>4419</v>
      </c>
      <c r="K41" s="142" t="s">
        <v>4171</v>
      </c>
      <c r="L41" s="148"/>
      <c r="M41" s="2545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6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8" t="s">
        <v>4355</v>
      </c>
      <c r="J42" s="1423" t="s">
        <v>4421</v>
      </c>
      <c r="K42" s="142" t="s">
        <v>4171</v>
      </c>
      <c r="L42" s="156"/>
      <c r="M42" s="156"/>
      <c r="N42" s="2546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6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8" t="s">
        <v>4358</v>
      </c>
      <c r="J43" s="1423" t="s">
        <v>4423</v>
      </c>
      <c r="K43" s="142" t="s">
        <v>4171</v>
      </c>
      <c r="L43" s="2546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5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8" t="s">
        <v>4360</v>
      </c>
      <c r="J44" s="1423" t="s">
        <v>4425</v>
      </c>
      <c r="K44" s="142" t="s">
        <v>4171</v>
      </c>
      <c r="L44" s="148"/>
      <c r="M44" s="2545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6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8" t="s">
        <v>4364</v>
      </c>
      <c r="J45" s="1423" t="s">
        <v>4427</v>
      </c>
      <c r="K45" s="142" t="s">
        <v>4171</v>
      </c>
      <c r="L45" s="156"/>
      <c r="M45" s="156"/>
      <c r="N45" s="2546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9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31" t="s">
        <v>4369</v>
      </c>
      <c r="J46" s="1427" t="s">
        <v>4430</v>
      </c>
      <c r="K46" s="165" t="s">
        <v>4171</v>
      </c>
      <c r="L46" s="2549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818" t="s">
        <v>4603</v>
      </c>
      <c r="D49" s="3818"/>
      <c r="E49" s="3818"/>
      <c r="F49" s="172"/>
      <c r="G49" s="172"/>
      <c r="H49" s="132"/>
      <c r="I49" s="3823" t="s">
        <v>4288</v>
      </c>
      <c r="J49" s="382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4136</v>
      </c>
      <c r="L50" s="1342">
        <v>0</v>
      </c>
      <c r="M50" s="1343">
        <v>0</v>
      </c>
      <c r="N50" s="1344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4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32" t="s">
        <v>4206</v>
      </c>
      <c r="J52" s="282" t="s">
        <v>4152</v>
      </c>
      <c r="K52" s="141" t="s">
        <v>4171</v>
      </c>
      <c r="L52" s="143"/>
      <c r="M52" s="2544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5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8" t="s">
        <v>4211</v>
      </c>
      <c r="J53" s="283" t="s">
        <v>4157</v>
      </c>
      <c r="K53" s="142" t="s">
        <v>4171</v>
      </c>
      <c r="L53" s="148"/>
      <c r="M53" s="148"/>
      <c r="N53" s="2545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6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8" t="s">
        <v>4214</v>
      </c>
      <c r="J54" s="1422" t="s">
        <v>4162</v>
      </c>
      <c r="K54" s="142" t="s">
        <v>4171</v>
      </c>
      <c r="L54" s="2546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6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8" t="s">
        <v>4218</v>
      </c>
      <c r="J55" s="1422" t="s">
        <v>4167</v>
      </c>
      <c r="K55" s="142" t="s">
        <v>4171</v>
      </c>
      <c r="L55" s="156"/>
      <c r="M55" s="2546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6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8" t="s">
        <v>4221</v>
      </c>
      <c r="J56" s="1422" t="s">
        <v>4170</v>
      </c>
      <c r="K56" s="142" t="s">
        <v>4171</v>
      </c>
      <c r="L56" s="156"/>
      <c r="M56" s="156"/>
      <c r="N56" s="2546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6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8" t="s">
        <v>4226</v>
      </c>
      <c r="J57" s="1422" t="s">
        <v>4173</v>
      </c>
      <c r="K57" s="142" t="s">
        <v>4171</v>
      </c>
      <c r="L57" s="2546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5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8" t="s">
        <v>4230</v>
      </c>
      <c r="J58" s="1422" t="s">
        <v>4175</v>
      </c>
      <c r="K58" s="142" t="s">
        <v>4171</v>
      </c>
      <c r="L58" s="148"/>
      <c r="M58" s="2545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6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8" t="s">
        <v>4234</v>
      </c>
      <c r="J59" s="1422" t="s">
        <v>4177</v>
      </c>
      <c r="K59" s="142" t="s">
        <v>4171</v>
      </c>
      <c r="L59" s="156"/>
      <c r="M59" s="156"/>
      <c r="N59" s="2546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6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8" t="s">
        <v>4238</v>
      </c>
      <c r="J60" s="1422" t="s">
        <v>4179</v>
      </c>
      <c r="K60" s="142" t="s">
        <v>4171</v>
      </c>
      <c r="L60" s="2546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5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8" t="s">
        <v>4243</v>
      </c>
      <c r="J61" s="154" t="s">
        <v>4183</v>
      </c>
      <c r="K61" s="142" t="s">
        <v>4171</v>
      </c>
      <c r="L61" s="148"/>
      <c r="M61" s="2545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6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8" t="s">
        <v>4247</v>
      </c>
      <c r="J62" s="1423" t="s">
        <v>4187</v>
      </c>
      <c r="K62" s="142" t="s">
        <v>4171</v>
      </c>
      <c r="L62" s="156"/>
      <c r="M62" s="156"/>
      <c r="N62" s="2546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6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8" t="s">
        <v>4251</v>
      </c>
      <c r="J63" s="1423" t="s">
        <v>4253</v>
      </c>
      <c r="K63" s="142" t="s">
        <v>4171</v>
      </c>
      <c r="L63" s="2546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5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8" t="s">
        <v>4256</v>
      </c>
      <c r="J64" s="1423" t="s">
        <v>4258</v>
      </c>
      <c r="K64" s="142" t="s">
        <v>4171</v>
      </c>
      <c r="L64" s="148"/>
      <c r="M64" s="2545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5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9" t="s">
        <v>4261</v>
      </c>
      <c r="J65" s="1424" t="s">
        <v>4262</v>
      </c>
      <c r="K65" s="175" t="s">
        <v>4171</v>
      </c>
      <c r="L65" s="159"/>
      <c r="M65" s="159"/>
      <c r="N65" s="2555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7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30" t="s">
        <v>4264</v>
      </c>
      <c r="J66" s="1425" t="s">
        <v>4265</v>
      </c>
      <c r="K66" s="155" t="s">
        <v>4171</v>
      </c>
      <c r="L66" s="2557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5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8" t="s">
        <v>4266</v>
      </c>
      <c r="J67" s="1423" t="s">
        <v>4267</v>
      </c>
      <c r="K67" s="142" t="s">
        <v>4171</v>
      </c>
      <c r="L67" s="148"/>
      <c r="M67" s="2545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6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8" t="s">
        <v>4270</v>
      </c>
      <c r="J68" s="1423" t="s">
        <v>4271</v>
      </c>
      <c r="K68" s="142" t="s">
        <v>4171</v>
      </c>
      <c r="L68" s="156"/>
      <c r="M68" s="156"/>
      <c r="N68" s="2546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6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8" t="s">
        <v>4274</v>
      </c>
      <c r="J69" s="1426" t="s">
        <v>4276</v>
      </c>
      <c r="K69" s="142" t="s">
        <v>4171</v>
      </c>
      <c r="L69" s="2546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5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8" t="s">
        <v>4279</v>
      </c>
      <c r="J70" s="1426" t="s">
        <v>4280</v>
      </c>
      <c r="K70" s="142" t="s">
        <v>4171</v>
      </c>
      <c r="L70" s="148"/>
      <c r="M70" s="2545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6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8" t="s">
        <v>4283</v>
      </c>
      <c r="J71" s="1423" t="s">
        <v>4284</v>
      </c>
      <c r="K71" s="142" t="s">
        <v>4171</v>
      </c>
      <c r="L71" s="156"/>
      <c r="M71" s="156"/>
      <c r="N71" s="2546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6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8" t="s">
        <v>4628</v>
      </c>
      <c r="J72" s="1423" t="s">
        <v>4416</v>
      </c>
      <c r="K72" s="142" t="s">
        <v>4171</v>
      </c>
      <c r="L72" s="2546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5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8" t="s">
        <v>4418</v>
      </c>
      <c r="J73" s="1423" t="s">
        <v>4419</v>
      </c>
      <c r="K73" s="142" t="s">
        <v>4171</v>
      </c>
      <c r="L73" s="148"/>
      <c r="M73" s="2545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6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8" t="s">
        <v>4420</v>
      </c>
      <c r="J74" s="1423" t="s">
        <v>4421</v>
      </c>
      <c r="K74" s="142" t="s">
        <v>4171</v>
      </c>
      <c r="L74" s="156"/>
      <c r="M74" s="156"/>
      <c r="N74" s="2546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6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8" t="s">
        <v>4422</v>
      </c>
      <c r="J75" s="1423" t="s">
        <v>4423</v>
      </c>
      <c r="K75" s="142" t="s">
        <v>4171</v>
      </c>
      <c r="L75" s="2546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5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8" t="s">
        <v>4424</v>
      </c>
      <c r="J76" s="1423" t="s">
        <v>4425</v>
      </c>
      <c r="K76" s="142" t="s">
        <v>4171</v>
      </c>
      <c r="L76" s="148"/>
      <c r="M76" s="2545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6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8" t="s">
        <v>4426</v>
      </c>
      <c r="J77" s="1423" t="s">
        <v>4427</v>
      </c>
      <c r="K77" s="142" t="s">
        <v>4171</v>
      </c>
      <c r="L77" s="156"/>
      <c r="M77" s="156"/>
      <c r="N77" s="2546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9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31" t="s">
        <v>4429</v>
      </c>
      <c r="J78" s="1427" t="s">
        <v>4430</v>
      </c>
      <c r="K78" s="165" t="s">
        <v>4171</v>
      </c>
      <c r="L78" s="2549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818" t="s">
        <v>4635</v>
      </c>
      <c r="D81" s="3818"/>
      <c r="E81" s="3818"/>
      <c r="F81" s="172"/>
      <c r="G81" s="172"/>
      <c r="H81" s="132"/>
      <c r="I81" s="3823" t="s">
        <v>4636</v>
      </c>
      <c r="J81" s="382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4136</v>
      </c>
      <c r="L82" s="1342">
        <v>0</v>
      </c>
      <c r="M82" s="1343">
        <v>0</v>
      </c>
      <c r="N82" s="1344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4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4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5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5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6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6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6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6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6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6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6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6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6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6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6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6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51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51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8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3" t="s">
        <v>4243</v>
      </c>
      <c r="J93" s="296" t="s">
        <v>4183</v>
      </c>
      <c r="K93" s="155" t="s">
        <v>4171</v>
      </c>
      <c r="L93" s="2548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6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4" t="s">
        <v>4247</v>
      </c>
      <c r="J94" s="292" t="s">
        <v>4187</v>
      </c>
      <c r="K94" s="142" t="s">
        <v>4171</v>
      </c>
      <c r="L94" s="156"/>
      <c r="M94" s="2546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6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4" t="s">
        <v>4251</v>
      </c>
      <c r="J95" s="292" t="s">
        <v>4253</v>
      </c>
      <c r="K95" s="142" t="s">
        <v>4171</v>
      </c>
      <c r="L95" s="156"/>
      <c r="M95" s="156"/>
      <c r="N95" s="2546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6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4" t="s">
        <v>4256</v>
      </c>
      <c r="J96" s="292" t="s">
        <v>4258</v>
      </c>
      <c r="K96" s="142" t="s">
        <v>4171</v>
      </c>
      <c r="L96" s="2546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6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4" t="s">
        <v>4261</v>
      </c>
      <c r="J97" s="292" t="s">
        <v>4262</v>
      </c>
      <c r="K97" s="142" t="s">
        <v>4171</v>
      </c>
      <c r="L97" s="156"/>
      <c r="M97" s="2546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6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4" t="s">
        <v>4264</v>
      </c>
      <c r="J98" s="292" t="s">
        <v>4265</v>
      </c>
      <c r="K98" s="142" t="s">
        <v>4171</v>
      </c>
      <c r="L98" s="156"/>
      <c r="M98" s="156"/>
      <c r="N98" s="2546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6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6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6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4" t="s">
        <v>4270</v>
      </c>
      <c r="J100" s="292" t="s">
        <v>4271</v>
      </c>
      <c r="K100" s="142" t="s">
        <v>4171</v>
      </c>
      <c r="L100" s="156"/>
      <c r="M100" s="2546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6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8" t="s">
        <v>4274</v>
      </c>
      <c r="J101" s="292" t="s">
        <v>4276</v>
      </c>
      <c r="K101" s="142" t="s">
        <v>4171</v>
      </c>
      <c r="L101" s="156"/>
      <c r="M101" s="156"/>
      <c r="N101" s="2546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6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8" t="s">
        <v>4279</v>
      </c>
      <c r="J102" s="1426" t="s">
        <v>4280</v>
      </c>
      <c r="K102" s="142" t="s">
        <v>4171</v>
      </c>
      <c r="L102" s="2546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6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4" t="s">
        <v>4283</v>
      </c>
      <c r="J103" s="1426" t="s">
        <v>4284</v>
      </c>
      <c r="K103" s="142" t="s">
        <v>4171</v>
      </c>
      <c r="L103" s="156"/>
      <c r="M103" s="2546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6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8" t="s">
        <v>4628</v>
      </c>
      <c r="J104" s="1426" t="s">
        <v>4416</v>
      </c>
      <c r="K104" s="142" t="s">
        <v>4171</v>
      </c>
      <c r="L104" s="156"/>
      <c r="M104" s="156"/>
      <c r="N104" s="2546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6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8" t="s">
        <v>4418</v>
      </c>
      <c r="J105" s="1426" t="s">
        <v>4419</v>
      </c>
      <c r="K105" s="142" t="s">
        <v>4171</v>
      </c>
      <c r="L105" s="2546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6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8" t="s">
        <v>4420</v>
      </c>
      <c r="J106" s="1426" t="s">
        <v>4421</v>
      </c>
      <c r="K106" s="142" t="s">
        <v>4171</v>
      </c>
      <c r="L106" s="156"/>
      <c r="M106" s="2546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6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4" t="s">
        <v>4422</v>
      </c>
      <c r="J107" s="1426" t="s">
        <v>4423</v>
      </c>
      <c r="K107" s="142" t="s">
        <v>4171</v>
      </c>
      <c r="L107" s="156"/>
      <c r="M107" s="156"/>
      <c r="N107" s="2546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9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5" t="s">
        <v>4424</v>
      </c>
      <c r="J108" s="1436" t="s">
        <v>4425</v>
      </c>
      <c r="K108" s="165" t="s">
        <v>4171</v>
      </c>
      <c r="L108" s="2549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818" t="s">
        <v>4687</v>
      </c>
      <c r="D111" s="3818"/>
      <c r="E111" s="3818"/>
      <c r="F111" s="172"/>
      <c r="G111" s="172"/>
      <c r="H111" s="132"/>
      <c r="I111" s="3823" t="s">
        <v>4636</v>
      </c>
      <c r="J111" s="382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4136</v>
      </c>
      <c r="L112" s="1342">
        <v>0</v>
      </c>
      <c r="M112" s="1343">
        <v>0</v>
      </c>
      <c r="N112" s="1344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4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4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5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5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6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6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6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6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6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6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6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6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6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6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6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6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51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51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8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3" t="s">
        <v>4243</v>
      </c>
      <c r="J123" s="296" t="s">
        <v>4183</v>
      </c>
      <c r="K123" s="155" t="s">
        <v>4171</v>
      </c>
      <c r="L123" s="2548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6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6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6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4" t="s">
        <v>4251</v>
      </c>
      <c r="J125" s="1426" t="s">
        <v>4253</v>
      </c>
      <c r="K125" s="142" t="s">
        <v>4171</v>
      </c>
      <c r="L125" s="156"/>
      <c r="M125" s="156"/>
      <c r="N125" s="2546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6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4" t="s">
        <v>4256</v>
      </c>
      <c r="J126" s="292" t="s">
        <v>4258</v>
      </c>
      <c r="K126" s="142" t="s">
        <v>4171</v>
      </c>
      <c r="L126" s="2546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6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4" t="s">
        <v>4261</v>
      </c>
      <c r="J127" s="292" t="s">
        <v>4262</v>
      </c>
      <c r="K127" s="142" t="s">
        <v>4171</v>
      </c>
      <c r="L127" s="156"/>
      <c r="M127" s="2546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6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4" t="s">
        <v>4264</v>
      </c>
      <c r="J128" s="292" t="s">
        <v>4265</v>
      </c>
      <c r="K128" s="142" t="s">
        <v>4171</v>
      </c>
      <c r="L128" s="156"/>
      <c r="M128" s="156"/>
      <c r="N128" s="2546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6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4" t="s">
        <v>4266</v>
      </c>
      <c r="J129" s="292" t="s">
        <v>4267</v>
      </c>
      <c r="K129" s="142" t="s">
        <v>4171</v>
      </c>
      <c r="L129" s="2546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6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4" t="s">
        <v>4270</v>
      </c>
      <c r="J130" s="292" t="s">
        <v>4271</v>
      </c>
      <c r="K130" s="142" t="s">
        <v>4171</v>
      </c>
      <c r="L130" s="156"/>
      <c r="M130" s="2546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6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8" t="s">
        <v>4274</v>
      </c>
      <c r="J131" s="292" t="s">
        <v>4276</v>
      </c>
      <c r="K131" s="142" t="s">
        <v>4171</v>
      </c>
      <c r="L131" s="156"/>
      <c r="M131" s="156"/>
      <c r="N131" s="2546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6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8" t="s">
        <v>4279</v>
      </c>
      <c r="J132" s="1426" t="s">
        <v>4280</v>
      </c>
      <c r="K132" s="142" t="s">
        <v>4171</v>
      </c>
      <c r="L132" s="2546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6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4" t="s">
        <v>4283</v>
      </c>
      <c r="J133" s="1426" t="s">
        <v>4284</v>
      </c>
      <c r="K133" s="142" t="s">
        <v>4171</v>
      </c>
      <c r="L133" s="156"/>
      <c r="M133" s="2546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6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8" t="s">
        <v>4628</v>
      </c>
      <c r="J134" s="1426" t="s">
        <v>4416</v>
      </c>
      <c r="K134" s="142" t="s">
        <v>4171</v>
      </c>
      <c r="L134" s="156"/>
      <c r="M134" s="156"/>
      <c r="N134" s="2546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6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8" t="s">
        <v>4418</v>
      </c>
      <c r="J135" s="1426" t="s">
        <v>4419</v>
      </c>
      <c r="K135" s="142" t="s">
        <v>4171</v>
      </c>
      <c r="L135" s="2546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6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8" t="s">
        <v>4420</v>
      </c>
      <c r="J136" s="1426" t="s">
        <v>4421</v>
      </c>
      <c r="K136" s="142" t="s">
        <v>4171</v>
      </c>
      <c r="L136" s="156"/>
      <c r="M136" s="2546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6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4" t="s">
        <v>4422</v>
      </c>
      <c r="J137" s="292" t="s">
        <v>4423</v>
      </c>
      <c r="K137" s="142" t="s">
        <v>4171</v>
      </c>
      <c r="L137" s="156"/>
      <c r="M137" s="156"/>
      <c r="N137" s="2546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9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5" t="s">
        <v>4424</v>
      </c>
      <c r="J138" s="1436" t="s">
        <v>4425</v>
      </c>
      <c r="K138" s="165" t="s">
        <v>4171</v>
      </c>
      <c r="L138" s="2549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818" t="s">
        <v>4736</v>
      </c>
      <c r="D141" s="3818"/>
      <c r="E141" s="3818"/>
      <c r="F141" s="172"/>
      <c r="G141" s="172"/>
      <c r="H141" s="132"/>
      <c r="I141" s="3823" t="s">
        <v>4636</v>
      </c>
      <c r="J141" s="382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4136</v>
      </c>
      <c r="L142" s="1342">
        <v>5.0999999999999996</v>
      </c>
      <c r="M142" s="1343">
        <v>0</v>
      </c>
      <c r="N142" s="1344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4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2" t="s">
        <v>4206</v>
      </c>
      <c r="J144" s="290" t="s">
        <v>4152</v>
      </c>
      <c r="K144" s="141" t="s">
        <v>4171</v>
      </c>
      <c r="L144" s="2544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5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5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6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6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6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6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6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6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6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6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6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6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6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6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51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51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8" cm="1">
        <f t="array" ref="D153">INDEX('6층_부하량'!I3:I3000,MATCH(1,("6-DaHall 1-PDU-11"='6층_부하량'!A3:A3000)*(19='6층_부하량'!B3:B3000),0))</f>
        <v>5.3136812767290955</v>
      </c>
      <c r="E153" s="178"/>
      <c r="F153" s="178"/>
      <c r="G153" s="162"/>
      <c r="H153" s="141" t="s">
        <v>4171</v>
      </c>
      <c r="I153" s="1433" t="s">
        <v>4243</v>
      </c>
      <c r="J153" s="1437" t="s">
        <v>4183</v>
      </c>
      <c r="K153" s="141" t="s">
        <v>4171</v>
      </c>
      <c r="L153" s="2548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9" t="s">
        <v>4756</v>
      </c>
      <c r="B154" s="155" t="s">
        <v>4208</v>
      </c>
      <c r="C154" s="188" t="s">
        <v>4149</v>
      </c>
      <c r="D154" s="156"/>
      <c r="E154" s="2546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4" t="s">
        <v>4247</v>
      </c>
      <c r="J154" s="1426" t="s">
        <v>4187</v>
      </c>
      <c r="K154" s="155" t="s">
        <v>4171</v>
      </c>
      <c r="L154" s="156"/>
      <c r="M154" s="2546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6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6" t="s">
        <v>4253</v>
      </c>
      <c r="K155" s="142" t="s">
        <v>4171</v>
      </c>
      <c r="L155" s="156"/>
      <c r="M155" s="156"/>
      <c r="N155" s="2546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6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6" t="s">
        <v>4258</v>
      </c>
      <c r="K156" s="142" t="s">
        <v>4171</v>
      </c>
      <c r="L156" s="2546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6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6" t="s">
        <v>4262</v>
      </c>
      <c r="K157" s="142" t="s">
        <v>4171</v>
      </c>
      <c r="L157" s="156"/>
      <c r="M157" s="2546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6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6" t="s">
        <v>4265</v>
      </c>
      <c r="K158" s="142" t="s">
        <v>4171</v>
      </c>
      <c r="L158" s="156"/>
      <c r="M158" s="156"/>
      <c r="N158" s="2546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6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6" t="s">
        <v>4267</v>
      </c>
      <c r="K159" s="142" t="s">
        <v>4171</v>
      </c>
      <c r="L159" s="2546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6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6" t="s">
        <v>4271</v>
      </c>
      <c r="K160" s="142" t="s">
        <v>4171</v>
      </c>
      <c r="L160" s="156"/>
      <c r="M160" s="2546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6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8" t="s">
        <v>4274</v>
      </c>
      <c r="J161" s="1426" t="s">
        <v>4276</v>
      </c>
      <c r="K161" s="142" t="s">
        <v>4171</v>
      </c>
      <c r="L161" s="156"/>
      <c r="M161" s="156"/>
      <c r="N161" s="2546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6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8" t="s">
        <v>4279</v>
      </c>
      <c r="J162" s="1426" t="s">
        <v>4280</v>
      </c>
      <c r="K162" s="142" t="s">
        <v>4171</v>
      </c>
      <c r="L162" s="2546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6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4" t="s">
        <v>4283</v>
      </c>
      <c r="J163" s="1426" t="s">
        <v>4284</v>
      </c>
      <c r="K163" s="142" t="s">
        <v>4171</v>
      </c>
      <c r="L163" s="156"/>
      <c r="M163" s="2546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6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8" t="s">
        <v>4628</v>
      </c>
      <c r="J164" s="1426" t="s">
        <v>4416</v>
      </c>
      <c r="K164" s="142" t="s">
        <v>4171</v>
      </c>
      <c r="L164" s="156"/>
      <c r="M164" s="156"/>
      <c r="N164" s="2546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6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8" t="s">
        <v>4418</v>
      </c>
      <c r="J165" s="1426" t="s">
        <v>4419</v>
      </c>
      <c r="K165" s="142" t="s">
        <v>4171</v>
      </c>
      <c r="L165" s="2546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6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8" t="s">
        <v>4420</v>
      </c>
      <c r="J166" s="1426" t="s">
        <v>4421</v>
      </c>
      <c r="K166" s="142" t="s">
        <v>4171</v>
      </c>
      <c r="L166" s="156"/>
      <c r="M166" s="2546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1000" t="s">
        <v>4781</v>
      </c>
      <c r="B167" s="142" t="s">
        <v>4208</v>
      </c>
      <c r="C167" s="163" t="s">
        <v>4149</v>
      </c>
      <c r="D167" s="156"/>
      <c r="E167" s="156"/>
      <c r="F167" s="2546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6" t="s">
        <v>4423</v>
      </c>
      <c r="K167" s="142" t="s">
        <v>4171</v>
      </c>
      <c r="L167" s="156"/>
      <c r="M167" s="156"/>
      <c r="N167" s="2546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1" t="s">
        <v>4782</v>
      </c>
      <c r="B168" s="165" t="s">
        <v>4208</v>
      </c>
      <c r="C168" s="183" t="s">
        <v>4149</v>
      </c>
      <c r="D168" s="2549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6" t="s">
        <v>4425</v>
      </c>
      <c r="K168" s="165" t="s">
        <v>4171</v>
      </c>
      <c r="L168" s="2549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5.3136812767290955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818" t="s">
        <v>4783</v>
      </c>
      <c r="D170" s="3818"/>
      <c r="E170" s="3818"/>
      <c r="F170" s="172"/>
      <c r="G170" s="172"/>
      <c r="H170" s="132"/>
      <c r="I170" s="3823" t="s">
        <v>4636</v>
      </c>
      <c r="J170" s="382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4136</v>
      </c>
      <c r="L171" s="1342">
        <v>5.0999999999999996</v>
      </c>
      <c r="M171" s="1343">
        <v>0</v>
      </c>
      <c r="N171" s="1344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4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2" t="s">
        <v>4206</v>
      </c>
      <c r="J173" s="290" t="s">
        <v>4152</v>
      </c>
      <c r="K173" s="141" t="s">
        <v>4171</v>
      </c>
      <c r="L173" s="2544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5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5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6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6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6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6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6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6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6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6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6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8" t="s">
        <v>4230</v>
      </c>
      <c r="J179" s="1426" t="s">
        <v>4175</v>
      </c>
      <c r="K179" s="142" t="s">
        <v>4171</v>
      </c>
      <c r="L179" s="2546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6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6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51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51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8" cm="1">
        <f t="array" ref="D182">INDEX('6층_부하량'!I3:I3000,MATCH(1,("6-DaHall 1-PDU-12"='6층_부하량'!A3:A3000)*(19='6층_부하량'!B3:B3000),0))</f>
        <v>5.305453248569922</v>
      </c>
      <c r="E182" s="178"/>
      <c r="F182" s="178"/>
      <c r="G182" s="162"/>
      <c r="H182" s="141" t="s">
        <v>4171</v>
      </c>
      <c r="I182" s="295" t="s">
        <v>4243</v>
      </c>
      <c r="J182" s="1437" t="s">
        <v>4183</v>
      </c>
      <c r="K182" s="141" t="s">
        <v>4171</v>
      </c>
      <c r="L182" s="2548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9" t="s">
        <v>4803</v>
      </c>
      <c r="B183" s="155" t="s">
        <v>4208</v>
      </c>
      <c r="C183" s="188" t="s">
        <v>4149</v>
      </c>
      <c r="D183" s="156"/>
      <c r="E183" s="2546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4" t="s">
        <v>4247</v>
      </c>
      <c r="J183" s="1426" t="s">
        <v>4187</v>
      </c>
      <c r="K183" s="155" t="s">
        <v>4171</v>
      </c>
      <c r="L183" s="156"/>
      <c r="M183" s="2546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6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6" t="s">
        <v>4253</v>
      </c>
      <c r="K184" s="142" t="s">
        <v>4171</v>
      </c>
      <c r="L184" s="156"/>
      <c r="M184" s="156"/>
      <c r="N184" s="2546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6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6" t="s">
        <v>4258</v>
      </c>
      <c r="K185" s="142" t="s">
        <v>4171</v>
      </c>
      <c r="L185" s="2546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6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6" t="s">
        <v>4262</v>
      </c>
      <c r="K186" s="142" t="s">
        <v>4171</v>
      </c>
      <c r="L186" s="156"/>
      <c r="M186" s="2546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6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6" t="s">
        <v>4265</v>
      </c>
      <c r="K187" s="142" t="s">
        <v>4171</v>
      </c>
      <c r="L187" s="156"/>
      <c r="M187" s="156"/>
      <c r="N187" s="2546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6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6" t="s">
        <v>4267</v>
      </c>
      <c r="K188" s="142" t="s">
        <v>4171</v>
      </c>
      <c r="L188" s="2546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6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6" t="s">
        <v>4271</v>
      </c>
      <c r="K189" s="142" t="s">
        <v>4171</v>
      </c>
      <c r="L189" s="156"/>
      <c r="M189" s="2546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6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8" t="s">
        <v>4274</v>
      </c>
      <c r="J190" s="1426" t="s">
        <v>4276</v>
      </c>
      <c r="K190" s="142" t="s">
        <v>4171</v>
      </c>
      <c r="L190" s="156"/>
      <c r="M190" s="156"/>
      <c r="N190" s="2546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6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8" t="s">
        <v>4279</v>
      </c>
      <c r="J191" s="1426" t="s">
        <v>4280</v>
      </c>
      <c r="K191" s="142" t="s">
        <v>4171</v>
      </c>
      <c r="L191" s="2546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6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4" t="s">
        <v>4283</v>
      </c>
      <c r="J192" s="1426" t="s">
        <v>4284</v>
      </c>
      <c r="K192" s="142" t="s">
        <v>4171</v>
      </c>
      <c r="L192" s="156"/>
      <c r="M192" s="2546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6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8" t="s">
        <v>4628</v>
      </c>
      <c r="J193" s="1426" t="s">
        <v>4416</v>
      </c>
      <c r="K193" s="142" t="s">
        <v>4171</v>
      </c>
      <c r="L193" s="156"/>
      <c r="M193" s="156"/>
      <c r="N193" s="2546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6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8" t="s">
        <v>4418</v>
      </c>
      <c r="J194" s="292" t="s">
        <v>4419</v>
      </c>
      <c r="K194" s="142" t="s">
        <v>4171</v>
      </c>
      <c r="L194" s="2546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6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8" t="s">
        <v>4420</v>
      </c>
      <c r="J195" s="1426" t="s">
        <v>4421</v>
      </c>
      <c r="K195" s="142" t="s">
        <v>4171</v>
      </c>
      <c r="L195" s="156"/>
      <c r="M195" s="2546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1000" t="s">
        <v>4781</v>
      </c>
      <c r="B196" s="142" t="s">
        <v>4208</v>
      </c>
      <c r="C196" s="163" t="s">
        <v>4149</v>
      </c>
      <c r="D196" s="156"/>
      <c r="E196" s="156"/>
      <c r="F196" s="2546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6" t="s">
        <v>4423</v>
      </c>
      <c r="K196" s="142" t="s">
        <v>4171</v>
      </c>
      <c r="L196" s="156"/>
      <c r="M196" s="156"/>
      <c r="N196" s="2546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1" t="s">
        <v>4782</v>
      </c>
      <c r="B197" s="165" t="s">
        <v>4208</v>
      </c>
      <c r="C197" s="183" t="s">
        <v>4149</v>
      </c>
      <c r="D197" s="2549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6" t="s">
        <v>4425</v>
      </c>
      <c r="K197" s="165" t="s">
        <v>4171</v>
      </c>
      <c r="L197" s="2549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5.305453248569922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818" t="s">
        <v>4830</v>
      </c>
      <c r="D199" s="3818"/>
      <c r="E199" s="3818"/>
      <c r="F199" s="172"/>
      <c r="G199" s="172"/>
      <c r="H199" s="132"/>
      <c r="I199" s="3823" t="s">
        <v>4636</v>
      </c>
      <c r="J199" s="382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4136</v>
      </c>
      <c r="L200" s="1342">
        <v>21.6</v>
      </c>
      <c r="M200" s="1343">
        <v>21.2</v>
      </c>
      <c r="N200" s="1344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4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2" t="s">
        <v>4206</v>
      </c>
      <c r="J202" s="1439" t="s">
        <v>4152</v>
      </c>
      <c r="K202" s="141" t="s">
        <v>4171</v>
      </c>
      <c r="L202" s="2544" cm="1">
        <f t="array" ref="L202">INDEX('6층_부하량'!I3:I3000,MATCH(1,("6-DaHall 1-PDU-01"='6층_부하량'!A3:A3000)*(2='6층_부하량'!B3:B3000),0))</f>
        <v>1.9684241641657396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5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8" t="s">
        <v>4211</v>
      </c>
      <c r="J203" s="1426" t="s">
        <v>4157</v>
      </c>
      <c r="K203" s="142" t="s">
        <v>4171</v>
      </c>
      <c r="L203" s="148"/>
      <c r="M203" s="2545" cm="1">
        <f t="array" ref="M203">INDEX('6층_부하량'!J3:J3000,MATCH(1,("6-DaHall 1-PDU-01"='6층_부하량'!A3:A3000)*(4='6층_부하량'!B3:B3000),0))</f>
        <v>3.0652937378992968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6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8" t="s">
        <v>4214</v>
      </c>
      <c r="J204" s="1426" t="s">
        <v>4162</v>
      </c>
      <c r="K204" s="142" t="s">
        <v>4171</v>
      </c>
      <c r="L204" s="156"/>
      <c r="M204" s="156"/>
      <c r="N204" s="2546" cm="1">
        <f t="array" ref="N204">INDEX('6층_부하량'!K3:K3000,MATCH(1,("6-DaHall 1-PDU-01"='6층_부하량'!A3:A3000)*(6='6층_부하량'!B3:B3000),0))</f>
        <v>2.9963156830366455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1" t="s">
        <v>4837</v>
      </c>
      <c r="B205" s="142" t="s">
        <v>4208</v>
      </c>
      <c r="C205" s="1148" t="s">
        <v>4149</v>
      </c>
      <c r="D205" s="2546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8" t="s">
        <v>4218</v>
      </c>
      <c r="J205" s="1426" t="s">
        <v>4167</v>
      </c>
      <c r="K205" s="142" t="s">
        <v>4171</v>
      </c>
      <c r="L205" s="2546" cm="1">
        <f t="array" ref="L205">INDEX('6층_부하량'!I3:I3000,MATCH(1,("6-DaHall 1-PDU-01"='6층_부하량'!A3:A3000)*(8='6층_부하량'!B3:B3000),0))</f>
        <v>4.8501715193602069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2" t="s">
        <v>4839</v>
      </c>
      <c r="B206" s="142" t="s">
        <v>4208</v>
      </c>
      <c r="C206" s="1148" t="s">
        <v>4149</v>
      </c>
      <c r="D206" s="156"/>
      <c r="E206" s="2546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8" t="s">
        <v>4221</v>
      </c>
      <c r="J206" s="1426" t="s">
        <v>4170</v>
      </c>
      <c r="K206" s="142" t="s">
        <v>4171</v>
      </c>
      <c r="L206" s="156"/>
      <c r="M206" s="2546" cm="1">
        <f t="array" ref="M206">INDEX('6층_부하량'!J3:J3000,MATCH(1,("6-DaHall 1-PDU-01"='6층_부하량'!A3:A3000)*(10='6층_부하량'!B3:B3000),0))</f>
        <v>7.8670533374070706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1" t="s">
        <v>4841</v>
      </c>
      <c r="B207" s="142" t="s">
        <v>4208</v>
      </c>
      <c r="C207" s="1148" t="s">
        <v>4149</v>
      </c>
      <c r="D207" s="156"/>
      <c r="E207" s="156"/>
      <c r="F207" s="2546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8" t="s">
        <v>4226</v>
      </c>
      <c r="J207" s="1426" t="s">
        <v>4173</v>
      </c>
      <c r="K207" s="142" t="s">
        <v>4171</v>
      </c>
      <c r="L207" s="156"/>
      <c r="M207" s="156"/>
      <c r="N207" s="2546" cm="1">
        <f t="array" ref="N207">INDEX('6층_부하량'!K3:K3000,MATCH(1,("6-DaHall 1-PDU-01"='6층_부하량'!A3:A3000)*(12='6층_부하량'!B3:B3000),0))</f>
        <v>7.3902725353726035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2" t="s">
        <v>4843</v>
      </c>
      <c r="B208" s="142" t="s">
        <v>4208</v>
      </c>
      <c r="C208" s="1148" t="s">
        <v>4149</v>
      </c>
      <c r="D208" s="2546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8" t="s">
        <v>4230</v>
      </c>
      <c r="J208" s="1426" t="s">
        <v>4175</v>
      </c>
      <c r="K208" s="142" t="s">
        <v>4171</v>
      </c>
      <c r="L208" s="2546" cm="1">
        <f t="array" ref="L208">INDEX('6층_부하량'!I3:I3000,MATCH(1,("6-DaHall 1-PDU-01"='6층_부하량'!A3:A3000)*(14='6층_부하량'!B3:B3000),0))</f>
        <v>5.3587230623337989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1" t="s">
        <v>4845</v>
      </c>
      <c r="B209" s="142" t="s">
        <v>4208</v>
      </c>
      <c r="C209" s="1148" t="s">
        <v>4149</v>
      </c>
      <c r="D209" s="156"/>
      <c r="E209" s="2546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8" t="s">
        <v>4234</v>
      </c>
      <c r="J209" s="1426" t="s">
        <v>4177</v>
      </c>
      <c r="K209" s="142" t="s">
        <v>4171</v>
      </c>
      <c r="L209" s="156"/>
      <c r="M209" s="2546" cm="1">
        <f t="array" ref="M209">INDEX('6층_부하량'!J3:J3000,MATCH(1,("6-DaHall 1-PDU-01"='6층_부하량'!A3:A3000)*(16='6층_부하량'!B3:B3000),0))</f>
        <v>4.9050937105733414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3" t="s">
        <v>4847</v>
      </c>
      <c r="B210" s="158" t="s">
        <v>4208</v>
      </c>
      <c r="C210" s="1149" t="s">
        <v>4149</v>
      </c>
      <c r="D210" s="176"/>
      <c r="E210" s="176"/>
      <c r="F210" s="2551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8" t="s">
        <v>4238</v>
      </c>
      <c r="J210" s="294" t="s">
        <v>4179</v>
      </c>
      <c r="K210" s="158" t="s">
        <v>4171</v>
      </c>
      <c r="L210" s="176"/>
      <c r="M210" s="176"/>
      <c r="N210" s="2551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8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3" t="s">
        <v>4243</v>
      </c>
      <c r="J211" s="296" t="s">
        <v>4183</v>
      </c>
      <c r="K211" s="141" t="s">
        <v>4171</v>
      </c>
      <c r="L211" s="2548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6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4" t="s">
        <v>4247</v>
      </c>
      <c r="J212" s="292" t="s">
        <v>4187</v>
      </c>
      <c r="K212" s="155" t="s">
        <v>4171</v>
      </c>
      <c r="L212" s="156"/>
      <c r="M212" s="2546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6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4" t="s">
        <v>4251</v>
      </c>
      <c r="J213" s="292" t="s">
        <v>4253</v>
      </c>
      <c r="K213" s="142" t="s">
        <v>4171</v>
      </c>
      <c r="L213" s="156"/>
      <c r="M213" s="156"/>
      <c r="N213" s="2546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6" cm="1">
        <f t="array" ref="D214">INDEX('6층_부하량'!I3:I3000,MATCH(1,("6-DaHall 1-PDU-01"='6층_부하량'!A3:A3000)*(25='6층_부하량'!B3:B3000),0))</f>
        <v>1.836744749531785</v>
      </c>
      <c r="E214" s="156"/>
      <c r="F214" s="156"/>
      <c r="G214" s="156"/>
      <c r="H214" s="142" t="s">
        <v>4171</v>
      </c>
      <c r="I214" s="1434" t="s">
        <v>4256</v>
      </c>
      <c r="J214" s="292" t="s">
        <v>4258</v>
      </c>
      <c r="K214" s="142" t="s">
        <v>4171</v>
      </c>
      <c r="L214" s="2546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6" cm="1">
        <f t="array" ref="E215">INDEX('6층_부하량'!J3:J3000,MATCH(1,("6-DaHall 1-PDU-01"='6층_부하량'!A3:A3000)*(27='6층_부하량'!B3:B3000),0))</f>
        <v>2.2752315122858007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6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6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6" t="s">
        <v>4265</v>
      </c>
      <c r="K216" s="142" t="s">
        <v>4171</v>
      </c>
      <c r="L216" s="156"/>
      <c r="M216" s="156"/>
      <c r="N216" s="2546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6" cm="1">
        <f t="array" ref="D217">INDEX('6층_부하량'!I3:I3000,MATCH(1,("6-DaHall 1-PDU-01"='6층_부하량'!A3:A3000)*(31='6층_부하량'!B3:B3000),0))</f>
        <v>0.88031589504384911</v>
      </c>
      <c r="E217" s="156"/>
      <c r="F217" s="156"/>
      <c r="G217" s="156"/>
      <c r="H217" s="142" t="s">
        <v>4171</v>
      </c>
      <c r="I217" s="297" t="s">
        <v>4266</v>
      </c>
      <c r="J217" s="1426" t="s">
        <v>4267</v>
      </c>
      <c r="K217" s="142" t="s">
        <v>4171</v>
      </c>
      <c r="L217" s="2546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6" cm="1">
        <f t="array" ref="E218">INDEX('6층_부하량'!J3:J3000,MATCH(1,("6-DaHall 1-PDU-01"='6층_부하량'!A3:A3000)*(33='6층_부하량'!B3:B3000),0))</f>
        <v>0.9161145973371474</v>
      </c>
      <c r="F218" s="156"/>
      <c r="G218" s="156"/>
      <c r="H218" s="142" t="s">
        <v>4171</v>
      </c>
      <c r="I218" s="297" t="s">
        <v>4270</v>
      </c>
      <c r="J218" s="1426" t="s">
        <v>4271</v>
      </c>
      <c r="K218" s="142" t="s">
        <v>4171</v>
      </c>
      <c r="L218" s="156"/>
      <c r="M218" s="2546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6" cm="1">
        <f t="array" ref="F219">INDEX('6층_부하량'!K3:K3000,MATCH(1,("6-DaHall 1-PDU-01"='6층_부하량'!A3:A3000)*(35='6층_부하량'!B3:B3000),0))</f>
        <v>0.6333602560000513</v>
      </c>
      <c r="G219" s="156"/>
      <c r="H219" s="142" t="s">
        <v>4171</v>
      </c>
      <c r="I219" s="291" t="s">
        <v>4274</v>
      </c>
      <c r="J219" s="1426" t="s">
        <v>4276</v>
      </c>
      <c r="K219" s="142" t="s">
        <v>4171</v>
      </c>
      <c r="L219" s="156"/>
      <c r="M219" s="156"/>
      <c r="N219" s="2546" cm="1">
        <f t="array" ref="N219">INDEX('6층_부하량'!K3:K3000,MATCH(1,("6-DaHall 1-PDU-01"='6층_부하량'!A3:A3000)*(36='6층_부하량'!B3:B3000),0))</f>
        <v>1.0341960661021028</v>
      </c>
      <c r="O219" s="156"/>
      <c r="P219" s="156" t="s">
        <v>4208</v>
      </c>
      <c r="Q219" s="188" t="s">
        <v>4149</v>
      </c>
      <c r="R219" s="2038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6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6" t="s">
        <v>4280</v>
      </c>
      <c r="K220" s="142" t="s">
        <v>4171</v>
      </c>
      <c r="L220" s="2546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6" cm="1">
        <f t="array" ref="E221">INDEX('6층_부하량'!J3:J3000,MATCH(1,("6-DaHall 1-PDU-01"='6층_부하량'!A3:A3000)*(39='6층_부하량'!B3:B3000),0))</f>
        <v>3.9587676627287471E-3</v>
      </c>
      <c r="F221" s="156"/>
      <c r="G221" s="156"/>
      <c r="H221" s="142" t="s">
        <v>4171</v>
      </c>
      <c r="I221" s="297" t="s">
        <v>4283</v>
      </c>
      <c r="J221" s="1426" t="s">
        <v>4284</v>
      </c>
      <c r="K221" s="142" t="s">
        <v>4171</v>
      </c>
      <c r="L221" s="156"/>
      <c r="M221" s="2546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6" cm="1">
        <f t="array" ref="F222">INDEX('6층_부하량'!K3:K3000,MATCH(1,("6-DaHall 1-PDU-01"='6층_부하량'!A3:A3000)*(41='6층_부하량'!B3:B3000),0))</f>
        <v>0.8150931982195968</v>
      </c>
      <c r="G222" s="156"/>
      <c r="H222" s="142" t="s">
        <v>4171</v>
      </c>
      <c r="I222" s="291" t="s">
        <v>4628</v>
      </c>
      <c r="J222" s="1426" t="s">
        <v>4416</v>
      </c>
      <c r="K222" s="142" t="s">
        <v>4171</v>
      </c>
      <c r="L222" s="156"/>
      <c r="M222" s="156"/>
      <c r="N222" s="2546" cm="1">
        <f t="array" ref="N222">INDEX('6층_부하량'!K3:K3000,MATCH(1,("6-DaHall 1-PDU-01"='6층_부하량'!A3:A3000)*(42='6층_부하량'!B3:B3000),0))</f>
        <v>3.9365864594451963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6" cm="1">
        <f t="array" ref="D223">INDEX('6층_부하량'!I3:I3000,MATCH(1,("6-DaHall 1-PDU-01"='6층_부하량'!A3:A3000)*(43='6층_부하량'!B3:B3000),0))</f>
        <v>4.6055573662722669</v>
      </c>
      <c r="E223" s="156"/>
      <c r="F223" s="156"/>
      <c r="G223" s="156"/>
      <c r="H223" s="142" t="s">
        <v>4171</v>
      </c>
      <c r="I223" s="291" t="s">
        <v>4418</v>
      </c>
      <c r="J223" s="1426" t="s">
        <v>4419</v>
      </c>
      <c r="K223" s="142" t="s">
        <v>4171</v>
      </c>
      <c r="L223" s="2546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8" t="s">
        <v>1988</v>
      </c>
      <c r="S223" s="2071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6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3" t="s">
        <v>4421</v>
      </c>
      <c r="K224" s="142" t="s">
        <v>4171</v>
      </c>
      <c r="L224" s="156"/>
      <c r="M224" s="2546" cm="1">
        <f t="array" ref="M224">INDEX('6층_부하량'!J3:J3000,MATCH(1,("6-DaHall 1-PDU-01"='6층_부하량'!A3:A3000)*(46='6층_부하량'!B3:B3000),0))</f>
        <v>0.55982583374898165</v>
      </c>
      <c r="N224" s="156"/>
      <c r="O224" s="156"/>
      <c r="P224" s="156" t="s">
        <v>4208</v>
      </c>
      <c r="Q224" s="163" t="s">
        <v>4149</v>
      </c>
      <c r="R224" s="2242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6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6" t="s">
        <v>4423</v>
      </c>
      <c r="K225" s="142" t="s">
        <v>4171</v>
      </c>
      <c r="L225" s="156"/>
      <c r="M225" s="156"/>
      <c r="N225" s="2546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9" cm="1">
        <f t="array" ref="D226">INDEX('6층_부하량'!I3:I3000,MATCH(1,("6-DaHall 1-PDU-01"='6층_부하량'!A3:A3000)*(49='6층_부하량'!B3:B3000),0))</f>
        <v>7.651501531928151</v>
      </c>
      <c r="E226" s="166"/>
      <c r="F226" s="166"/>
      <c r="G226" s="166"/>
      <c r="H226" s="165" t="s">
        <v>4171</v>
      </c>
      <c r="I226" s="299" t="s">
        <v>4424</v>
      </c>
      <c r="J226" s="1436" t="s">
        <v>4425</v>
      </c>
      <c r="K226" s="165" t="s">
        <v>4171</v>
      </c>
      <c r="L226" s="2549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27.151438288635795</v>
      </c>
      <c r="M227" s="127">
        <f>SUM(E202:E226,M202:M226)</f>
        <v>19.592571496914367</v>
      </c>
      <c r="N227" s="127">
        <f>SUM(F202:F226,N202:N226)</f>
        <v>16.805824198176197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818" t="s">
        <v>4879</v>
      </c>
      <c r="D229" s="3818"/>
      <c r="E229" s="3818"/>
      <c r="F229" s="172"/>
      <c r="G229" s="172"/>
      <c r="H229" s="132"/>
      <c r="I229" s="3823" t="s">
        <v>4636</v>
      </c>
      <c r="J229" s="382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4136</v>
      </c>
      <c r="L230" s="1342">
        <v>19.2</v>
      </c>
      <c r="M230" s="1343">
        <v>18.8</v>
      </c>
      <c r="N230" s="1344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4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2" t="s">
        <v>4206</v>
      </c>
      <c r="J232" s="290" t="s">
        <v>4152</v>
      </c>
      <c r="K232" s="141" t="s">
        <v>4171</v>
      </c>
      <c r="L232" s="2544" cm="1">
        <f t="array" ref="L232">INDEX('6층_부하량'!I3:I3000,MATCH(1,("6-DaHall 1-PDU-02"='6층_부하량'!A3:A3000)*(2='6층_부하량'!B3:B3000),0))</f>
        <v>1.4817222206550544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5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8" t="s">
        <v>4211</v>
      </c>
      <c r="J233" s="292" t="s">
        <v>4157</v>
      </c>
      <c r="K233" s="142" t="s">
        <v>4171</v>
      </c>
      <c r="L233" s="148"/>
      <c r="M233" s="2545" cm="1">
        <f t="array" ref="M233">INDEX('6층_부하량'!J3:J3000,MATCH(1,("6-DaHall 1-PDU-02"='6층_부하량'!A3:A3000)*(4='6층_부하량'!B3:B3000),0))</f>
        <v>2.1413178672102142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6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8" t="s">
        <v>4214</v>
      </c>
      <c r="J234" s="292" t="s">
        <v>4162</v>
      </c>
      <c r="K234" s="142" t="s">
        <v>4171</v>
      </c>
      <c r="L234" s="156"/>
      <c r="M234" s="156"/>
      <c r="N234" s="2546" cm="1">
        <f t="array" ref="N234">INDEX('6층_부하량'!K3:K3000,MATCH(1,("6-DaHall 1-PDU-02"='6층_부하량'!A3:A3000)*(6='6층_부하량'!B3:B3000),0))</f>
        <v>5.1115465055897271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1" t="s">
        <v>4886</v>
      </c>
      <c r="B235" s="142" t="s">
        <v>4208</v>
      </c>
      <c r="C235" s="1148" t="s">
        <v>4149</v>
      </c>
      <c r="D235" s="2546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6" cm="1">
        <f t="array" ref="L235">INDEX('6층_부하량'!I3:I3000,MATCH(1,("6-DaHall 1-PDU-02"='6층_부하량'!A3:A3000)*(8='6층_부하량'!B3:B3000),0))</f>
        <v>3.3469574717223116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2" t="s">
        <v>4888</v>
      </c>
      <c r="B236" s="142" t="s">
        <v>4208</v>
      </c>
      <c r="C236" s="1148" t="s">
        <v>4149</v>
      </c>
      <c r="D236" s="156"/>
      <c r="E236" s="2546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6" cm="1">
        <f t="array" ref="M236">INDEX('6층_부하량'!J3:J3000,MATCH(1,("6-DaHall 1-PDU-02"='6층_부하량'!A3:A3000)*(10='6층_부하량'!B3:B3000),0))</f>
        <v>7.6113859585830141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1" t="s">
        <v>4890</v>
      </c>
      <c r="B237" s="142" t="s">
        <v>4208</v>
      </c>
      <c r="C237" s="1148" t="s">
        <v>4149</v>
      </c>
      <c r="D237" s="156"/>
      <c r="E237" s="156"/>
      <c r="F237" s="2546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6" cm="1">
        <f t="array" ref="N237">INDEX('6층_부하량'!K3:K3000,MATCH(1,("6-DaHall 1-PDU-02"='6층_부하량'!A3:A3000)*(12='6층_부하량'!B3:B3000),0))</f>
        <v>9.4678261068513816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2" t="s">
        <v>4892</v>
      </c>
      <c r="B238" s="142" t="s">
        <v>4208</v>
      </c>
      <c r="C238" s="1148" t="s">
        <v>4149</v>
      </c>
      <c r="D238" s="2546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6" cm="1">
        <f t="array" ref="L238">INDEX('6층_부하량'!I3:I3000,MATCH(1,("6-DaHall 1-PDU-02"='6층_부하량'!A3:A3000)*(14='6층_부하량'!B3:B3000),0))</f>
        <v>7.0984734859865739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1" t="s">
        <v>4894</v>
      </c>
      <c r="B239" s="142" t="s">
        <v>4208</v>
      </c>
      <c r="C239" s="1148" t="s">
        <v>4149</v>
      </c>
      <c r="D239" s="156"/>
      <c r="E239" s="2546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6" cm="1">
        <f t="array" ref="M239">INDEX('6층_부하량'!J3:J3000,MATCH(1,("6-DaHall 1-PDU-02"='6층_부하량'!A3:A3000)*(16='6층_부하량'!B3:B3000),0))</f>
        <v>4.9602064553655181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3" t="s">
        <v>4896</v>
      </c>
      <c r="B240" s="158" t="s">
        <v>4208</v>
      </c>
      <c r="C240" s="1149" t="s">
        <v>4149</v>
      </c>
      <c r="D240" s="176"/>
      <c r="E240" s="176"/>
      <c r="F240" s="2551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40" t="s">
        <v>4179</v>
      </c>
      <c r="K240" s="158" t="s">
        <v>4171</v>
      </c>
      <c r="L240" s="176"/>
      <c r="M240" s="176"/>
      <c r="N240" s="2551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8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3" t="s">
        <v>4243</v>
      </c>
      <c r="J241" s="296" t="s">
        <v>4183</v>
      </c>
      <c r="K241" s="141" t="s">
        <v>4171</v>
      </c>
      <c r="L241" s="2548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6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4" t="s">
        <v>4247</v>
      </c>
      <c r="J242" s="292" t="s">
        <v>4187</v>
      </c>
      <c r="K242" s="155" t="s">
        <v>4171</v>
      </c>
      <c r="L242" s="156"/>
      <c r="M242" s="2546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6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4" t="s">
        <v>4251</v>
      </c>
      <c r="J243" s="292" t="s">
        <v>4253</v>
      </c>
      <c r="K243" s="142" t="s">
        <v>4171</v>
      </c>
      <c r="L243" s="156"/>
      <c r="M243" s="156"/>
      <c r="N243" s="2546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6" cm="1">
        <f t="array" ref="D244">INDEX('6층_부하량'!I3:I3000,MATCH(1,("6-DaHall 1-PDU-02"='6층_부하량'!A3:A3000)*(25='6층_부하량'!B3:B3000),0))</f>
        <v>2.1190707338801982</v>
      </c>
      <c r="E244" s="156"/>
      <c r="F244" s="156"/>
      <c r="G244" s="156"/>
      <c r="H244" s="142" t="s">
        <v>4171</v>
      </c>
      <c r="I244" s="1434" t="s">
        <v>4256</v>
      </c>
      <c r="J244" s="292" t="s">
        <v>4258</v>
      </c>
      <c r="K244" s="142" t="s">
        <v>4171</v>
      </c>
      <c r="L244" s="2546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6" cm="1">
        <f t="array" ref="E245">INDEX('6층_부하량'!J3:J3000,MATCH(1,("6-DaHall 1-PDU-02"='6층_부하량'!A3:A3000)*(27='6층_부하량'!B3:B3000),0))</f>
        <v>1.34827116732848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6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6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6" cm="1">
        <f t="array" ref="N246">INDEX('6층_부하량'!K3:K3000,MATCH(1,("6-DaHall 1-PDU-02"='6층_부하량'!A3:A3000)*(30='6층_부하량'!B3:B3000),0))</f>
        <v>7.6026623552780954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6" cm="1">
        <f t="array" ref="D247">INDEX('6층_부하량'!I3:I3000,MATCH(1,("6-DaHall 1-PDU-02"='6층_부하량'!A3:A3000)*(31='6층_부하량'!B3:B3000),0))</f>
        <v>0.91738021845639894</v>
      </c>
      <c r="E247" s="156"/>
      <c r="F247" s="156"/>
      <c r="G247" s="156"/>
      <c r="H247" s="142" t="s">
        <v>4171</v>
      </c>
      <c r="I247" s="297" t="s">
        <v>4266</v>
      </c>
      <c r="J247" s="1426" t="s">
        <v>4267</v>
      </c>
      <c r="K247" s="142" t="s">
        <v>4171</v>
      </c>
      <c r="L247" s="2546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6" cm="1">
        <f t="array" ref="E248">INDEX('6층_부하량'!J3:J3000,MATCH(1,("6-DaHall 1-PDU-02"='6층_부하량'!A3:A3000)*(33='6층_부하량'!B3:B3000),0))</f>
        <v>0.88842142173334537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6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6" cm="1">
        <f t="array" ref="F249">INDEX('6층_부하량'!K3:K3000,MATCH(1,("6-DaHall 1-PDU-02"='6층_부하량'!A3:A3000)*(35='6층_부하량'!B3:B3000),0))</f>
        <v>0.5877666162544426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6" cm="1">
        <f t="array" ref="N249">INDEX('6층_부하량'!K3:K3000,MATCH(1,("6-DaHall 1-PDU-02"='6층_부하량'!A3:A3000)*(36='6층_부하량'!B3:B3000),0))</f>
        <v>1.3852848626177954</v>
      </c>
      <c r="O249" s="156"/>
      <c r="P249" s="148" t="s">
        <v>4208</v>
      </c>
      <c r="Q249" s="163" t="s">
        <v>4149</v>
      </c>
      <c r="R249" s="2038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6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6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6" cm="1">
        <f t="array" ref="E251">INDEX('6층_부하량'!J3:J3000,MATCH(1,("6-DaHall 1-PDU-02"='6층_부하량'!A3:A3000)*(39='6층_부하량'!B3:B3000),0))</f>
        <v>3.2295044001852732E-3</v>
      </c>
      <c r="F251" s="156"/>
      <c r="G251" s="156"/>
      <c r="H251" s="142" t="s">
        <v>4171</v>
      </c>
      <c r="I251" s="297" t="s">
        <v>4283</v>
      </c>
      <c r="J251" s="1426" t="s">
        <v>4284</v>
      </c>
      <c r="K251" s="142" t="s">
        <v>4171</v>
      </c>
      <c r="L251" s="156"/>
      <c r="M251" s="2546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6" cm="1">
        <f t="array" ref="F252">INDEX('6층_부하량'!K3:K3000,MATCH(1,("6-DaHall 1-PDU-02"='6층_부하량'!A3:A3000)*(41='6층_부하량'!B3:B3000),0))</f>
        <v>0.62927207408446728</v>
      </c>
      <c r="G252" s="156"/>
      <c r="H252" s="142" t="s">
        <v>4171</v>
      </c>
      <c r="I252" s="291" t="s">
        <v>4628</v>
      </c>
      <c r="J252" s="1426" t="s">
        <v>4416</v>
      </c>
      <c r="K252" s="142" t="s">
        <v>4171</v>
      </c>
      <c r="L252" s="156"/>
      <c r="M252" s="156"/>
      <c r="N252" s="2546" cm="1">
        <f t="array" ref="N252">INDEX('6층_부하량'!K3:K3000,MATCH(1,("6-DaHall 1-PDU-02"='6층_부하량'!A3:A3000)*(42='6층_부하량'!B3:B3000),0))</f>
        <v>4.0808435834333832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6" cm="1">
        <f t="array" ref="D253">INDEX('6층_부하량'!I3:I3000,MATCH(1,("6-DaHall 1-PDU-02"='6층_부하량'!A3:A3000)*(43='6층_부하량'!B3:B3000),0))</f>
        <v>4.4066720718272316</v>
      </c>
      <c r="E253" s="156"/>
      <c r="F253" s="156"/>
      <c r="G253" s="156"/>
      <c r="H253" s="142" t="s">
        <v>4171</v>
      </c>
      <c r="I253" s="291" t="s">
        <v>4418</v>
      </c>
      <c r="J253" s="1426" t="s">
        <v>4419</v>
      </c>
      <c r="K253" s="142" t="s">
        <v>4171</v>
      </c>
      <c r="L253" s="2546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8" t="s">
        <v>1988</v>
      </c>
      <c r="S253" s="2071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6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8" t="s">
        <v>4420</v>
      </c>
      <c r="J254" s="1426" t="s">
        <v>4421</v>
      </c>
      <c r="K254" s="142" t="s">
        <v>4171</v>
      </c>
      <c r="L254" s="156"/>
      <c r="M254" s="2546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6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4" t="s">
        <v>4422</v>
      </c>
      <c r="J255" s="292" t="s">
        <v>4423</v>
      </c>
      <c r="K255" s="142" t="s">
        <v>4171</v>
      </c>
      <c r="L255" s="156"/>
      <c r="M255" s="156"/>
      <c r="N255" s="2546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9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5" t="s">
        <v>4424</v>
      </c>
      <c r="J256" s="1436" t="s">
        <v>4425</v>
      </c>
      <c r="K256" s="165" t="s">
        <v>4171</v>
      </c>
      <c r="L256" s="2549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19.370276202527769</v>
      </c>
      <c r="M257" s="130">
        <f>SUM(E232:E256,M232:M256)</f>
        <v>16.952832374620758</v>
      </c>
      <c r="N257" s="130">
        <f>SUM(F232:F256,N232:N256)</f>
        <v>28.865202104109294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818" t="s">
        <v>4927</v>
      </c>
      <c r="D259" s="3818"/>
      <c r="E259" s="3818"/>
      <c r="F259" s="172"/>
      <c r="G259" s="172"/>
      <c r="H259" s="132"/>
      <c r="I259" s="3823" t="s">
        <v>4636</v>
      </c>
      <c r="J259" s="382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4136</v>
      </c>
      <c r="L260" s="1342">
        <v>20.7</v>
      </c>
      <c r="M260" s="1343">
        <v>21.3</v>
      </c>
      <c r="N260" s="1344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4" cm="1">
        <f t="array" ref="D262">INDEX('6층_부하량'!I3:I3000,MATCH(1,("6-DaHall 1-PDU-03"='6층_부하량'!A3:A3000)*(1='6층_부하량'!B3:B3000),0))</f>
        <v>4.0842316890055965</v>
      </c>
      <c r="E262" s="143"/>
      <c r="F262" s="143"/>
      <c r="G262" s="143"/>
      <c r="H262" s="141" t="s">
        <v>4171</v>
      </c>
      <c r="I262" s="1432" t="s">
        <v>4206</v>
      </c>
      <c r="J262" s="1439" t="s">
        <v>4152</v>
      </c>
      <c r="K262" s="141" t="s">
        <v>4171</v>
      </c>
      <c r="L262" s="2544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5" cm="1">
        <f t="array" ref="E263">INDEX('6층_부하량'!J3:J3000,MATCH(1,("6-DaHall 1-PDU-03"='6층_부하량'!A3:A3000)*(3='6층_부하량'!B3:B3000),0))</f>
        <v>3.5866528543501586</v>
      </c>
      <c r="F263" s="148"/>
      <c r="G263" s="148"/>
      <c r="H263" s="142" t="s">
        <v>4171</v>
      </c>
      <c r="I263" s="1428" t="s">
        <v>4211</v>
      </c>
      <c r="J263" s="1426" t="s">
        <v>4157</v>
      </c>
      <c r="K263" s="142" t="s">
        <v>4171</v>
      </c>
      <c r="L263" s="148"/>
      <c r="M263" s="2545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6" cm="1">
        <f t="array" ref="F264">INDEX('6층_부하량'!K3:K3000,MATCH(1,("6-DaHall 1-PDU-03"='6층_부하량'!A3:A3000)*(5='6층_부하량'!B3:B3000),0))</f>
        <v>0.85063347333836825</v>
      </c>
      <c r="G264" s="156"/>
      <c r="H264" s="142" t="s">
        <v>4171</v>
      </c>
      <c r="I264" s="1434" t="s">
        <v>4214</v>
      </c>
      <c r="J264" s="1423" t="s">
        <v>4162</v>
      </c>
      <c r="K264" s="142" t="s">
        <v>4171</v>
      </c>
      <c r="L264" s="156"/>
      <c r="M264" s="156"/>
      <c r="N264" s="2546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6" cm="1">
        <f t="array" ref="D265">INDEX('6층_부하량'!I3:I3000,MATCH(1,("6-DaHall 1-PDU-03"='6층_부하량'!A3:A3000)*(7='6층_부하량'!B3:B3000),0))</f>
        <v>3.8349062642387279</v>
      </c>
      <c r="E265" s="156"/>
      <c r="F265" s="156"/>
      <c r="G265" s="156"/>
      <c r="H265" s="142" t="s">
        <v>4171</v>
      </c>
      <c r="I265" s="1434" t="s">
        <v>4218</v>
      </c>
      <c r="J265" s="1423" t="s">
        <v>4167</v>
      </c>
      <c r="K265" s="142" t="s">
        <v>4171</v>
      </c>
      <c r="L265" s="2546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6" cm="1">
        <f t="array" ref="E266">INDEX('6층_부하량'!J3:J3000,MATCH(1,("6-DaHall 1-PDU-03"='6층_부하량'!A3:A3000)*(9='6층_부하량'!B3:B3000),0))</f>
        <v>3.6686498648601966</v>
      </c>
      <c r="F266" s="156"/>
      <c r="G266" s="156"/>
      <c r="H266" s="142" t="s">
        <v>4171</v>
      </c>
      <c r="I266" s="1434" t="s">
        <v>4221</v>
      </c>
      <c r="J266" s="1423" t="s">
        <v>4170</v>
      </c>
      <c r="K266" s="142" t="s">
        <v>4171</v>
      </c>
      <c r="L266" s="156"/>
      <c r="M266" s="2546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6" cm="1">
        <f t="array" ref="F267">INDEX('6층_부하량'!K3:K3000,MATCH(1,("6-DaHall 1-PDU-03"='6층_부하량'!A3:A3000)*(11='6층_부하량'!B3:B3000),0))</f>
        <v>2.6548652715644976</v>
      </c>
      <c r="G267" s="156" t="s">
        <v>4939</v>
      </c>
      <c r="H267" s="142" t="s">
        <v>4171</v>
      </c>
      <c r="I267" s="1434" t="s">
        <v>4226</v>
      </c>
      <c r="J267" s="1423" t="s">
        <v>4173</v>
      </c>
      <c r="K267" s="142" t="s">
        <v>4171</v>
      </c>
      <c r="L267" s="156"/>
      <c r="M267" s="156"/>
      <c r="N267" s="2546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6" cm="1">
        <f t="array" ref="D268">INDEX('6층_부하량'!I3:I3000,MATCH(1,("6-DaHall 1-PDU-03"='6층_부하량'!A3:A3000)*(13='6층_부하량'!B3:B3000),0))</f>
        <v>5.1517061714872527</v>
      </c>
      <c r="E268" s="156"/>
      <c r="F268" s="156"/>
      <c r="G268" s="156"/>
      <c r="H268" s="142" t="s">
        <v>4171</v>
      </c>
      <c r="I268" s="1434" t="s">
        <v>4230</v>
      </c>
      <c r="J268" s="1423" t="s">
        <v>4175</v>
      </c>
      <c r="K268" s="142" t="s">
        <v>4171</v>
      </c>
      <c r="L268" s="2546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6" cm="1">
        <f t="array" ref="E269">INDEX('6층_부하량'!J3:J3000,MATCH(1,("6-DaHall 1-PDU-03"='6층_부하량'!A3:A3000)*(15='6층_부하량'!B3:B3000),0))</f>
        <v>4.0146841238371511</v>
      </c>
      <c r="F269" s="156"/>
      <c r="G269" s="156"/>
      <c r="H269" s="142" t="s">
        <v>4171</v>
      </c>
      <c r="I269" s="1434" t="s">
        <v>4234</v>
      </c>
      <c r="J269" s="150" t="s">
        <v>4177</v>
      </c>
      <c r="K269" s="142" t="s">
        <v>4171</v>
      </c>
      <c r="L269" s="156"/>
      <c r="M269" s="2546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51" cm="1">
        <f t="array" ref="F270">INDEX('6층_부하량'!K3:K3000,MATCH(1,("6-DaHall 1-PDU-03"='6층_부하량'!A3:A3000)*(17='6층_부하량'!B3:B3000),0))</f>
        <v>2.0488606838761334</v>
      </c>
      <c r="G270" s="159"/>
      <c r="H270" s="158" t="s">
        <v>4171</v>
      </c>
      <c r="I270" s="1441" t="s">
        <v>4238</v>
      </c>
      <c r="J270" s="191" t="s">
        <v>4179</v>
      </c>
      <c r="K270" s="158" t="s">
        <v>4171</v>
      </c>
      <c r="L270" s="176"/>
      <c r="M270" s="176"/>
      <c r="N270" s="2551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8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2" t="s">
        <v>4243</v>
      </c>
      <c r="J271" s="1444" t="s">
        <v>4183</v>
      </c>
      <c r="K271" s="141" t="s">
        <v>4171</v>
      </c>
      <c r="L271" s="2548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6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3" t="s">
        <v>4247</v>
      </c>
      <c r="J272" s="180" t="s">
        <v>4187</v>
      </c>
      <c r="K272" s="155" t="s">
        <v>4171</v>
      </c>
      <c r="L272" s="156"/>
      <c r="M272" s="2546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6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4" t="s">
        <v>4251</v>
      </c>
      <c r="J273" s="150" t="s">
        <v>4253</v>
      </c>
      <c r="K273" s="142" t="s">
        <v>4171</v>
      </c>
      <c r="L273" s="156"/>
      <c r="M273" s="156"/>
      <c r="N273" s="2546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6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4" t="s">
        <v>4256</v>
      </c>
      <c r="J274" s="150" t="s">
        <v>4258</v>
      </c>
      <c r="K274" s="142" t="s">
        <v>4171</v>
      </c>
      <c r="L274" s="2546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6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4" t="s">
        <v>4261</v>
      </c>
      <c r="J275" s="150" t="s">
        <v>4262</v>
      </c>
      <c r="K275" s="142" t="s">
        <v>4171</v>
      </c>
      <c r="L275" s="156"/>
      <c r="M275" s="2546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6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4" t="s">
        <v>4264</v>
      </c>
      <c r="J276" s="150" t="s">
        <v>4265</v>
      </c>
      <c r="K276" s="142" t="s">
        <v>4171</v>
      </c>
      <c r="L276" s="156"/>
      <c r="M276" s="156"/>
      <c r="N276" s="2546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6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4" t="s">
        <v>4266</v>
      </c>
      <c r="J277" s="150" t="s">
        <v>4267</v>
      </c>
      <c r="K277" s="142" t="s">
        <v>4171</v>
      </c>
      <c r="L277" s="2546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6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6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6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6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6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4" t="s">
        <v>4279</v>
      </c>
      <c r="J280" s="154" t="s">
        <v>4280</v>
      </c>
      <c r="K280" s="142" t="s">
        <v>4171</v>
      </c>
      <c r="L280" s="2546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6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4" t="s">
        <v>4283</v>
      </c>
      <c r="J281" s="150" t="s">
        <v>4284</v>
      </c>
      <c r="K281" s="142" t="s">
        <v>4171</v>
      </c>
      <c r="L281" s="156"/>
      <c r="M281" s="2546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6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4" t="s">
        <v>4628</v>
      </c>
      <c r="J282" s="150" t="s">
        <v>4416</v>
      </c>
      <c r="K282" s="142" t="s">
        <v>4171</v>
      </c>
      <c r="L282" s="156"/>
      <c r="M282" s="156"/>
      <c r="N282" s="2546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6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4" t="s">
        <v>4418</v>
      </c>
      <c r="J283" s="150" t="s">
        <v>4419</v>
      </c>
      <c r="K283" s="142" t="s">
        <v>4171</v>
      </c>
      <c r="L283" s="2546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6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4" t="s">
        <v>4420</v>
      </c>
      <c r="J284" s="150" t="s">
        <v>4421</v>
      </c>
      <c r="K284" s="142" t="s">
        <v>4171</v>
      </c>
      <c r="L284" s="156"/>
      <c r="M284" s="2546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6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4" t="s">
        <v>4422</v>
      </c>
      <c r="J285" s="150" t="s">
        <v>4423</v>
      </c>
      <c r="K285" s="142" t="s">
        <v>4171</v>
      </c>
      <c r="L285" s="156"/>
      <c r="M285" s="156"/>
      <c r="N285" s="2546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9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3" t="s">
        <v>4424</v>
      </c>
      <c r="J286" s="1445" t="s">
        <v>4425</v>
      </c>
      <c r="K286" s="165" t="s">
        <v>4171</v>
      </c>
      <c r="L286" s="2549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13.070844124731577</v>
      </c>
      <c r="M287" s="127">
        <f>SUM(E262:E286,M262:M286)</f>
        <v>11.269986843047507</v>
      </c>
      <c r="N287" s="127">
        <f>SUM(F262:F286,N262:N286)</f>
        <v>5.5543594287789997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818" t="s">
        <v>4970</v>
      </c>
      <c r="D289" s="3818"/>
      <c r="E289" s="3818"/>
      <c r="F289" s="172"/>
      <c r="G289" s="172"/>
      <c r="H289" s="132"/>
      <c r="I289" s="3823" t="s">
        <v>4636</v>
      </c>
      <c r="J289" s="382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4136</v>
      </c>
      <c r="L290" s="1342">
        <v>18.600000000000001</v>
      </c>
      <c r="M290" s="1343">
        <v>29.1</v>
      </c>
      <c r="N290" s="1344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4" cm="1">
        <f t="array" ref="D292">INDEX('6층_부하량'!I3:I3000,MATCH(1,("6-DaHall 1-PDU-04"='6층_부하량'!A3:A3000)*(1='6층_부하량'!B3:B3000),0))</f>
        <v>2.7814872227447767</v>
      </c>
      <c r="E292" s="143"/>
      <c r="F292" s="143"/>
      <c r="G292" s="143"/>
      <c r="H292" s="141" t="s">
        <v>4171</v>
      </c>
      <c r="I292" s="1432" t="s">
        <v>4206</v>
      </c>
      <c r="J292" s="1439" t="s">
        <v>4152</v>
      </c>
      <c r="K292" s="141" t="s">
        <v>4171</v>
      </c>
      <c r="L292" s="2544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5" cm="1">
        <f t="array" ref="E293">INDEX('6층_부하량'!J3:J3000,MATCH(1,("6-DaHall 1-PDU-04"='6층_부하량'!A3:A3000)*(3='6층_부하량'!B3:B3000),0))</f>
        <v>3.9878353018604873</v>
      </c>
      <c r="F293" s="148"/>
      <c r="G293" s="148"/>
      <c r="H293" s="142" t="s">
        <v>4171</v>
      </c>
      <c r="I293" s="1428" t="s">
        <v>4211</v>
      </c>
      <c r="J293" s="1426" t="s">
        <v>4157</v>
      </c>
      <c r="K293" s="142" t="s">
        <v>4171</v>
      </c>
      <c r="L293" s="148"/>
      <c r="M293" s="2545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6" cm="1">
        <f t="array" ref="F294">INDEX('6층_부하량'!K3:K3000,MATCH(1,("6-DaHall 1-PDU-04"='6층_부하량'!A3:A3000)*(5='6층_부하량'!B3:B3000),0))</f>
        <v>0.90241793388198133</v>
      </c>
      <c r="G294" s="156"/>
      <c r="H294" s="142" t="s">
        <v>4171</v>
      </c>
      <c r="I294" s="1434" t="s">
        <v>4214</v>
      </c>
      <c r="J294" s="1423" t="s">
        <v>4162</v>
      </c>
      <c r="K294" s="142" t="s">
        <v>4171</v>
      </c>
      <c r="L294" s="156"/>
      <c r="M294" s="156"/>
      <c r="N294" s="2546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6" cm="1">
        <f t="array" ref="D295">INDEX('6층_부하량'!I3:I3000,MATCH(1,("6-DaHall 1-PDU-04"='6층_부하량'!A3:A3000)*(7='6층_부하량'!B3:B3000),0))</f>
        <v>4.0590110565892816</v>
      </c>
      <c r="E295" s="156"/>
      <c r="F295" s="156"/>
      <c r="G295" s="156"/>
      <c r="H295" s="142" t="s">
        <v>4171</v>
      </c>
      <c r="I295" s="1434" t="s">
        <v>4218</v>
      </c>
      <c r="J295" s="1423" t="s">
        <v>4167</v>
      </c>
      <c r="K295" s="142" t="s">
        <v>4171</v>
      </c>
      <c r="L295" s="2546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6" cm="1">
        <f t="array" ref="E296">INDEX('6층_부하량'!J3:J3000,MATCH(1,("6-DaHall 1-PDU-04"='6층_부하량'!A3:A3000)*(9='6층_부하량'!B3:B3000),0))</f>
        <v>4.0910225401620126</v>
      </c>
      <c r="F296" s="156"/>
      <c r="G296" s="156"/>
      <c r="H296" s="142" t="s">
        <v>4171</v>
      </c>
      <c r="I296" s="1434" t="s">
        <v>4221</v>
      </c>
      <c r="J296" s="1423" t="s">
        <v>4170</v>
      </c>
      <c r="K296" s="142" t="s">
        <v>4171</v>
      </c>
      <c r="L296" s="156"/>
      <c r="M296" s="2546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6" cm="1">
        <f t="array" ref="F297">INDEX('6층_부하량'!K3:K3000,MATCH(1,("6-DaHall 1-PDU-04"='6층_부하량'!A3:A3000)*(11='6층_부하량'!B3:B3000),0))</f>
        <v>3.6434178727491737</v>
      </c>
      <c r="G297" s="156" t="s">
        <v>4939</v>
      </c>
      <c r="H297" s="142" t="s">
        <v>4171</v>
      </c>
      <c r="I297" s="1434" t="s">
        <v>4226</v>
      </c>
      <c r="J297" s="1423" t="s">
        <v>4173</v>
      </c>
      <c r="K297" s="142" t="s">
        <v>4171</v>
      </c>
      <c r="L297" s="156"/>
      <c r="M297" s="156"/>
      <c r="N297" s="2546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6" cm="1">
        <f t="array" ref="D298">INDEX('6층_부하량'!I3:I3000,MATCH(1,("6-DaHall 1-PDU-04"='6층_부하량'!A3:A3000)*(13='6층_부하량'!B3:B3000),0))</f>
        <v>3.2364453684540089</v>
      </c>
      <c r="E298" s="156"/>
      <c r="F298" s="156"/>
      <c r="G298" s="156"/>
      <c r="H298" s="142" t="s">
        <v>4171</v>
      </c>
      <c r="I298" s="1434" t="s">
        <v>4230</v>
      </c>
      <c r="J298" s="1423" t="s">
        <v>4175</v>
      </c>
      <c r="K298" s="142" t="s">
        <v>4171</v>
      </c>
      <c r="L298" s="2546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6" cm="1">
        <f t="array" ref="E299">INDEX('6층_부하량'!J3:J3000,MATCH(1,("6-DaHall 1-PDU-04"='6층_부하량'!A3:A3000)*(15='6층_부하량'!B3:B3000),0))</f>
        <v>3.728189114119739</v>
      </c>
      <c r="F299" s="156"/>
      <c r="G299" s="156"/>
      <c r="H299" s="142" t="s">
        <v>4171</v>
      </c>
      <c r="I299" s="1434" t="s">
        <v>4234</v>
      </c>
      <c r="J299" s="150" t="s">
        <v>4177</v>
      </c>
      <c r="K299" s="142" t="s">
        <v>4171</v>
      </c>
      <c r="L299" s="156"/>
      <c r="M299" s="2546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51" cm="1">
        <f t="array" ref="F300">INDEX('6층_부하량'!K3:K3000,MATCH(1,("6-DaHall 1-PDU-04"='6층_부하량'!A3:A3000)*(17='6층_부하량'!B3:B3000),0))</f>
        <v>1.8489174138686117</v>
      </c>
      <c r="G300" s="159"/>
      <c r="H300" s="158" t="s">
        <v>4171</v>
      </c>
      <c r="I300" s="1441" t="s">
        <v>4238</v>
      </c>
      <c r="J300" s="191" t="s">
        <v>4179</v>
      </c>
      <c r="K300" s="158" t="s">
        <v>4171</v>
      </c>
      <c r="L300" s="176"/>
      <c r="M300" s="176"/>
      <c r="N300" s="2551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8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2" t="s">
        <v>4243</v>
      </c>
      <c r="J301" s="1444" t="s">
        <v>4183</v>
      </c>
      <c r="K301" s="141" t="s">
        <v>4171</v>
      </c>
      <c r="L301" s="2548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6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3" t="s">
        <v>4247</v>
      </c>
      <c r="J302" s="180" t="s">
        <v>4187</v>
      </c>
      <c r="K302" s="155" t="s">
        <v>4171</v>
      </c>
      <c r="L302" s="156"/>
      <c r="M302" s="2546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6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4" t="s">
        <v>4251</v>
      </c>
      <c r="J303" s="150" t="s">
        <v>4253</v>
      </c>
      <c r="K303" s="142" t="s">
        <v>4171</v>
      </c>
      <c r="L303" s="156"/>
      <c r="M303" s="156"/>
      <c r="N303" s="2546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6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4" t="s">
        <v>4256</v>
      </c>
      <c r="J304" s="150" t="s">
        <v>4258</v>
      </c>
      <c r="K304" s="142" t="s">
        <v>4171</v>
      </c>
      <c r="L304" s="2546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6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4" t="s">
        <v>4261</v>
      </c>
      <c r="J305" s="150" t="s">
        <v>4262</v>
      </c>
      <c r="K305" s="142" t="s">
        <v>4171</v>
      </c>
      <c r="L305" s="156"/>
      <c r="M305" s="2546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6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4" t="s">
        <v>4264</v>
      </c>
      <c r="J306" s="150" t="s">
        <v>4265</v>
      </c>
      <c r="K306" s="142" t="s">
        <v>4171</v>
      </c>
      <c r="L306" s="156"/>
      <c r="M306" s="156"/>
      <c r="N306" s="2546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6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4" t="s">
        <v>4266</v>
      </c>
      <c r="J307" s="150" t="s">
        <v>4267</v>
      </c>
      <c r="K307" s="142" t="s">
        <v>4171</v>
      </c>
      <c r="L307" s="2546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6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6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6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6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6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4" t="s">
        <v>4279</v>
      </c>
      <c r="J310" s="154" t="s">
        <v>4280</v>
      </c>
      <c r="K310" s="142" t="s">
        <v>4171</v>
      </c>
      <c r="L310" s="2546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6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4" t="s">
        <v>4283</v>
      </c>
      <c r="J311" s="150" t="s">
        <v>4284</v>
      </c>
      <c r="K311" s="142" t="s">
        <v>4171</v>
      </c>
      <c r="L311" s="156"/>
      <c r="M311" s="2546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6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4" t="s">
        <v>4628</v>
      </c>
      <c r="J312" s="150" t="s">
        <v>4416</v>
      </c>
      <c r="K312" s="142" t="s">
        <v>4171</v>
      </c>
      <c r="L312" s="156"/>
      <c r="M312" s="156"/>
      <c r="N312" s="2546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6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4" t="s">
        <v>4418</v>
      </c>
      <c r="J313" s="150" t="s">
        <v>4419</v>
      </c>
      <c r="K313" s="142" t="s">
        <v>4171</v>
      </c>
      <c r="L313" s="2546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6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4" t="s">
        <v>4420</v>
      </c>
      <c r="J314" s="150" t="s">
        <v>4421</v>
      </c>
      <c r="K314" s="142" t="s">
        <v>4171</v>
      </c>
      <c r="L314" s="156"/>
      <c r="M314" s="2546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6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4" t="s">
        <v>4422</v>
      </c>
      <c r="J315" s="150" t="s">
        <v>4423</v>
      </c>
      <c r="K315" s="142" t="s">
        <v>4171</v>
      </c>
      <c r="L315" s="156"/>
      <c r="M315" s="156"/>
      <c r="N315" s="2546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9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5" t="s">
        <v>4424</v>
      </c>
      <c r="J316" s="1445" t="s">
        <v>4425</v>
      </c>
      <c r="K316" s="165" t="s">
        <v>4171</v>
      </c>
      <c r="L316" s="2549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10.076943647788067</v>
      </c>
      <c r="M317" s="127">
        <f>SUM(E292:E316,M292:M316)</f>
        <v>11.807046956142241</v>
      </c>
      <c r="N317" s="127">
        <f>SUM(F292:F316,N292:N316)</f>
        <v>6.3947532204997666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818" t="s">
        <v>5011</v>
      </c>
      <c r="D319" s="3818"/>
      <c r="E319" s="3818"/>
      <c r="F319" s="172"/>
      <c r="G319" s="172"/>
      <c r="H319" s="132"/>
      <c r="I319" s="3823" t="s">
        <v>4288</v>
      </c>
      <c r="J319" s="382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4136</v>
      </c>
      <c r="L320" s="1342">
        <v>19.5</v>
      </c>
      <c r="M320" s="1343">
        <v>43.6</v>
      </c>
      <c r="N320" s="1344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4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4" cm="1">
        <f t="array" ref="M322">INDEX('6층_부하량'!J3:J3000,MATCH(1,("6-DaHall 1-PDU-05"='6층_부하량'!A3:A3000)*(2='6층_부하량'!B3:B3000),0))</f>
        <v>11.329137315667632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5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5" cm="1">
        <f t="array" ref="N323">INDEX('6층_부하량'!K3:K3000,MATCH(1,("6-DaHall 1-PDU-05"='6층_부하량'!A3:A3000)*(4='6층_부하량'!B3:B3000),0))</f>
        <v>5.2061795571902696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6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4" t="s">
        <v>4214</v>
      </c>
      <c r="J324" s="150" t="s">
        <v>4162</v>
      </c>
      <c r="K324" s="142" t="s">
        <v>4171</v>
      </c>
      <c r="L324" s="2546" cm="1">
        <f t="array" ref="L324">INDEX('6층_부하량'!I3:I3000,MATCH(1,("6-DaHall 1-PDU-05"='6층_부하량'!A3:A3000)*(6='6층_부하량'!B3:B3000),0))</f>
        <v>0.70999772128000382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6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6" cm="1">
        <f t="array" ref="M325">INDEX('6층_부하량'!J3:J3000,MATCH(1,("6-DaHall 1-PDU-05"='6층_부하량'!A3:A3000)*(8='6층_부하량'!B3:B3000),0))</f>
        <v>2.7207597848170479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6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6" cm="1">
        <f t="array" ref="N326">INDEX('6층_부하량'!K3:K3000,MATCH(1,("6-DaHall 1-PDU-05"='6층_부하량'!A3:A3000)*(10='6층_부하량'!B3:B3000),0))</f>
        <v>0.93687903773007764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6" cm="1">
        <f t="array" ref="D327">INDEX('6층_부하량'!I3:I3000,MATCH(1,("6-DaHall 1-PDU-05"='6층_부하량'!A3:A3000)*(11='6층_부하량'!B3:B3000),0))</f>
        <v>1.7388186341179437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6" cm="1">
        <f t="array" ref="L327">INDEX('6층_부하량'!I3:I3000,MATCH(1,("6-DaHall 1-PDU-05"='6층_부하량'!A3:A3000)*(12='6층_부하량'!B3:B3000),0))</f>
        <v>1.4112190357894554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6" cm="1">
        <f t="array" ref="E328">INDEX('6층_부하량'!J3:J3000,MATCH(1,("6-DaHall 1-PDU-05"='6층_부하량'!A3:A3000)*(13='6층_부하량'!B3:B3000),0))</f>
        <v>2.0229384878133119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6" cm="1">
        <f t="array" ref="M328">INDEX('6층_부하량'!J3:J3000,MATCH(1,("6-DaHall 1-PDU-05"='6층_부하량'!A3:A3000)*(14='6층_부하량'!B3:B3000),0))</f>
        <v>4.9087091875543019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6" cm="1">
        <f t="array" ref="F329">INDEX('6층_부하량'!K3:K3000,MATCH(1,("6-DaHall 1-PDU-05"='6층_부하량'!A3:A3000)*(15='6층_부하량'!B3:B3000),0))</f>
        <v>3.6935591522599558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6" cm="1">
        <f t="array" ref="N329">INDEX('6층_부하량'!K3:K3000,MATCH(1,("6-DaHall 1-PDU-05"='6층_부하량'!A3:A3000)*(16='6층_부하량'!B3:B3000),0))</f>
        <v>3.3895303154103433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6" cm="1">
        <f t="array" ref="D330">INDEX('6층_부하량'!I3:I3000,MATCH(1,("6-DaHall 1-PDU-05"='6층_부하량'!A3:A3000)*(17='6층_부하량'!B3:B3000),0))</f>
        <v>0.95769201985736296</v>
      </c>
      <c r="E330" s="156"/>
      <c r="F330" s="156"/>
      <c r="G330" s="156"/>
      <c r="H330" s="142" t="s">
        <v>4171</v>
      </c>
      <c r="I330" s="149" t="s">
        <v>4238</v>
      </c>
      <c r="J330" s="1423" t="s">
        <v>4179</v>
      </c>
      <c r="K330" s="142" t="s">
        <v>4171</v>
      </c>
      <c r="L330" s="2546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6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6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6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4" t="s">
        <v>4247</v>
      </c>
      <c r="J332" s="150" t="s">
        <v>4187</v>
      </c>
      <c r="K332" s="142" t="s">
        <v>4171</v>
      </c>
      <c r="L332" s="156"/>
      <c r="M332" s="156"/>
      <c r="N332" s="2546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8" t="s">
        <v>5034</v>
      </c>
      <c r="B333" s="142" t="s">
        <v>4208</v>
      </c>
      <c r="C333" s="163" t="s">
        <v>4149</v>
      </c>
      <c r="D333" s="2546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6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6" cm="1">
        <f t="array" ref="E334">INDEX('6층_부하량'!J3:J3000,MATCH(1,("6-DaHall 1-PDU-05"='6층_부하량'!A3:A3000)*(25='6층_부하량'!B3:B3000),0))</f>
        <v>3.7953206579113719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6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51" cm="1">
        <f t="array" ref="F335">INDEX('6층_부하량'!K3:K3000,MATCH(1,("6-DaHall 1-PDU-05"='6층_부하량'!A3:A3000)*(27='6층_부하량'!B3:B3000),0))</f>
        <v>3.4970415168697202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51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8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8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6" cm="1">
        <f t="array" ref="E337">INDEX('6층_부하량'!J3:J3000,MATCH(1,("6-DaHall 1-PDU-05"='6층_부하량'!A3:A3000)*(31='6층_부하량'!B3:B3000),0))</f>
        <v>1.5430171457024271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6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6" cm="1">
        <f t="array" ref="F338">INDEX('6층_부하량'!K3:K3000,MATCH(1,("6-DaHall 1-PDU-05"='6층_부하량'!A3:A3000)*(33='6층_부하량'!B3:B3000),0))</f>
        <v>1.1200460312576623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6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6" cm="1">
        <f t="array" ref="D339">INDEX('6층_부하량'!I3:I3000,MATCH(1,("6-DaHall 1-PDU-05"='6층_부하량'!A3:A3000)*(35='6층_부하량'!B3:B3000),0))</f>
        <v>0.67999025717570161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6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4" cm="1">
        <f t="array" ref="E340">INDEX('6층_부하량'!J3:J3000,MATCH(1,("6-DaHall 1-PDU-05"='6층_부하량'!A3:A3000)*(37='6층_부하량'!B3:B3000),0))</f>
        <v>4.9327373940309363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4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6" cm="1">
        <f t="array" ref="F341">INDEX('6층_부하량'!K3:K3000,MATCH(1,("6-DaHall 1-PDU-05"='6층_부하량'!A3:A3000)*(39='6층_부하량'!B3:B3000),0))</f>
        <v>2.1132416755738799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6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6" cm="1">
        <f t="array" ref="D342">INDEX('6층_부하량'!I3:I3000,MATCH(1,("6-DaHall 1-PDU-05"='6층_부하량'!A3:A3000)*(41='6층_부하량'!B3:B3000),0))</f>
        <v>1.7700057808245384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6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6" cm="1">
        <f t="array" ref="E343">INDEX('6층_부하량'!J3:J3000,MATCH(1,("6-DaHall 1-PDU-05"='6층_부하량'!A3:A3000)*(43='6층_부하량'!B3:B3000),0))</f>
        <v>5.754392599677832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6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6" cm="1">
        <f t="array" ref="F344">INDEX('6층_부하량'!K3:K3000,MATCH(1,("6-DaHall 1-PDU-05"='6층_부하량'!A3:A3000)*(45='6층_부하량'!B3:B3000),0))</f>
        <v>4.9233853513462043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6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4" cm="1">
        <f t="array" ref="D345">INDEX('6층_부하량'!I3:I3000,MATCH(1,("6-DaHall 1-PDU-05"='6층_부하량'!A3:A3000)*(47='6층_부하량'!B3:B3000),0))</f>
        <v>3.9750095095596647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4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6" cm="1">
        <f t="array" ref="E346">INDEX('6층_부하량'!J3:J3000,MATCH(1,("6-DaHall 1-PDU-05"='6층_부하량'!A3:A3000)*(49='6층_부하량'!B3:B3000),0))</f>
        <v>8.18849244643806</v>
      </c>
      <c r="F346" s="156"/>
      <c r="G346" s="156"/>
      <c r="H346" s="142" t="s">
        <v>4171</v>
      </c>
      <c r="I346" s="291" t="s">
        <v>4424</v>
      </c>
      <c r="J346" s="1426" t="s">
        <v>4425</v>
      </c>
      <c r="K346" s="142" t="s">
        <v>4171</v>
      </c>
      <c r="L346" s="156"/>
      <c r="M346" s="2546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4" cm="1">
        <f t="array" ref="F347">INDEX('6층_부하량'!K3:K3000,MATCH(1,("6-DaHall 1-PDU-05"='6층_부하량'!A3:A3000)*(51='6층_부하량'!B3:B3000),0))</f>
        <v>3.30048920348074</v>
      </c>
      <c r="G347" s="156"/>
      <c r="H347" s="142" t="s">
        <v>4171</v>
      </c>
      <c r="I347" s="291" t="s">
        <v>4364</v>
      </c>
      <c r="J347" s="1423" t="s">
        <v>4366</v>
      </c>
      <c r="K347" s="142" t="s">
        <v>4171</v>
      </c>
      <c r="L347" s="156"/>
      <c r="M347" s="156"/>
      <c r="N347" s="2554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8" cm="1">
        <f t="array" ref="D348">INDEX('6층_부하량'!I3:I3000,MATCH(1,("6-DaHall 1-PDU-05"='6층_부하량'!A3:A3000)*(53='6층_부하량'!B3:B3000),0))</f>
        <v>4.4660286279441319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8" cm="1">
        <f t="array" ref="L348">INDEX('6층_부하량'!I3:I3000,MATCH(1,("6-DaHall 1-PDU-05"='6층_부하량'!A3:A3000)*(54='6층_부하량'!B3:B3000),0))</f>
        <v>4.2142818242204676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19.923043410769271</v>
      </c>
      <c r="M349" s="130">
        <f>SUM(E322:E348,M322:M348)</f>
        <v>45.195505019612916</v>
      </c>
      <c r="N349" s="130">
        <f>SUM(F322:F348,N322:N348)</f>
        <v>28.180351841118849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818" t="s">
        <v>5066</v>
      </c>
      <c r="D351" s="3818"/>
      <c r="E351" s="3818"/>
      <c r="F351" s="172"/>
      <c r="G351" s="172"/>
      <c r="H351" s="132"/>
      <c r="I351" s="3823" t="s">
        <v>4288</v>
      </c>
      <c r="J351" s="382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4136</v>
      </c>
      <c r="L352" s="1342">
        <v>12.5</v>
      </c>
      <c r="M352" s="1343">
        <v>37.1</v>
      </c>
      <c r="N352" s="1344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4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4" cm="1">
        <f t="array" ref="M354">INDEX('6층_부하량'!J3:J3000,MATCH(1,("6-DaHall 1-PDU-06"='6층_부하량'!A3:A3000)*(2='6층_부하량'!B3:B3000),0))</f>
        <v>10.246272619741317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5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5" cm="1">
        <f t="array" ref="N355">INDEX('6층_부하량'!K3:K3000,MATCH(1,("6-DaHall 1-PDU-06"='6층_부하량'!A3:A3000)*(4='6층_부하량'!B3:B3000),0))</f>
        <v>4.0883996243531202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6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8" t="s">
        <v>4214</v>
      </c>
      <c r="J356" s="150" t="s">
        <v>4162</v>
      </c>
      <c r="K356" s="142" t="s">
        <v>4171</v>
      </c>
      <c r="L356" s="2546" cm="1">
        <f t="array" ref="L356">INDEX('6층_부하량'!I3:I3000,MATCH(1,("6-DaHall 1-PDU-06"='6층_부하량'!A3:A3000)*(6='6층_부하량'!B3:B3000),0))</f>
        <v>0.69113561233851339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6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6" cm="1">
        <f t="array" ref="M357">INDEX('6층_부하량'!J3:J3000,MATCH(1,("6-DaHall 1-PDU-06"='6층_부하량'!A3:A3000)*(8='6층_부하량'!B3:B3000),0))</f>
        <v>3.3983052996278906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6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6" cm="1">
        <f t="array" ref="N358">INDEX('6층_부하량'!K3:K3000,MATCH(1,("6-DaHall 1-PDU-06"='6층_부하량'!A3:A3000)*(10='6층_부하량'!B3:B3000),0))</f>
        <v>0.54024132888326248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6" cm="1">
        <f t="array" ref="D359">INDEX('6층_부하량'!I3:I3000,MATCH(1,("6-DaHall 1-PDU-06"='6층_부하량'!A3:A3000)*(11='6층_부하량'!B3:B3000),0))</f>
        <v>1.9097157359195187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6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6" cm="1">
        <f t="array" ref="E360">INDEX('6층_부하량'!J3:J3000,MATCH(1,("6-DaHall 1-PDU-06"='6층_부하량'!A3:A3000)*(13='6층_부하량'!B3:B3000),0))</f>
        <v>3.5317106621801853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6" cm="1">
        <f t="array" ref="M360">INDEX('6층_부하량'!J3:J3000,MATCH(1,("6-DaHall 1-PDU-06"='6층_부하량'!A3:A3000)*(14='6층_부하량'!B3:B3000),0))</f>
        <v>3.2494829095244149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6" cm="1">
        <f t="array" ref="F361">INDEX('6층_부하량'!K3:K3000,MATCH(1,("6-DaHall 1-PDU-06"='6층_부하량'!A3:A3000)*(15='6층_부하량'!B3:B3000),0))</f>
        <v>3.1856900766249097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6" cm="1">
        <f t="array" ref="N361">INDEX('6층_부하량'!K3:K3000,MATCH(1,("6-DaHall 1-PDU-06"='6층_부하량'!A3:A3000)*(16='6층_부하량'!B3:B3000),0))</f>
        <v>4.0690527431592294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6" cm="1">
        <f t="array" ref="D362">INDEX('6층_부하량'!I3:I3000,MATCH(1,("6-DaHall 1-PDU-06"='6층_부하량'!A3:A3000)*(17='6층_부하량'!B3:B3000),0))</f>
        <v>0.91135109241700862</v>
      </c>
      <c r="E362" s="156"/>
      <c r="F362" s="156"/>
      <c r="G362" s="156"/>
      <c r="H362" s="142" t="s">
        <v>4171</v>
      </c>
      <c r="I362" s="149" t="s">
        <v>4238</v>
      </c>
      <c r="J362" s="1423" t="s">
        <v>4179</v>
      </c>
      <c r="K362" s="142" t="s">
        <v>4171</v>
      </c>
      <c r="L362" s="2546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6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6" t="s">
        <v>4183</v>
      </c>
      <c r="K363" s="142" t="s">
        <v>4171</v>
      </c>
      <c r="L363" s="156"/>
      <c r="M363" s="2546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6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8" t="s">
        <v>4247</v>
      </c>
      <c r="J364" s="1426" t="s">
        <v>4187</v>
      </c>
      <c r="K364" s="142" t="s">
        <v>4171</v>
      </c>
      <c r="L364" s="156"/>
      <c r="M364" s="156"/>
      <c r="N364" s="2546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8" t="s">
        <v>5088</v>
      </c>
      <c r="B365" s="142" t="s">
        <v>4208</v>
      </c>
      <c r="C365" s="163" t="s">
        <v>4149</v>
      </c>
      <c r="D365" s="2546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6" t="s">
        <v>4253</v>
      </c>
      <c r="K365" s="142" t="s">
        <v>4171</v>
      </c>
      <c r="L365" s="2546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6" cm="1">
        <f t="array" ref="E366">INDEX('6층_부하량'!J3:J3000,MATCH(1,("6-DaHall 1-PDU-06"='6층_부하량'!A3:A3000)*(25='6층_부하량'!B3:B3000),0))</f>
        <v>4.4946955289472559</v>
      </c>
      <c r="F366" s="156"/>
      <c r="G366" s="156"/>
      <c r="H366" s="142" t="s">
        <v>4171</v>
      </c>
      <c r="I366" s="149" t="s">
        <v>4256</v>
      </c>
      <c r="J366" s="1426" t="s">
        <v>4258</v>
      </c>
      <c r="K366" s="142" t="s">
        <v>4171</v>
      </c>
      <c r="L366" s="156"/>
      <c r="M366" s="2546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51" cm="1">
        <f t="array" ref="F367">INDEX('6층_부하량'!K3:K3000,MATCH(1,("6-DaHall 1-PDU-06"='6층_부하량'!A3:A3000)*(27='6층_부하량'!B3:B3000),0))</f>
        <v>2.3292844130947259</v>
      </c>
      <c r="G367" s="176"/>
      <c r="H367" s="175" t="s">
        <v>4171</v>
      </c>
      <c r="I367" s="185" t="s">
        <v>4261</v>
      </c>
      <c r="J367" s="1440" t="s">
        <v>4262</v>
      </c>
      <c r="K367" s="175" t="s">
        <v>4171</v>
      </c>
      <c r="L367" s="176"/>
      <c r="M367" s="176"/>
      <c r="N367" s="2551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8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7" t="s">
        <v>4265</v>
      </c>
      <c r="K368" s="155" t="s">
        <v>4171</v>
      </c>
      <c r="L368" s="2548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6" cm="1">
        <f t="array" ref="E369">INDEX('6층_부하량'!J3:J3000,MATCH(1,("6-DaHall 1-PDU-06"='6층_부하량'!A3:A3000)*(31='6층_부하량'!B3:B3000),0))</f>
        <v>0.38044641183866201</v>
      </c>
      <c r="F369" s="156"/>
      <c r="G369" s="156"/>
      <c r="H369" s="142" t="s">
        <v>4171</v>
      </c>
      <c r="I369" s="149" t="s">
        <v>4266</v>
      </c>
      <c r="J369" s="1426" t="s">
        <v>4267</v>
      </c>
      <c r="K369" s="142" t="s">
        <v>4171</v>
      </c>
      <c r="L369" s="156"/>
      <c r="M369" s="2546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6" cm="1">
        <f t="array" ref="F370">INDEX('6층_부하량'!K3:K3000,MATCH(1,("6-DaHall 1-PDU-06"='6층_부하량'!A3:A3000)*(33='6층_부하량'!B3:B3000),0))</f>
        <v>1.1800054687826371</v>
      </c>
      <c r="G370" s="156"/>
      <c r="H370" s="142" t="s">
        <v>4171</v>
      </c>
      <c r="I370" s="149" t="s">
        <v>4270</v>
      </c>
      <c r="J370" s="1426" t="s">
        <v>4271</v>
      </c>
      <c r="K370" s="142" t="s">
        <v>4171</v>
      </c>
      <c r="L370" s="156"/>
      <c r="M370" s="156"/>
      <c r="N370" s="2546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6" cm="1">
        <f t="array" ref="D371">INDEX('6층_부하량'!I3:I3000,MATCH(1,("6-DaHall 1-PDU-06"='6층_부하량'!A3:A3000)*(35='6층_부하량'!B3:B3000),0))</f>
        <v>0.39000000000000018</v>
      </c>
      <c r="E371" s="156"/>
      <c r="F371" s="156"/>
      <c r="G371" s="156"/>
      <c r="H371" s="142" t="s">
        <v>4171</v>
      </c>
      <c r="I371" s="149" t="s">
        <v>4274</v>
      </c>
      <c r="J371" s="1426" t="s">
        <v>4276</v>
      </c>
      <c r="K371" s="142" t="s">
        <v>4171</v>
      </c>
      <c r="L371" s="2546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4" cm="1">
        <f t="array" ref="E372">INDEX('6층_부하량'!J3:J3000,MATCH(1,("6-DaHall 1-PDU-06"='6층_부하량'!A3:A3000)*(37='6층_부하량'!B3:B3000),0))</f>
        <v>4.7917841620164205</v>
      </c>
      <c r="F372" s="156"/>
      <c r="G372" s="156"/>
      <c r="H372" s="142" t="s">
        <v>4171</v>
      </c>
      <c r="I372" s="149" t="s">
        <v>4279</v>
      </c>
      <c r="J372" s="1426" t="s">
        <v>4280</v>
      </c>
      <c r="K372" s="142" t="s">
        <v>4171</v>
      </c>
      <c r="L372" s="156"/>
      <c r="M372" s="2554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6" cm="1">
        <f t="array" ref="F373">INDEX('6층_부하량'!K3:K3000,MATCH(1,("6-DaHall 1-PDU-06"='6층_부하량'!A3:A3000)*(39='6층_부하량'!B3:B3000),0))</f>
        <v>1.9109205971383838</v>
      </c>
      <c r="G373" s="156"/>
      <c r="H373" s="142" t="s">
        <v>4171</v>
      </c>
      <c r="I373" s="291" t="s">
        <v>4283</v>
      </c>
      <c r="J373" s="1426" t="s">
        <v>4284</v>
      </c>
      <c r="K373" s="142" t="s">
        <v>4171</v>
      </c>
      <c r="L373" s="156"/>
      <c r="M373" s="156"/>
      <c r="N373" s="2546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6" cm="1">
        <f t="array" ref="D374">INDEX('6층_부하량'!I3:I3000,MATCH(1,("6-DaHall 1-PDU-06"='6층_부하량'!A3:A3000)*(41='6층_부하량'!B3:B3000),0))</f>
        <v>0.46354265723355598</v>
      </c>
      <c r="E374" s="156"/>
      <c r="F374" s="156"/>
      <c r="G374" s="156"/>
      <c r="H374" s="142" t="s">
        <v>4171</v>
      </c>
      <c r="I374" s="291" t="s">
        <v>4628</v>
      </c>
      <c r="J374" s="1426" t="s">
        <v>4416</v>
      </c>
      <c r="K374" s="142" t="s">
        <v>4171</v>
      </c>
      <c r="L374" s="2546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6" cm="1">
        <f t="array" ref="E375">INDEX('6층_부하량'!J3:J3000,MATCH(1,("6-DaHall 1-PDU-06"='6층_부하량'!A3:A3000)*(43='6층_부하량'!B3:B3000),0))</f>
        <v>4.8909455546683009</v>
      </c>
      <c r="F375" s="156"/>
      <c r="G375" s="156"/>
      <c r="H375" s="142" t="s">
        <v>4171</v>
      </c>
      <c r="I375" s="291" t="s">
        <v>4418</v>
      </c>
      <c r="J375" s="1426" t="s">
        <v>4419</v>
      </c>
      <c r="K375" s="142" t="s">
        <v>4171</v>
      </c>
      <c r="L375" s="156"/>
      <c r="M375" s="2546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6" cm="1">
        <f t="array" ref="F376">INDEX('6층_부하량'!K3:K3000,MATCH(1,("6-DaHall 1-PDU-06"='6층_부하량'!A3:A3000)*(45='6층_부하량'!B3:B3000),0))</f>
        <v>5.0187086421328262</v>
      </c>
      <c r="G376" s="156"/>
      <c r="H376" s="142" t="s">
        <v>4171</v>
      </c>
      <c r="I376" s="291" t="s">
        <v>4420</v>
      </c>
      <c r="J376" s="1426" t="s">
        <v>4421</v>
      </c>
      <c r="K376" s="142" t="s">
        <v>4171</v>
      </c>
      <c r="L376" s="156"/>
      <c r="M376" s="156"/>
      <c r="N376" s="2546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4" cm="1">
        <f t="array" ref="D377">INDEX('6층_부하량'!I3:I3000,MATCH(1,("6-DaHall 1-PDU-06"='6층_부하량'!A3:A3000)*(47='6층_부하량'!B3:B3000),0))</f>
        <v>3.6492799733265673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4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6" cm="1">
        <f t="array" ref="E378">INDEX('6층_부하량'!J3:J3000,MATCH(1,("6-DaHall 1-PDU-06"='6층_부하량'!A3:A3000)*(49='6층_부하량'!B3:B3000),0))</f>
        <v>1.3383973786890504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6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4" cm="1">
        <f t="array" ref="F379">INDEX('6층_부하량'!K3:K3000,MATCH(1,("6-DaHall 1-PDU-06"='6층_부하량'!A3:A3000)*(51='6층_부하량'!B3:B3000),0))</f>
        <v>3.8694443892012371</v>
      </c>
      <c r="G379" s="156"/>
      <c r="H379" s="142" t="s">
        <v>4171</v>
      </c>
      <c r="I379" s="291" t="s">
        <v>4364</v>
      </c>
      <c r="J379" s="1423" t="s">
        <v>4366</v>
      </c>
      <c r="K379" s="142" t="s">
        <v>4171</v>
      </c>
      <c r="L379" s="156"/>
      <c r="M379" s="156"/>
      <c r="N379" s="2554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8" cm="1">
        <f t="array" ref="D380">INDEX('6층_부하량'!I3:I3000,MATCH(1,("6-DaHall 1-PDU-06"='6층_부하량'!A3:A3000)*(53='6층_부하량'!B3:B3000),0))</f>
        <v>0.5912092913590562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8" cm="1">
        <f t="array" ref="L380">INDEX('6층_부하량'!I3:I3000,MATCH(1,("6-DaHall 1-PDU-06"='6층_부하량'!A3:A3000)*(54='6층_부하량'!B3:B3000),0))</f>
        <v>2.356444291988915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10.962678654583135</v>
      </c>
      <c r="M381" s="127">
        <f>SUM(E354:E380,M354:M380)</f>
        <v>36.322040527233504</v>
      </c>
      <c r="N381" s="127">
        <f>SUM(F354:F380,N354:N380)</f>
        <v>26.191747283370333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818" t="s">
        <v>5114</v>
      </c>
      <c r="D383" s="3818"/>
      <c r="E383" s="3818"/>
      <c r="F383" s="172"/>
      <c r="G383" s="172"/>
      <c r="H383" s="132"/>
      <c r="I383" s="3823" t="s">
        <v>4288</v>
      </c>
      <c r="J383" s="382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4136</v>
      </c>
      <c r="L384" s="1342">
        <v>0</v>
      </c>
      <c r="M384" s="1343">
        <v>0</v>
      </c>
      <c r="N384" s="1344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4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32" t="s">
        <v>4206</v>
      </c>
      <c r="J386" s="1439" t="s">
        <v>4152</v>
      </c>
      <c r="K386" s="141" t="s">
        <v>4171</v>
      </c>
      <c r="L386" s="143"/>
      <c r="M386" s="2544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5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8" t="s">
        <v>4211</v>
      </c>
      <c r="J387" s="1426" t="s">
        <v>4157</v>
      </c>
      <c r="K387" s="142" t="s">
        <v>4171</v>
      </c>
      <c r="L387" s="148"/>
      <c r="M387" s="148"/>
      <c r="N387" s="2545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6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4" t="s">
        <v>4214</v>
      </c>
      <c r="J388" s="1423" t="s">
        <v>4162</v>
      </c>
      <c r="K388" s="142" t="s">
        <v>4171</v>
      </c>
      <c r="L388" s="2546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6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4" t="s">
        <v>4218</v>
      </c>
      <c r="J389" s="150" t="s">
        <v>4167</v>
      </c>
      <c r="K389" s="142" t="s">
        <v>4171</v>
      </c>
      <c r="L389" s="156"/>
      <c r="M389" s="2546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6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4" t="s">
        <v>4221</v>
      </c>
      <c r="J390" s="150" t="s">
        <v>4170</v>
      </c>
      <c r="K390" s="142" t="s">
        <v>4171</v>
      </c>
      <c r="L390" s="156"/>
      <c r="M390" s="156"/>
      <c r="N390" s="2546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6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4" t="s">
        <v>4226</v>
      </c>
      <c r="J391" s="150" t="s">
        <v>4173</v>
      </c>
      <c r="K391" s="142" t="s">
        <v>4171</v>
      </c>
      <c r="L391" s="2546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6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4" t="s">
        <v>4230</v>
      </c>
      <c r="J392" s="150" t="s">
        <v>4175</v>
      </c>
      <c r="K392" s="142" t="s">
        <v>4171</v>
      </c>
      <c r="L392" s="156"/>
      <c r="M392" s="2546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6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4" t="s">
        <v>4234</v>
      </c>
      <c r="J393" s="1423" t="s">
        <v>4177</v>
      </c>
      <c r="K393" s="142" t="s">
        <v>4171</v>
      </c>
      <c r="L393" s="156"/>
      <c r="M393" s="156"/>
      <c r="N393" s="2546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6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4" t="s">
        <v>4238</v>
      </c>
      <c r="J394" s="1423" t="s">
        <v>4179</v>
      </c>
      <c r="K394" s="142" t="s">
        <v>4171</v>
      </c>
      <c r="L394" s="2546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6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4" t="s">
        <v>4243</v>
      </c>
      <c r="J395" s="1423" t="s">
        <v>4183</v>
      </c>
      <c r="K395" s="142" t="s">
        <v>4171</v>
      </c>
      <c r="L395" s="156"/>
      <c r="M395" s="2546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6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4" t="s">
        <v>4247</v>
      </c>
      <c r="J396" s="150" t="s">
        <v>4187</v>
      </c>
      <c r="K396" s="142" t="s">
        <v>4171</v>
      </c>
      <c r="L396" s="156"/>
      <c r="M396" s="156"/>
      <c r="N396" s="2546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6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4" t="s">
        <v>4251</v>
      </c>
      <c r="J397" s="150" t="s">
        <v>4253</v>
      </c>
      <c r="K397" s="142" t="s">
        <v>4171</v>
      </c>
      <c r="L397" s="2546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6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4" t="s">
        <v>4256</v>
      </c>
      <c r="J398" s="150" t="s">
        <v>4258</v>
      </c>
      <c r="K398" s="142" t="s">
        <v>4171</v>
      </c>
      <c r="L398" s="156"/>
      <c r="M398" s="2546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51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6" t="s">
        <v>4261</v>
      </c>
      <c r="J399" s="186" t="s">
        <v>4262</v>
      </c>
      <c r="K399" s="175" t="s">
        <v>4171</v>
      </c>
      <c r="L399" s="176"/>
      <c r="M399" s="176"/>
      <c r="N399" s="2551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8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3" t="s">
        <v>4264</v>
      </c>
      <c r="J400" s="1425" t="s">
        <v>4265</v>
      </c>
      <c r="K400" s="155" t="s">
        <v>4171</v>
      </c>
      <c r="L400" s="2548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6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4" t="s">
        <v>4266</v>
      </c>
      <c r="J401" s="1423" t="s">
        <v>4267</v>
      </c>
      <c r="K401" s="142" t="s">
        <v>4171</v>
      </c>
      <c r="L401" s="156"/>
      <c r="M401" s="2546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6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4" t="s">
        <v>4270</v>
      </c>
      <c r="J402" s="1423" t="s">
        <v>4271</v>
      </c>
      <c r="K402" s="142" t="s">
        <v>4171</v>
      </c>
      <c r="L402" s="156"/>
      <c r="M402" s="156"/>
      <c r="N402" s="2546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6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4" t="s">
        <v>4274</v>
      </c>
      <c r="J403" s="150" t="s">
        <v>4276</v>
      </c>
      <c r="K403" s="142" t="s">
        <v>4171</v>
      </c>
      <c r="L403" s="2546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4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4" t="s">
        <v>4279</v>
      </c>
      <c r="J404" s="150" t="s">
        <v>4280</v>
      </c>
      <c r="K404" s="142" t="s">
        <v>4171</v>
      </c>
      <c r="L404" s="156"/>
      <c r="M404" s="2554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6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4" t="s">
        <v>4283</v>
      </c>
      <c r="J405" s="150" t="s">
        <v>4284</v>
      </c>
      <c r="K405" s="142" t="s">
        <v>4171</v>
      </c>
      <c r="L405" s="156"/>
      <c r="M405" s="156"/>
      <c r="N405" s="2546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6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6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6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6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6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6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4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4" t="s">
        <v>4422</v>
      </c>
      <c r="J409" s="1423" t="s">
        <v>4423</v>
      </c>
      <c r="K409" s="142" t="s">
        <v>4171</v>
      </c>
      <c r="L409" s="2554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6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3" t="s">
        <v>4425</v>
      </c>
      <c r="K410" s="142" t="s">
        <v>4171</v>
      </c>
      <c r="L410" s="156"/>
      <c r="M410" s="2546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4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3" t="s">
        <v>4366</v>
      </c>
      <c r="K411" s="142" t="s">
        <v>4171</v>
      </c>
      <c r="L411" s="156"/>
      <c r="M411" s="156"/>
      <c r="N411" s="2554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8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8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818" t="s">
        <v>5170</v>
      </c>
      <c r="D415" s="3818"/>
      <c r="E415" s="3818"/>
      <c r="F415" s="172"/>
      <c r="G415" s="172"/>
      <c r="H415" s="132"/>
      <c r="I415" s="3823" t="s">
        <v>4288</v>
      </c>
      <c r="J415" s="382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4136</v>
      </c>
      <c r="L416" s="1342">
        <v>0</v>
      </c>
      <c r="M416" s="1343">
        <v>0</v>
      </c>
      <c r="N416" s="1344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4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32" t="s">
        <v>4206</v>
      </c>
      <c r="J418" s="1439" t="s">
        <v>4152</v>
      </c>
      <c r="K418" s="141" t="s">
        <v>4171</v>
      </c>
      <c r="L418" s="143"/>
      <c r="M418" s="2544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5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8" t="s">
        <v>4211</v>
      </c>
      <c r="J419" s="1426" t="s">
        <v>4157</v>
      </c>
      <c r="K419" s="142" t="s">
        <v>4171</v>
      </c>
      <c r="L419" s="148"/>
      <c r="M419" s="148"/>
      <c r="N419" s="2545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6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4" t="s">
        <v>4214</v>
      </c>
      <c r="J420" s="1423" t="s">
        <v>4162</v>
      </c>
      <c r="K420" s="142" t="s">
        <v>4171</v>
      </c>
      <c r="L420" s="2546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6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4" t="s">
        <v>4218</v>
      </c>
      <c r="J421" s="150" t="s">
        <v>4167</v>
      </c>
      <c r="K421" s="142" t="s">
        <v>4171</v>
      </c>
      <c r="L421" s="156"/>
      <c r="M421" s="2546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6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4" t="s">
        <v>4221</v>
      </c>
      <c r="J422" s="150" t="s">
        <v>4170</v>
      </c>
      <c r="K422" s="142" t="s">
        <v>4171</v>
      </c>
      <c r="L422" s="156"/>
      <c r="M422" s="156"/>
      <c r="N422" s="2546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6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4" t="s">
        <v>4226</v>
      </c>
      <c r="J423" s="150" t="s">
        <v>4173</v>
      </c>
      <c r="K423" s="142" t="s">
        <v>4171</v>
      </c>
      <c r="L423" s="2546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6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4" t="s">
        <v>4230</v>
      </c>
      <c r="J424" s="150" t="s">
        <v>4175</v>
      </c>
      <c r="K424" s="142" t="s">
        <v>4171</v>
      </c>
      <c r="L424" s="156"/>
      <c r="M424" s="2546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6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4" t="s">
        <v>4234</v>
      </c>
      <c r="J425" s="1423" t="s">
        <v>4177</v>
      </c>
      <c r="K425" s="142" t="s">
        <v>4171</v>
      </c>
      <c r="L425" s="156"/>
      <c r="M425" s="156"/>
      <c r="N425" s="2546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6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4" t="s">
        <v>4238</v>
      </c>
      <c r="J426" s="1423" t="s">
        <v>4179</v>
      </c>
      <c r="K426" s="142" t="s">
        <v>4171</v>
      </c>
      <c r="L426" s="2546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6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4" t="s">
        <v>4243</v>
      </c>
      <c r="J427" s="1423" t="s">
        <v>4183</v>
      </c>
      <c r="K427" s="142" t="s">
        <v>4171</v>
      </c>
      <c r="L427" s="156"/>
      <c r="M427" s="2546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6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4" t="s">
        <v>4247</v>
      </c>
      <c r="J428" s="150" t="s">
        <v>4187</v>
      </c>
      <c r="K428" s="142" t="s">
        <v>4171</v>
      </c>
      <c r="L428" s="156"/>
      <c r="M428" s="156"/>
      <c r="N428" s="2546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6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4" t="s">
        <v>4251</v>
      </c>
      <c r="J429" s="150" t="s">
        <v>4253</v>
      </c>
      <c r="K429" s="142" t="s">
        <v>4171</v>
      </c>
      <c r="L429" s="2546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6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4" t="s">
        <v>4256</v>
      </c>
      <c r="J430" s="150" t="s">
        <v>4258</v>
      </c>
      <c r="K430" s="142" t="s">
        <v>4171</v>
      </c>
      <c r="L430" s="156"/>
      <c r="M430" s="2546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51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6" t="s">
        <v>4261</v>
      </c>
      <c r="J431" s="186" t="s">
        <v>4262</v>
      </c>
      <c r="K431" s="175" t="s">
        <v>4171</v>
      </c>
      <c r="L431" s="176"/>
      <c r="M431" s="176"/>
      <c r="N431" s="2551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8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3" t="s">
        <v>4264</v>
      </c>
      <c r="J432" s="1425" t="s">
        <v>4265</v>
      </c>
      <c r="K432" s="155" t="s">
        <v>4171</v>
      </c>
      <c r="L432" s="2548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6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4" t="s">
        <v>4266</v>
      </c>
      <c r="J433" s="1423" t="s">
        <v>4267</v>
      </c>
      <c r="K433" s="142" t="s">
        <v>4171</v>
      </c>
      <c r="L433" s="156"/>
      <c r="M433" s="2546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6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4" t="s">
        <v>4270</v>
      </c>
      <c r="J434" s="1423" t="s">
        <v>4271</v>
      </c>
      <c r="K434" s="142" t="s">
        <v>4171</v>
      </c>
      <c r="L434" s="156"/>
      <c r="M434" s="156"/>
      <c r="N434" s="2546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6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4" t="s">
        <v>4274</v>
      </c>
      <c r="J435" s="150" t="s">
        <v>4276</v>
      </c>
      <c r="K435" s="142" t="s">
        <v>4171</v>
      </c>
      <c r="L435" s="2546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4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4" t="s">
        <v>4279</v>
      </c>
      <c r="J436" s="150" t="s">
        <v>4280</v>
      </c>
      <c r="K436" s="142" t="s">
        <v>4171</v>
      </c>
      <c r="L436" s="156"/>
      <c r="M436" s="2554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6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4" t="s">
        <v>4283</v>
      </c>
      <c r="J437" s="150" t="s">
        <v>4284</v>
      </c>
      <c r="K437" s="142" t="s">
        <v>4171</v>
      </c>
      <c r="L437" s="156"/>
      <c r="M437" s="156"/>
      <c r="N437" s="2546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6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4" t="s">
        <v>4628</v>
      </c>
      <c r="J438" s="150" t="s">
        <v>4416</v>
      </c>
      <c r="K438" s="142" t="s">
        <v>4171</v>
      </c>
      <c r="L438" s="2546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6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6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6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6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4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3" t="s">
        <v>4423</v>
      </c>
      <c r="K441" s="142" t="s">
        <v>4171</v>
      </c>
      <c r="L441" s="2554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6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3" t="s">
        <v>4425</v>
      </c>
      <c r="K442" s="142" t="s">
        <v>4171</v>
      </c>
      <c r="L442" s="156"/>
      <c r="M442" s="2546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4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3" t="s">
        <v>4427</v>
      </c>
      <c r="K443" s="142" t="s">
        <v>4171</v>
      </c>
      <c r="L443" s="156"/>
      <c r="M443" s="156"/>
      <c r="N443" s="2554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8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8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364.30658014795927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4" t="s">
        <v>9312</v>
      </c>
    </row>
    <row r="2" spans="1:22" ht="18" customHeight="1" thickBot="1">
      <c r="V2" s="2071"/>
    </row>
    <row r="3" spans="1:22" ht="18" customHeight="1" thickTop="1" thickBot="1">
      <c r="A3" s="2371" t="s">
        <v>6516</v>
      </c>
      <c r="D3" s="53"/>
      <c r="E3" s="53"/>
      <c r="F3" s="53"/>
      <c r="G3" s="53"/>
      <c r="H3" s="123"/>
      <c r="I3" s="123"/>
      <c r="J3" s="3819" t="s">
        <v>4562</v>
      </c>
      <c r="K3" s="382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4136</v>
      </c>
      <c r="N4" s="1342">
        <v>62.2</v>
      </c>
      <c r="O4" s="1343">
        <v>67</v>
      </c>
      <c r="P4" s="1344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4" t="s">
        <v>6556</v>
      </c>
      <c r="B6" s="11" t="s">
        <v>4208</v>
      </c>
      <c r="C6" s="18" t="s">
        <v>4149</v>
      </c>
      <c r="D6" s="2560" cm="1">
        <f t="array" ref="D6">INDEX('5층_부하량'!C3:C3000,MATCH(1,("5-DaHall 1-CEP-05"='5층_부하량'!A3:A3000)*(1='5층_부하량'!B3:B3000),0))</f>
        <v>0</v>
      </c>
      <c r="E6" s="2560" cm="1">
        <f t="array" ref="E6">INDEX('5층_부하량'!D3:D3000,MATCH(1,("5-DaHall 1-CEP-05"='5층_부하량'!A3:A3000)*(1='5층_부하량'!B3:B3000),0))</f>
        <v>0</v>
      </c>
      <c r="F6" s="2560" cm="1">
        <f t="array" ref="F6">INDEX('5층_부하량'!E3:E3000,MATCH(1,("5-DaHall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9" cm="1">
        <f t="array" ref="N6">INDEX('5층_부하량'!C3:C3000,MATCH(1,("5-DaHall 1-CEP-05"='5층_부하량'!A3:A3000)*(2='5층_부하량'!B3:B3000),0))</f>
        <v>0</v>
      </c>
      <c r="O6" s="2559" cm="1">
        <f t="array" ref="O6">INDEX('5층_부하량'!D3:D3000,MATCH(1,("5-DaHall 1-CEP-05"='5층_부하량'!A3:A3000)*(2='5층_부하량'!B3:B3000),0))</f>
        <v>0</v>
      </c>
      <c r="P6" s="2559" cm="1">
        <f t="array" ref="P6">INDEX('5층_부하량'!E3:E3000,MATCH(1,("5-DaHall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60" cm="1">
        <f t="array" ref="D7">INDEX('5층_부하량'!C3:C3000,MATCH(1,("5-DaHall 1-CEP-05"='5층_부하량'!A3:A3000)*(3='5층_부하량'!B3:B3000),0))</f>
        <v>0</v>
      </c>
      <c r="E7" s="2560" cm="1">
        <f t="array" ref="E7">INDEX('5층_부하량'!D3:D3000,MATCH(1,("5-DaHall 1-CEP-05"='5층_부하량'!A3:A3000)*(3='5층_부하량'!B3:B3000),0))</f>
        <v>0</v>
      </c>
      <c r="F7" s="2560" cm="1">
        <f t="array" ref="F7">INDEX('5층_부하량'!E3:E3000,MATCH(1,("5-DaHall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60" cm="1">
        <f t="array" ref="N7">INDEX('5층_부하량'!C3:C3000,MATCH(1,("5-DaHall 1-CEP-05"='5층_부하량'!A3:A3000)*(4='5층_부하량'!B3:B3000),0))</f>
        <v>0</v>
      </c>
      <c r="O7" s="2560" cm="1">
        <f t="array" ref="O7">INDEX('5층_부하량'!D3:D3000,MATCH(1,("5-DaHall 1-CEP-05"='5층_부하량'!A3:A3000)*(4='5층_부하량'!B3:B3000),0))</f>
        <v>0</v>
      </c>
      <c r="P7" s="2560" cm="1">
        <f t="array" ref="P7">INDEX('5층_부하량'!E3:E3000,MATCH(1,("5-DaHall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2" cm="1">
        <f t="array" ref="D8">INDEX('5층_부하량'!C3:C3000,MATCH(1,("5-DaHall 1-CEP-05"='5층_부하량'!A3:A3000)*(5='5층_부하량'!B3:B3000),0))</f>
        <v>0</v>
      </c>
      <c r="E8" s="2562" cm="1">
        <f t="array" ref="E8">INDEX('5층_부하량'!D3:D3000,MATCH(1,("5-DaHall 1-CEP-05"='5층_부하량'!A3:A3000)*(5='5층_부하량'!B3:B3000),0))</f>
        <v>0</v>
      </c>
      <c r="F8" s="2562" cm="1">
        <f t="array" ref="F8">INDEX('5층_부하량'!E3:E3000,MATCH(1,("5-DaHall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2" cm="1">
        <f t="array" ref="N8">INDEX('5층_부하량'!C3:C3000,MATCH(1,("5-DaHall 1-CEP-05"='5층_부하량'!A3:A3000)*(6='5층_부하량'!B3:B3000),0))</f>
        <v>0</v>
      </c>
      <c r="O8" s="2562" cm="1">
        <f t="array" ref="O8">INDEX('5층_부하량'!D3:D3000,MATCH(1,("5-DaHall 1-CEP-05"='5층_부하량'!A3:A3000)*(6='5층_부하량'!B3:B3000),0))</f>
        <v>0</v>
      </c>
      <c r="P8" s="2562" cm="1">
        <f t="array" ref="P8">INDEX('5층_부하량'!E3:E3000,MATCH(1,("5-DaHall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2" cm="1">
        <f t="array" ref="D9">INDEX('5층_부하량'!C3:C3000,MATCH(1,("5-DaHall 1-CEP-05"='5층_부하량'!A3:A3000)*(7='5층_부하량'!B3:B3000),0))</f>
        <v>0</v>
      </c>
      <c r="E9" s="2562" cm="1">
        <f t="array" ref="E9">INDEX('5층_부하량'!D3:D3000,MATCH(1,("5-DaHall 1-CEP-05"='5층_부하량'!A3:A3000)*(7='5층_부하량'!B3:B3000),0))</f>
        <v>0</v>
      </c>
      <c r="F9" s="2562" cm="1">
        <f t="array" ref="F9">INDEX('5층_부하량'!E3:E3000,MATCH(1,("5-DaHall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2" cm="1">
        <f t="array" ref="N9">INDEX('5층_부하량'!C3:C3000,MATCH(1,("5-DaHall 1-CEP-05"='5층_부하량'!A3:A3000)*(8='5층_부하량'!B3:B3000),0))</f>
        <v>0</v>
      </c>
      <c r="O9" s="2562" cm="1">
        <f t="array" ref="O9">INDEX('5층_부하량'!D3:D3000,MATCH(1,("5-DaHall 1-CEP-05"='5층_부하량'!A3:A3000)*(8='5층_부하량'!B3:B3000),0))</f>
        <v>0</v>
      </c>
      <c r="P9" s="2562" cm="1">
        <f t="array" ref="P9">INDEX('5층_부하량'!E3:E3000,MATCH(1,("5-DaHall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2" cm="1">
        <f t="array" ref="D10">INDEX('5층_부하량'!C3:C3000,MATCH(1,("5-DaHall 1-CEP-05"='5층_부하량'!A3:A3000)*(9='5층_부하량'!B3:B3000),0))</f>
        <v>0</v>
      </c>
      <c r="E10" s="2562" cm="1">
        <f t="array" ref="E10">INDEX('5층_부하량'!D3:D3000,MATCH(1,("5-DaHall 1-CEP-05"='5층_부하량'!A3:A3000)*(9='5층_부하량'!B3:B3000),0))</f>
        <v>0</v>
      </c>
      <c r="F10" s="2562" cm="1">
        <f t="array" ref="F10">INDEX('5층_부하량'!E3:E3000,MATCH(1,("5-DaHall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2" cm="1">
        <f t="array" ref="N10">INDEX('5층_부하량'!C3:C3000,MATCH(1,("5-DaHall 1-CEP-05"='5층_부하량'!A3:A3000)*(10='5층_부하량'!B3:B3000),0))</f>
        <v>0</v>
      </c>
      <c r="O10" s="2562" cm="1">
        <f t="array" ref="O10">INDEX('5층_부하량'!D3:D3000,MATCH(1,("5-DaHall 1-CEP-05"='5층_부하량'!A3:A3000)*(10='5층_부하량'!B3:B3000),0))</f>
        <v>0</v>
      </c>
      <c r="P10" s="2562" cm="1">
        <f t="array" ref="P10">INDEX('5층_부하량'!E3:E3000,MATCH(1,("5-DaHall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3" cm="1">
        <f t="array" ref="D11">INDEX('5층_부하량'!C3:C3000,MATCH(1,("5-DaHall 1-CEP-05"='5층_부하량'!A3:A3000)*(11='5층_부하량'!B3:B3000),0))</f>
        <v>0</v>
      </c>
      <c r="E11" s="2563" cm="1">
        <f t="array" ref="E11">INDEX('5층_부하량'!D3:D3000,MATCH(1,("5-DaHall 1-CEP-05"='5층_부하량'!A3:A3000)*(11='5층_부하량'!B3:B3000),0))</f>
        <v>0</v>
      </c>
      <c r="F11" s="2563" cm="1">
        <f t="array" ref="F11">INDEX('5층_부하량'!E3:E3000,MATCH(1,("5-DaHall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3" cm="1">
        <f t="array" ref="N11">INDEX('5층_부하량'!C3:C3000,MATCH(1,("5-DaHall 1-CEP-05"='5층_부하량'!A3:A3000)*(12='5층_부하량'!B3:B3000),0))</f>
        <v>0</v>
      </c>
      <c r="O11" s="2563" cm="1">
        <f t="array" ref="O11">INDEX('5층_부하량'!D3:D3000,MATCH(1,("5-DaHall 1-CEP-05"='5층_부하량'!A3:A3000)*(12='5층_부하량'!B3:B3000),0))</f>
        <v>0</v>
      </c>
      <c r="P11" s="2563" cm="1">
        <f t="array" ref="P11">INDEX('5층_부하량'!E3:E3000,MATCH(1,("5-DaHall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80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80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2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6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61" cm="1">
        <f t="array" ref="F14">INDEX('5층_부하량'!E3:E3000,MATCH(1,("5-DaHall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9" cm="1">
        <f t="array" ref="P14">INDEX('5층_부하량'!E3:E3000,MATCH(1,("5-DaHall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819" t="s">
        <v>5219</v>
      </c>
      <c r="K16" s="382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4136</v>
      </c>
      <c r="N17" s="1342">
        <v>0.7</v>
      </c>
      <c r="O17" s="1343">
        <v>0</v>
      </c>
      <c r="P17" s="1344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5216</v>
      </c>
      <c r="L19" s="542" t="s">
        <v>4151</v>
      </c>
      <c r="M19" s="11" t="s">
        <v>5220</v>
      </c>
      <c r="N19" s="2559" cm="1">
        <f t="array" ref="N19">INDEX('5층_부하량'!C3:C3000,MATCH(1,("5-DaHall 1-CEP-06"='5층_부하량'!A3:A3000)*(1='5층_부하량'!B3:B3000),0))</f>
        <v>0.24</v>
      </c>
      <c r="O19" s="2559" cm="1">
        <f t="array" ref="O19">INDEX('5층_부하량'!D3:D3000,MATCH(1,("5-DaHall 1-CEP-06"='5층_부하량'!A3:A3000)*(1='5층_부하량'!B3:B3000),0))</f>
        <v>0</v>
      </c>
      <c r="P19" s="2559" cm="1">
        <f t="array" ref="P19">INDEX('5층_부하량'!E3:E3000,MATCH(1,("5-DaHall 1-CEP-06"='5층_부하량'!A3:A3000)*(1='5층_부하량'!B3:B3000),0))</f>
        <v>0.24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5216</v>
      </c>
      <c r="L20" s="543" t="s">
        <v>4436</v>
      </c>
      <c r="M20" s="17" t="s">
        <v>5220</v>
      </c>
      <c r="N20" s="2560" cm="1">
        <f t="array" ref="N20">INDEX('5층_부하량'!C3:C3000,MATCH(1,("5-DaHall 1-CEP-06"='5층_부하량'!A3:A3000)*(2='5층_부하량'!B3:B3000),0))</f>
        <v>0.24</v>
      </c>
      <c r="O20" s="2560" cm="1">
        <f t="array" ref="O20">INDEX('5층_부하량'!D3:D3000,MATCH(1,("5-DaHall 1-CEP-06"='5층_부하량'!A3:A3000)*(2='5층_부하량'!B3:B3000),0))</f>
        <v>0</v>
      </c>
      <c r="P20" s="2560" cm="1">
        <f t="array" ref="P20">INDEX('5층_부하량'!E3:E3000,MATCH(1,("5-DaHall 1-CEP-06"='5층_부하량'!A3:A3000)*(2='5층_부하량'!B3:B3000),0))</f>
        <v>0.24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5216</v>
      </c>
      <c r="L21" s="544" t="s">
        <v>4156</v>
      </c>
      <c r="M21" s="71" t="s">
        <v>5220</v>
      </c>
      <c r="N21" s="2562" cm="1">
        <f t="array" ref="N21">INDEX('5층_부하량'!C3:C3000,MATCH(1,("5-DaHall 1-CEP-06"='5층_부하량'!A3:A3000)*(3='5층_부하량'!B3:B3000),0))</f>
        <v>0.24</v>
      </c>
      <c r="O21" s="2562" cm="1">
        <f t="array" ref="O21">INDEX('5층_부하량'!D3:D3000,MATCH(1,("5-DaHall 1-CEP-06"='5층_부하량'!A3:A3000)*(3='5층_부하량'!B3:B3000),0))</f>
        <v>0</v>
      </c>
      <c r="P21" s="2562" cm="1">
        <f t="array" ref="P21">INDEX('5층_부하량'!E3:E3000,MATCH(1,("5-DaHall 1-CEP-06"='5층_부하량'!A3:A3000)*(3='5층_부하량'!B3:B3000),0))</f>
        <v>0.23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5216</v>
      </c>
      <c r="L22" s="545" t="s">
        <v>4438</v>
      </c>
      <c r="M22" s="35" t="s">
        <v>5220</v>
      </c>
      <c r="N22" s="2561" cm="1">
        <f t="array" ref="N22">INDEX('5층_부하량'!C3:C3000,MATCH(1,("5-DaHall 1-CEP-06"='5층_부하량'!A3:A3000)*(4='5층_부하량'!B3:B3000),0))</f>
        <v>0</v>
      </c>
      <c r="O22" s="2561" cm="1">
        <f t="array" ref="O22">INDEX('5층_부하량'!D3:D3000,MATCH(1,("5-DaHall 1-CEP-06"='5층_부하량'!A3:A3000)*(4='5층_부하량'!B3:B3000),0))</f>
        <v>0</v>
      </c>
      <c r="P22" s="2561" cm="1">
        <f t="array" ref="P22">INDEX('5층_부하량'!E3:E3000,MATCH(1,("5-DaHall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>
      <c r="A24" s="2" t="s">
        <v>6518</v>
      </c>
      <c r="C24" s="3818" t="s">
        <v>5225</v>
      </c>
      <c r="D24" s="3818"/>
      <c r="E24" s="3818"/>
      <c r="F24" s="3818"/>
      <c r="G24" s="53"/>
      <c r="H24" s="123"/>
      <c r="I24" s="123"/>
      <c r="J24" s="3819" t="s">
        <v>5226</v>
      </c>
      <c r="K24" s="382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4136</v>
      </c>
      <c r="N25" s="1342">
        <v>34.6</v>
      </c>
      <c r="O25" s="1343">
        <v>37.799999999999997</v>
      </c>
      <c r="P25" s="1344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9" cm="1">
        <f t="array" ref="D27">INDEX('5층_부하량'!C3:C3000,MATCH(1,("5-DaHall 1-PDU-01"='5층_부하량'!A3:A3000)*(1='5층_부하량'!B3:B3000),0))</f>
        <v>0</v>
      </c>
      <c r="E27" s="2559" cm="1">
        <f t="array" ref="E27">INDEX('5층_부하량'!D3:D3000,MATCH(1,("5-DaHall 1-PDU-01"='5층_부하량'!A3:A3000)*(1='5층_부하량'!B3:B3000),0))</f>
        <v>0</v>
      </c>
      <c r="F27" s="2559" cm="1">
        <f t="array" ref="F27">INDEX('5층_부하량'!E3:E3000,MATCH(1,("5-DaHall 1-PDU-01"='5층_부하량'!A3:A3000)*(1='5층_부하량'!B3:B3000),0))</f>
        <v>0</v>
      </c>
      <c r="G27" s="15"/>
      <c r="H27" s="11" t="s">
        <v>5227</v>
      </c>
      <c r="I27" s="1406" t="s">
        <v>5228</v>
      </c>
      <c r="J27" s="60"/>
      <c r="K27" s="61"/>
      <c r="L27" s="561" t="s">
        <v>5229</v>
      </c>
      <c r="M27" s="11" t="s">
        <v>5227</v>
      </c>
      <c r="N27" s="2559" cm="1">
        <f t="array" ref="N27">INDEX('5층_부하량'!C3:C3000,MATCH(1,("5-DaHall 1-PDU-01"='5층_부하량'!A3:A3000)*(55='5층_부하량'!B3:B3000),0))</f>
        <v>0</v>
      </c>
      <c r="O27" s="2559" cm="1">
        <f t="array" ref="O27">INDEX('5층_부하량'!D3:D3000,MATCH(1,("5-DaHall 1-PDU-01"='5층_부하량'!A3:A3000)*(55='5층_부하량'!B3:B3000),0))</f>
        <v>0.57999999999999996</v>
      </c>
      <c r="P27" s="2559" cm="1">
        <f t="array" ref="P27">INDEX('5층_부하량'!E3:E3000,MATCH(1,("5-DaHall 1-PDU-01"='5층_부하량'!A3:A3000)*(55='5층_부하량'!B3:B3000),0))</f>
        <v>0.72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2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2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6" t="s">
        <v>5233</v>
      </c>
      <c r="D29" s="21"/>
      <c r="E29" s="2562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2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6" t="s">
        <v>5233</v>
      </c>
      <c r="D30" s="21"/>
      <c r="E30" s="21"/>
      <c r="F30" s="2562" cm="1">
        <f t="array" ref="F30">INDEX('5층_부하량'!E3:E3000,MATCH(1,("5-DaHall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2" cm="1">
        <f t="array" ref="P30">INDEX('5층_부하량'!E3:E3000,MATCH(1,("5-DaHall 1-PDU-01"='5층_부하량'!A3:A3000)*(58='5층_부하량'!B3:B3000),0))</f>
        <v>1.52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6" t="s">
        <v>5233</v>
      </c>
      <c r="D31" s="2562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2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4" t="s">
        <v>5238</v>
      </c>
      <c r="B32" s="17" t="s">
        <v>4204</v>
      </c>
      <c r="C32" s="18" t="s">
        <v>4149</v>
      </c>
      <c r="D32" s="21"/>
      <c r="E32" s="2562" cm="1">
        <f t="array" ref="E32">INDEX('5층_부하량'!D3:D3000,MATCH(1,("5-DaHall 1-PDU-01"='5층_부하량'!A3:A3000)*(6='5층_부하량'!B3:B3000),0))</f>
        <v>9.27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2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5" t="s">
        <v>5241</v>
      </c>
      <c r="B33" s="17" t="s">
        <v>4204</v>
      </c>
      <c r="C33" s="18" t="s">
        <v>4149</v>
      </c>
      <c r="D33" s="21"/>
      <c r="E33" s="21"/>
      <c r="F33" s="2562" cm="1">
        <f t="array" ref="F33">INDEX('5층_부하량'!E3:E3000,MATCH(1,("5-DaHall 1-PDU-01"='5층_부하량'!A3:A3000)*(7='5층_부하량'!B3:B3000),0))</f>
        <v>8.67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2" cm="1">
        <f t="array" ref="P33">INDEX('5층_부하량'!E3:E3000,MATCH(1,("5-DaHall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4" t="s">
        <v>5244</v>
      </c>
      <c r="B34" s="17" t="s">
        <v>4204</v>
      </c>
      <c r="C34" s="18" t="s">
        <v>4149</v>
      </c>
      <c r="D34" s="2562" cm="1">
        <f t="array" ref="D34">INDEX('5층_부하량'!C3:C3000,MATCH(1,("5-DaHall 1-PDU-01"='5층_부하량'!A3:A3000)*(8='5층_부하량'!B3:B3000),0))</f>
        <v>9.7200000000000006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2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5" t="s">
        <v>5245</v>
      </c>
      <c r="B35" s="17" t="s">
        <v>4204</v>
      </c>
      <c r="C35" s="18" t="s">
        <v>4149</v>
      </c>
      <c r="D35" s="21"/>
      <c r="E35" s="2562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2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5" t="s">
        <v>5246</v>
      </c>
      <c r="B36" s="17" t="s">
        <v>4204</v>
      </c>
      <c r="C36" s="18" t="s">
        <v>4149</v>
      </c>
      <c r="D36" s="21"/>
      <c r="E36" s="21"/>
      <c r="F36" s="2562" cm="1">
        <f t="array" ref="F36">INDEX('5층_부하량'!E3:E3000,MATCH(1,("5-DaHall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2" cm="1">
        <f t="array" ref="P36">INDEX('5층_부하량'!E3:E3000,MATCH(1,("5-DaHall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2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2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2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2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2" cm="1">
        <f t="array" ref="F39">INDEX('5층_부하량'!E3:E3000,MATCH(1,("5-DaHall 1-PDU-01"='5층_부하량'!A3:A3000)*(13='5층_부하량'!B3:B3000),0))</f>
        <v>1.48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2" cm="1">
        <f t="array" ref="P39">INDEX('5층_부하량'!E3:E3000,MATCH(1,("5-DaHall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2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2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2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2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2" cm="1">
        <f t="array" ref="F42">INDEX('5층_부하량'!E3:E3000,MATCH(1,("5-DaHall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2" cm="1">
        <f t="array" ref="P42">INDEX('5층_부하량'!E3:E3000,MATCH(1,("5-DaHall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5" t="s">
        <v>5253</v>
      </c>
      <c r="B43" s="17" t="s">
        <v>4204</v>
      </c>
      <c r="C43" s="18" t="s">
        <v>4149</v>
      </c>
      <c r="D43" s="2562" cm="1">
        <f t="array" ref="D43">INDEX('5층_부하량'!C3:C3000,MATCH(1,("5-DaHall 1-PDU-01"='5층_부하량'!A3:A3000)*(17='5층_부하량'!B3:B3000),0))</f>
        <v>8.99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2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5" t="s">
        <v>5255</v>
      </c>
      <c r="B44" s="17" t="s">
        <v>4204</v>
      </c>
      <c r="C44" s="18" t="s">
        <v>4149</v>
      </c>
      <c r="D44" s="21"/>
      <c r="E44" s="2562" cm="1">
        <f t="array" ref="E44">INDEX('5층_부하량'!D3:D3000,MATCH(1,("5-DaHall 1-PDU-01"='5층_부하량'!A3:A3000)*(18='5층_부하량'!B3:B3000),0))</f>
        <v>7.05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2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5" t="s">
        <v>5258</v>
      </c>
      <c r="B45" s="17" t="s">
        <v>4204</v>
      </c>
      <c r="C45" s="18" t="s">
        <v>4149</v>
      </c>
      <c r="D45" s="21"/>
      <c r="E45" s="19"/>
      <c r="F45" s="2560" cm="1">
        <f t="array" ref="F45">INDEX('5층_부하량'!E3:E3000,MATCH(1,("5-DaHall 1-PDU-01"='5층_부하량'!A3:A3000)*(19='5층_부하량'!B3:B3000),0))</f>
        <v>8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60" cm="1">
        <f t="array" ref="P45">INDEX('5층_부하량'!E3:E3000,MATCH(1,("5-DaHall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5" t="s">
        <v>5260</v>
      </c>
      <c r="B46" s="17" t="s">
        <v>4204</v>
      </c>
      <c r="C46" s="18" t="s">
        <v>4149</v>
      </c>
      <c r="D46" s="2562" cm="1">
        <f t="array" ref="D46">INDEX('5층_부하량'!C3:C3000,MATCH(1,("5-DaHall 1-PDU-01"='5층_부하량'!A3:A3000)*(20='5층_부하량'!B3:B3000),0))</f>
        <v>6.62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2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5" t="s">
        <v>5262</v>
      </c>
      <c r="B47" s="17" t="s">
        <v>4204</v>
      </c>
      <c r="C47" s="18" t="s">
        <v>4149</v>
      </c>
      <c r="D47" s="21"/>
      <c r="E47" s="2562" cm="1">
        <f t="array" ref="E47">INDEX('5층_부하량'!D3:D3000,MATCH(1,("5-DaHall 1-PDU-01"='5층_부하량'!A3:A3000)*(21='5층_부하량'!B3:B3000),0))</f>
        <v>8.7899999999999991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7" t="s">
        <v>4284</v>
      </c>
      <c r="M47" s="17" t="s">
        <v>4171</v>
      </c>
      <c r="N47" s="21"/>
      <c r="O47" s="2562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6" t="s">
        <v>3028</v>
      </c>
      <c r="D48" s="21"/>
      <c r="E48" s="19"/>
      <c r="F48" s="2562" cm="1">
        <f t="array" ref="F48">INDEX('5층_부하량'!E3:E3000,MATCH(1,("5-DaHall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2" cm="1">
        <f t="array" ref="P48">INDEX('5층_부하량'!E3:E3000,MATCH(1,("5-DaHall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6" t="s">
        <v>3028</v>
      </c>
      <c r="D49" s="2562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2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6" t="s">
        <v>3028</v>
      </c>
      <c r="D50" s="21"/>
      <c r="E50" s="2562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7" t="s">
        <v>4421</v>
      </c>
      <c r="M50" s="17" t="s">
        <v>4171</v>
      </c>
      <c r="N50" s="21"/>
      <c r="O50" s="2562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6" t="s">
        <v>3028</v>
      </c>
      <c r="D51" s="21"/>
      <c r="E51" s="21"/>
      <c r="F51" s="2562" cm="1">
        <f t="array" ref="F51">INDEX('5층_부하량'!E3:E3000,MATCH(1,("5-DaHall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2" cm="1">
        <f t="array" ref="P51">INDEX('5층_부하량'!E3:E3000,MATCH(1,("5-DaHall 1-PDU-01"='5층_부하량'!A3:A3000)*(79='5층_부하량'!B3:B3000),0))</f>
        <v>1.72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61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61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26.360000000000003</v>
      </c>
      <c r="O53" s="33">
        <f>SUM(E27:E52,O27:O52)</f>
        <v>27.679999999999996</v>
      </c>
      <c r="P53" s="33">
        <f>SUM(F27:F52,P27:P52)</f>
        <v>22.109999999999996</v>
      </c>
    </row>
    <row r="54" spans="1:20" ht="18" customHeight="1" thickTop="1" thickBot="1">
      <c r="A54" s="2" t="s">
        <v>6519</v>
      </c>
      <c r="C54" s="3818" t="s">
        <v>5270</v>
      </c>
      <c r="D54" s="3818"/>
      <c r="E54" s="3818"/>
      <c r="F54" s="3818"/>
      <c r="G54" s="53"/>
      <c r="H54" s="123"/>
      <c r="I54" s="123"/>
      <c r="J54" s="3819" t="s">
        <v>5226</v>
      </c>
      <c r="K54" s="382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4136</v>
      </c>
      <c r="N55" s="1342">
        <v>34.6</v>
      </c>
      <c r="O55" s="1343">
        <v>35.200000000000003</v>
      </c>
      <c r="P55" s="1344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9" cm="1">
        <f t="array" ref="D57">INDEX('5층_부하량'!C3:C3000,MATCH(1,("5-DaHall 1-PDU-02"='5층_부하량'!A3:A3000)*(1='5층_부하량'!B3:B3000),0))</f>
        <v>0</v>
      </c>
      <c r="E57" s="2559" cm="1">
        <f t="array" ref="E57">INDEX('5층_부하량'!D3:D3000,MATCH(1,("5-DaHall 1-PDU-02"='5층_부하량'!A3:A3000)*(1='5층_부하량'!B3:B3000),0))</f>
        <v>0</v>
      </c>
      <c r="F57" s="2559" cm="1">
        <f t="array" ref="F57">INDEX('5층_부하량'!E3:E3000,MATCH(1,("5-DaHall 1-PDU-02"='5층_부하량'!A3:A3000)*(1='5층_부하량'!B3:B3000),0))</f>
        <v>0</v>
      </c>
      <c r="G57" s="15"/>
      <c r="H57" s="11" t="s">
        <v>5227</v>
      </c>
      <c r="I57" s="1406" t="s">
        <v>5228</v>
      </c>
      <c r="J57" s="60"/>
      <c r="K57" s="61"/>
      <c r="L57" s="561" t="s">
        <v>5229</v>
      </c>
      <c r="M57" s="11" t="s">
        <v>5227</v>
      </c>
      <c r="N57" s="2559" cm="1">
        <f t="array" ref="N57">INDEX('5층_부하량'!C3:C3000,MATCH(1,("5-DaHall 1-PDU-02"='5층_부하량'!A3:A3000)*(55='5층_부하량'!B3:B3000),0))</f>
        <v>0</v>
      </c>
      <c r="O57" s="2559" cm="1">
        <f t="array" ref="O57">INDEX('5층_부하량'!D3:D3000,MATCH(1,("5-DaHall 1-PDU-02"='5층_부하량'!A3:A3000)*(55='5층_부하량'!B3:B3000),0))</f>
        <v>0.65</v>
      </c>
      <c r="P57" s="2559" cm="1">
        <f t="array" ref="P57">INDEX('5층_부하량'!E3:E3000,MATCH(1,("5-DaHall 1-PDU-02"='5층_부하량'!A3:A3000)*(55='5층_부하량'!B3:B3000),0))</f>
        <v>0.73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6" t="s">
        <v>3028</v>
      </c>
      <c r="D58" s="2562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2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6" t="s">
        <v>3028</v>
      </c>
      <c r="D59" s="21"/>
      <c r="E59" s="2562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2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6" t="s">
        <v>3028</v>
      </c>
      <c r="D60" s="21"/>
      <c r="E60" s="21"/>
      <c r="F60" s="2562" cm="1">
        <f t="array" ref="F60">INDEX('5층_부하량'!E3:E3000,MATCH(1,("5-DaHall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2" cm="1">
        <f t="array" ref="P60">INDEX('5층_부하량'!E3:E3000,MATCH(1,("5-DaHall 1-PDU-02"='5층_부하량'!A3:A3000)*(58='5층_부하량'!B3:B3000),0))</f>
        <v>1.24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6" t="s">
        <v>3028</v>
      </c>
      <c r="D61" s="2562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2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4" t="s">
        <v>5274</v>
      </c>
      <c r="B62" s="17" t="s">
        <v>4204</v>
      </c>
      <c r="C62" s="18" t="s">
        <v>4149</v>
      </c>
      <c r="D62" s="21"/>
      <c r="E62" s="2562" cm="1">
        <f t="array" ref="E62">INDEX('5층_부하량'!D3:D3000,MATCH(1,("5-DaHall 1-PDU-02"='5층_부하량'!A3:A3000)*(6='5층_부하량'!B3:B3000),0))</f>
        <v>7.61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2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5" t="s">
        <v>5276</v>
      </c>
      <c r="B63" s="17" t="s">
        <v>4204</v>
      </c>
      <c r="C63" s="18" t="s">
        <v>4149</v>
      </c>
      <c r="D63" s="21"/>
      <c r="E63" s="21"/>
      <c r="F63" s="2562" cm="1">
        <f t="array" ref="F63">INDEX('5층_부하량'!E3:E3000,MATCH(1,("5-DaHall 1-PDU-02"='5층_부하량'!A3:A3000)*(7='5층_부하량'!B3:B3000),0))</f>
        <v>9.42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2" cm="1">
        <f t="array" ref="P63">INDEX('5층_부하량'!E3:E3000,MATCH(1,("5-DaHall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4" t="s">
        <v>5278</v>
      </c>
      <c r="B64" s="17" t="s">
        <v>4204</v>
      </c>
      <c r="C64" s="18" t="s">
        <v>4149</v>
      </c>
      <c r="D64" s="2562" cm="1">
        <f t="array" ref="D64">INDEX('5층_부하량'!C3:C3000,MATCH(1,("5-DaHall 1-PDU-02"='5층_부하량'!A3:A3000)*(8='5층_부하량'!B3:B3000),0))</f>
        <v>8.26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2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5" t="s">
        <v>5279</v>
      </c>
      <c r="B65" s="17" t="s">
        <v>4204</v>
      </c>
      <c r="C65" s="18" t="s">
        <v>4149</v>
      </c>
      <c r="D65" s="21"/>
      <c r="E65" s="2562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2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5" t="s">
        <v>5280</v>
      </c>
      <c r="B66" s="17" t="s">
        <v>4204</v>
      </c>
      <c r="C66" s="18" t="s">
        <v>4149</v>
      </c>
      <c r="D66" s="21"/>
      <c r="E66" s="21"/>
      <c r="F66" s="2562" cm="1">
        <f t="array" ref="F66">INDEX('5층_부하량'!E3:E3000,MATCH(1,("5-DaHall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2" cm="1">
        <f t="array" ref="P66">INDEX('5층_부하량'!E3:E3000,MATCH(1,("5-DaHall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2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2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2" cm="1">
        <f t="array" ref="E68">INDEX('5층_부하량'!D3:D3000,MATCH(1,("5-DaHall 1-PDU-02"='5층_부하량'!A3:A3000)*(12='5층_부하량'!B3:B3000),0))</f>
        <v>1.54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2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2" cm="1">
        <f t="array" ref="F69">INDEX('5층_부하량'!E3:E3000,MATCH(1,("5-DaHall 1-PDU-02"='5층_부하량'!A3:A3000)*(13='5층_부하량'!B3:B3000),0))</f>
        <v>1.26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2" cm="1">
        <f t="array" ref="P69">INDEX('5층_부하량'!E3:E3000,MATCH(1,("5-DaHall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2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2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2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2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2" cm="1">
        <f t="array" ref="F72">INDEX('5층_부하량'!E3:E3000,MATCH(1,("5-DaHall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2" cm="1">
        <f t="array" ref="P72">INDEX('5층_부하량'!E3:E3000,MATCH(1,("5-DaHall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5" t="s">
        <v>5253</v>
      </c>
      <c r="B73" s="17" t="s">
        <v>4204</v>
      </c>
      <c r="C73" s="18" t="s">
        <v>4149</v>
      </c>
      <c r="D73" s="2562" cm="1">
        <f t="array" ref="D73">INDEX('5층_부하량'!C3:C3000,MATCH(1,("5-DaHall 1-PDU-02"='5층_부하량'!A3:A3000)*(17='5층_부하량'!B3:B3000),0))</f>
        <v>9.6999999999999993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2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5" t="s">
        <v>5284</v>
      </c>
      <c r="B74" s="17" t="s">
        <v>4204</v>
      </c>
      <c r="C74" s="18" t="s">
        <v>4149</v>
      </c>
      <c r="D74" s="21"/>
      <c r="E74" s="2562" cm="1">
        <f t="array" ref="E74">INDEX('5층_부하량'!D3:D3000,MATCH(1,("5-DaHall 1-PDU-02"='5층_부하량'!A3:A3000)*(18='5층_부하량'!B3:B3000),0))</f>
        <v>8.4499999999999993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2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5" t="s">
        <v>5286</v>
      </c>
      <c r="B75" s="17" t="s">
        <v>4204</v>
      </c>
      <c r="C75" s="18" t="s">
        <v>4149</v>
      </c>
      <c r="D75" s="21"/>
      <c r="E75" s="19"/>
      <c r="F75" s="2560" cm="1">
        <f t="array" ref="F75">INDEX('5층_부하량'!E3:E3000,MATCH(1,("5-DaHall 1-PDU-02"='5층_부하량'!A3:A3000)*(19='5층_부하량'!B3:B3000),0))</f>
        <v>7.07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60" cm="1">
        <f t="array" ref="P75">INDEX('5층_부하량'!E3:E3000,MATCH(1,("5-DaHall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5" t="s">
        <v>5288</v>
      </c>
      <c r="B76" s="17" t="s">
        <v>4204</v>
      </c>
      <c r="C76" s="18" t="s">
        <v>4149</v>
      </c>
      <c r="D76" s="2562" cm="1">
        <f t="array" ref="D76">INDEX('5층_부하량'!C3:C3000,MATCH(1,("5-DaHall 1-PDU-02"='5층_부하량'!A3:A3000)*(20='5층_부하량'!B3:B3000),0))</f>
        <v>8.3800000000000008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2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5" t="s">
        <v>5290</v>
      </c>
      <c r="B77" s="17" t="s">
        <v>4204</v>
      </c>
      <c r="C77" s="18" t="s">
        <v>4149</v>
      </c>
      <c r="D77" s="21"/>
      <c r="E77" s="2562" cm="1">
        <f t="array" ref="E77">INDEX('5층_부하량'!D3:D3000,MATCH(1,("5-DaHall 1-PDU-02"='5층_부하량'!A3:A3000)*(21='5층_부하량'!B3:B3000),0))</f>
        <v>7.19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2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6" t="s">
        <v>3028</v>
      </c>
      <c r="D78" s="21"/>
      <c r="E78" s="19"/>
      <c r="F78" s="2562" cm="1">
        <f t="array" ref="F78">INDEX('5층_부하량'!E3:E3000,MATCH(1,("5-DaHall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2" cm="1">
        <f t="array" ref="P78">INDEX('5층_부하량'!E3:E3000,MATCH(1,("5-DaHall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6" t="s">
        <v>3028</v>
      </c>
      <c r="D79" s="2562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2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6" t="s">
        <v>3028</v>
      </c>
      <c r="D80" s="21"/>
      <c r="E80" s="2562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2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6" t="s">
        <v>3028</v>
      </c>
      <c r="D81" s="21"/>
      <c r="E81" s="21"/>
      <c r="F81" s="2562" cm="1">
        <f t="array" ref="F81">INDEX('5층_부하량'!E3:E3000,MATCH(1,("5-DaHall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2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61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61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26.340000000000003</v>
      </c>
      <c r="O83" s="33">
        <f>SUM(E57:E82,O57:O82)</f>
        <v>26.05</v>
      </c>
      <c r="P83" s="33">
        <f>SUM(F57:F82,P57:P82)</f>
        <v>20.81</v>
      </c>
    </row>
    <row r="84" spans="1:20" ht="18" customHeight="1" thickTop="1" thickBot="1">
      <c r="A84" s="2" t="s">
        <v>6520</v>
      </c>
      <c r="C84" s="3818" t="s">
        <v>5295</v>
      </c>
      <c r="D84" s="3818"/>
      <c r="E84" s="3818"/>
      <c r="F84" s="3818"/>
      <c r="G84" s="53"/>
      <c r="H84" s="123"/>
      <c r="I84" s="123"/>
      <c r="J84" s="3819" t="s">
        <v>5226</v>
      </c>
      <c r="K84" s="382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4136</v>
      </c>
      <c r="N85" s="1342">
        <v>26.8</v>
      </c>
      <c r="O85" s="1343">
        <v>15.9</v>
      </c>
      <c r="P85" s="1344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9" cm="1">
        <f t="array" ref="D87">INDEX('5층_부하량'!C3:C3000,MATCH(1,("5-DaHall 1-PDU-03"='5층_부하량'!A3:A3000)*(1='5층_부하량'!B3:B3000),0))</f>
        <v>0</v>
      </c>
      <c r="E87" s="2559" cm="1">
        <f t="array" ref="E87">INDEX('5층_부하량'!D3:D3000,MATCH(1,("5-DaHall 1-PDU-03"='5층_부하량'!A3:A3000)*(1='5층_부하량'!B3:B3000),0))</f>
        <v>0</v>
      </c>
      <c r="F87" s="2559" cm="1">
        <f t="array" ref="F87">INDEX('5층_부하량'!E3:E3000,MATCH(1,("5-DaHall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9" cm="1">
        <f t="array" ref="N87">INDEX('5층_부하량'!C3:C3000,MATCH(1,("5-DaHall 1-PDU-03"='5층_부하량'!A3:A3000)*(55='5층_부하량'!B3:B3000),0))</f>
        <v>0</v>
      </c>
      <c r="O87" s="2559" cm="1">
        <f t="array" ref="O87">INDEX('5층_부하량'!D3:D3000,MATCH(1,("5-DaHall 1-PDU-03"='5층_부하량'!A3:A3000)*(55='5층_부하량'!B3:B3000),0))</f>
        <v>0</v>
      </c>
      <c r="P87" s="2559" cm="1">
        <f t="array" ref="P87">INDEX('5층_부하량'!E3:E3000,MATCH(1,("5-DaHall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2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7" t="s">
        <v>2834</v>
      </c>
      <c r="L88" s="543" t="s">
        <v>4152</v>
      </c>
      <c r="M88" s="17" t="s">
        <v>4150</v>
      </c>
      <c r="N88" s="2562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2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7" t="s">
        <v>2834</v>
      </c>
      <c r="L89" s="543" t="s">
        <v>4157</v>
      </c>
      <c r="M89" s="17" t="s">
        <v>4150</v>
      </c>
      <c r="N89" s="21"/>
      <c r="O89" s="2562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2" cm="1">
        <f t="array" ref="F90">INDEX('5층_부하량'!E3:E3000,MATCH(1,("5-DaHall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7" t="s">
        <v>2834</v>
      </c>
      <c r="L90" s="543" t="s">
        <v>4162</v>
      </c>
      <c r="M90" s="17" t="s">
        <v>4150</v>
      </c>
      <c r="N90" s="21"/>
      <c r="O90" s="21"/>
      <c r="P90" s="2562" cm="1">
        <f t="array" ref="P90">INDEX('5층_부하량'!E3:E3000,MATCH(1,("5-DaHall 1-PDU-03"='5층_부하량'!A3:A3000)*(58='5층_부하량'!B3:B3000),0))</f>
        <v>0.53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2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7" t="s">
        <v>2834</v>
      </c>
      <c r="L91" s="543" t="s">
        <v>4167</v>
      </c>
      <c r="M91" s="17" t="s">
        <v>4171</v>
      </c>
      <c r="N91" s="2562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2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7" t="s">
        <v>2834</v>
      </c>
      <c r="L92" s="543" t="s">
        <v>4170</v>
      </c>
      <c r="M92" s="17" t="s">
        <v>4171</v>
      </c>
      <c r="N92" s="21"/>
      <c r="O92" s="2562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2" cm="1">
        <f t="array" ref="F93">INDEX('5층_부하량'!E3:E3000,MATCH(1,("5-DaHall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7" t="s">
        <v>2834</v>
      </c>
      <c r="L93" s="543" t="s">
        <v>4173</v>
      </c>
      <c r="M93" s="17" t="s">
        <v>4171</v>
      </c>
      <c r="N93" s="21"/>
      <c r="O93" s="21"/>
      <c r="P93" s="2562" cm="1">
        <f t="array" ref="P93">INDEX('5층_부하량'!E3:E3000,MATCH(1,("5-DaHall 1-PDU-03"='5층_부하량'!A3:A3000)*(61='5층_부하량'!B3:B3000),0))</f>
        <v>1.73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2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7" t="s">
        <v>2834</v>
      </c>
      <c r="L94" s="543" t="s">
        <v>4175</v>
      </c>
      <c r="M94" s="17" t="s">
        <v>4171</v>
      </c>
      <c r="N94" s="2562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2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7" t="s">
        <v>2834</v>
      </c>
      <c r="L95" s="543" t="s">
        <v>4177</v>
      </c>
      <c r="M95" s="17" t="s">
        <v>4171</v>
      </c>
      <c r="N95" s="21"/>
      <c r="O95" s="2562" cm="1">
        <f t="array" ref="O95">INDEX('5층_부하량'!D3:D3000,MATCH(1,("5-DaHall 1-PDU-03"='5층_부하량'!A3:A3000)*(63='5층_부하량'!B3:B3000),0))</f>
        <v>3.68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2" cm="1">
        <f t="array" ref="F96">INDEX('5층_부하량'!E3:E3000,MATCH(1,("5-DaHall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7" t="s">
        <v>2834</v>
      </c>
      <c r="L96" s="543" t="s">
        <v>4179</v>
      </c>
      <c r="M96" s="17" t="s">
        <v>4171</v>
      </c>
      <c r="N96" s="21"/>
      <c r="O96" s="21"/>
      <c r="P96" s="2562" cm="1">
        <f t="array" ref="P96">INDEX('5층_부하량'!E3:E3000,MATCH(1,("5-DaHall 1-PDU-03"='5층_부하량'!A3:A3000)*(64='5층_부하량'!B3:B3000),0))</f>
        <v>0.84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2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7" t="s">
        <v>2834</v>
      </c>
      <c r="L97" s="543" t="s">
        <v>4183</v>
      </c>
      <c r="M97" s="17" t="s">
        <v>4171</v>
      </c>
      <c r="N97" s="2562" cm="1">
        <f t="array" ref="N97">INDEX('5층_부하량'!C3:C3000,MATCH(1,("5-DaHall 1-PDU-03"='5층_부하량'!A3:A3000)*(65='5층_부하량'!B3:B3000),0))</f>
        <v>2.79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2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7" t="s">
        <v>2834</v>
      </c>
      <c r="L98" s="543" t="s">
        <v>4187</v>
      </c>
      <c r="M98" s="17" t="s">
        <v>4171</v>
      </c>
      <c r="N98" s="21"/>
      <c r="O98" s="2562" cm="1">
        <f t="array" ref="O98">INDEX('5층_부하량'!D3:D3000,MATCH(1,("5-DaHall 1-PDU-03"='5층_부하량'!A3:A3000)*(66='5층_부하량'!B3:B3000),0))</f>
        <v>2.93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2" cm="1">
        <f t="array" ref="F99">INDEX('5층_부하량'!E3:E3000,MATCH(1,("5-DaHall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7" t="s">
        <v>2834</v>
      </c>
      <c r="L99" s="543" t="s">
        <v>4253</v>
      </c>
      <c r="M99" s="17" t="s">
        <v>4171</v>
      </c>
      <c r="N99" s="21"/>
      <c r="O99" s="21"/>
      <c r="P99" s="2562" cm="1">
        <f t="array" ref="P99">INDEX('5층_부하량'!E3:E3000,MATCH(1,("5-DaHall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2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7" t="s">
        <v>2834</v>
      </c>
      <c r="L100" s="543" t="s">
        <v>4258</v>
      </c>
      <c r="M100" s="17" t="s">
        <v>4171</v>
      </c>
      <c r="N100" s="2562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2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7" t="s">
        <v>2834</v>
      </c>
      <c r="L101" s="544" t="s">
        <v>4262</v>
      </c>
      <c r="M101" s="71" t="s">
        <v>4171</v>
      </c>
      <c r="N101" s="21"/>
      <c r="O101" s="2562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2" cm="1">
        <f t="array" ref="F102">INDEX('5층_부하량'!E3:E3000,MATCH(1,("5-DaHall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7" t="s">
        <v>2834</v>
      </c>
      <c r="L102" s="543" t="s">
        <v>4265</v>
      </c>
      <c r="M102" s="17" t="s">
        <v>4171</v>
      </c>
      <c r="N102" s="21"/>
      <c r="O102" s="21"/>
      <c r="P102" s="2562" cm="1">
        <f t="array" ref="P102">INDEX('5층_부하량'!E3:E3000,MATCH(1,("5-DaHall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2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7" t="s">
        <v>2834</v>
      </c>
      <c r="L103" s="543" t="s">
        <v>4267</v>
      </c>
      <c r="M103" s="17" t="s">
        <v>4171</v>
      </c>
      <c r="N103" s="2562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2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7" t="s">
        <v>2834</v>
      </c>
      <c r="L104" s="543" t="s">
        <v>4271</v>
      </c>
      <c r="M104" s="17" t="s">
        <v>4171</v>
      </c>
      <c r="N104" s="21"/>
      <c r="O104" s="2562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60" cm="1">
        <f t="array" ref="F105">INDEX('5층_부하량'!E3:E3000,MATCH(1,("5-DaHall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7" t="s">
        <v>2834</v>
      </c>
      <c r="L105" s="543" t="s">
        <v>4276</v>
      </c>
      <c r="M105" s="17" t="s">
        <v>4171</v>
      </c>
      <c r="N105" s="21"/>
      <c r="O105" s="19"/>
      <c r="P105" s="2560" cm="1">
        <f t="array" ref="P105">INDEX('5층_부하량'!E3:E3000,MATCH(1,("5-DaHall 1-PDU-03"='5층_부하량'!A3:A3000)*(73='5층_부하량'!B3:B3000),0))</f>
        <v>2.15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2" cm="1">
        <f t="array" ref="D106">INDEX('5층_부하량'!C3:C3000,MATCH(1,("5-DaHall 1-PDU-03"='5층_부하량'!A3:A3000)*(20='5층_부하량'!B3:B3000),0))</f>
        <v>2.6</v>
      </c>
      <c r="E106" s="19"/>
      <c r="F106" s="19"/>
      <c r="G106" s="21"/>
      <c r="H106" s="17" t="s">
        <v>4171</v>
      </c>
      <c r="I106" s="543" t="s">
        <v>4279</v>
      </c>
      <c r="J106" s="2155" t="s">
        <v>2837</v>
      </c>
      <c r="K106" s="2157" t="s">
        <v>2834</v>
      </c>
      <c r="L106" s="543" t="s">
        <v>4280</v>
      </c>
      <c r="M106" s="17" t="s">
        <v>4171</v>
      </c>
      <c r="N106" s="2562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2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4171</v>
      </c>
      <c r="I107" s="543" t="s">
        <v>4283</v>
      </c>
      <c r="J107" s="2155" t="s">
        <v>2837</v>
      </c>
      <c r="K107" s="2157" t="s">
        <v>2834</v>
      </c>
      <c r="L107" s="543" t="s">
        <v>4284</v>
      </c>
      <c r="M107" s="17" t="s">
        <v>4171</v>
      </c>
      <c r="N107" s="21"/>
      <c r="O107" s="2562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20" t="s">
        <v>5334</v>
      </c>
      <c r="B108" s="17" t="s">
        <v>5335</v>
      </c>
      <c r="C108" s="17" t="s">
        <v>4296</v>
      </c>
      <c r="D108" s="21"/>
      <c r="E108" s="19"/>
      <c r="F108" s="2562" cm="1">
        <f t="array" ref="F108">INDEX('5층_부하량'!E3:E3000,MATCH(1,("5-DaHall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5" t="s">
        <v>2837</v>
      </c>
      <c r="K108" s="2157" t="s">
        <v>2834</v>
      </c>
      <c r="L108" s="543" t="s">
        <v>4416</v>
      </c>
      <c r="M108" s="17" t="s">
        <v>4171</v>
      </c>
      <c r="N108" s="21"/>
      <c r="O108" s="19"/>
      <c r="P108" s="2562" cm="1">
        <f t="array" ref="P108">INDEX('5층_부하량'!E3:E3000,MATCH(1,("5-DaHall 1-PDU-03"='5층_부하량'!A3:A3000)*(76='5층_부하량'!B3:B3000),0))</f>
        <v>1.77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20" t="s">
        <v>5337</v>
      </c>
      <c r="B109" s="71" t="s">
        <v>4204</v>
      </c>
      <c r="C109" s="72" t="s">
        <v>4149</v>
      </c>
      <c r="D109" s="2562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4171</v>
      </c>
      <c r="I109" s="543" t="s">
        <v>4418</v>
      </c>
      <c r="J109" s="2155" t="s">
        <v>2837</v>
      </c>
      <c r="K109" s="2157" t="s">
        <v>2834</v>
      </c>
      <c r="L109" s="543" t="s">
        <v>4419</v>
      </c>
      <c r="M109" s="17" t="s">
        <v>4171</v>
      </c>
      <c r="N109" s="2562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20" t="s">
        <v>5339</v>
      </c>
      <c r="B110" s="17" t="s">
        <v>4204</v>
      </c>
      <c r="C110" s="18" t="s">
        <v>4149</v>
      </c>
      <c r="D110" s="21"/>
      <c r="E110" s="2562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5" t="s">
        <v>2837</v>
      </c>
      <c r="K110" s="2157" t="s">
        <v>2834</v>
      </c>
      <c r="L110" s="543" t="s">
        <v>4421</v>
      </c>
      <c r="M110" s="17" t="s">
        <v>4171</v>
      </c>
      <c r="N110" s="21"/>
      <c r="O110" s="2562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2" cm="1">
        <f t="array" ref="F111">INDEX('5층_부하량'!E3:E3000,MATCH(1,("5-DaHall 1-PDU-03"='5층_부하량'!A3:A3000)*(25='5층_부하량'!B3:B3000),0))</f>
        <v>3.95</v>
      </c>
      <c r="G111" s="21"/>
      <c r="H111" s="17" t="s">
        <v>4171</v>
      </c>
      <c r="I111" s="543" t="s">
        <v>4422</v>
      </c>
      <c r="J111" s="2155" t="s">
        <v>2837</v>
      </c>
      <c r="K111" s="2157" t="s">
        <v>2834</v>
      </c>
      <c r="L111" s="543" t="s">
        <v>4423</v>
      </c>
      <c r="M111" s="17" t="s">
        <v>4171</v>
      </c>
      <c r="N111" s="21"/>
      <c r="O111" s="21"/>
      <c r="P111" s="2562" cm="1">
        <f t="array" ref="P111">INDEX('5층_부하량'!E3:E3000,MATCH(1,("5-DaHall 1-PDU-03"='5층_부하량'!A3:A3000)*(79='5층_부하량'!B3:B3000),0))</f>
        <v>3.29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61" cm="1">
        <f t="array" ref="D112">INDEX('5층_부하량'!C3:C3000,MATCH(1,("5-DaHall 1-PDU-03"='5층_부하량'!A3:A3000)*(26='5층_부하량'!B3:B3000),0))</f>
        <v>5.5600000000000005</v>
      </c>
      <c r="E112" s="36"/>
      <c r="F112" s="36"/>
      <c r="G112" s="36"/>
      <c r="H112" s="35" t="s">
        <v>4171</v>
      </c>
      <c r="I112" s="545" t="s">
        <v>4424</v>
      </c>
      <c r="J112" s="2156" t="s">
        <v>2837</v>
      </c>
      <c r="K112" s="2158" t="s">
        <v>2834</v>
      </c>
      <c r="L112" s="545" t="s">
        <v>4425</v>
      </c>
      <c r="M112" s="35" t="s">
        <v>4171</v>
      </c>
      <c r="N112" s="2561" cm="1">
        <f t="array" ref="N112">INDEX('5층_부하량'!C3:C3000,MATCH(1,("5-DaHall 1-PDU-03"='5층_부하량'!A3:A3000)*(80='5층_부하량'!B3:B3000),0))</f>
        <v>3.82</v>
      </c>
      <c r="O112" s="36"/>
      <c r="P112" s="36"/>
      <c r="Q112" s="36"/>
      <c r="R112" s="35" t="s">
        <v>5319</v>
      </c>
      <c r="S112" s="39" t="s">
        <v>4149</v>
      </c>
      <c r="T112" s="2159" t="s">
        <v>5344</v>
      </c>
    </row>
    <row r="113" spans="1:20" ht="18" customHeight="1" thickTop="1" thickBot="1">
      <c r="M113" s="79" t="s">
        <v>5218</v>
      </c>
      <c r="N113" s="33">
        <f>SUM(D87:D112,N87:N112)</f>
        <v>26.14</v>
      </c>
      <c r="O113" s="33">
        <f>SUM(E87:E112,O87:O112)</f>
        <v>16.630000000000003</v>
      </c>
      <c r="P113" s="33">
        <f>SUM(F87:F112,P87:P112)</f>
        <v>14.260000000000002</v>
      </c>
    </row>
    <row r="114" spans="1:20" ht="18" customHeight="1" thickTop="1" thickBot="1">
      <c r="A114" s="2" t="s">
        <v>6521</v>
      </c>
      <c r="C114" s="3818" t="s">
        <v>5345</v>
      </c>
      <c r="D114" s="3818"/>
      <c r="E114" s="3818"/>
      <c r="F114" s="3818"/>
      <c r="G114" s="53"/>
      <c r="H114" s="123"/>
      <c r="I114" s="123"/>
      <c r="J114" s="3819" t="s">
        <v>5226</v>
      </c>
      <c r="K114" s="382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4136</v>
      </c>
      <c r="N115" s="1342">
        <v>25.1</v>
      </c>
      <c r="O115" s="1343">
        <v>15.5</v>
      </c>
      <c r="P115" s="1344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9" cm="1">
        <f t="array" ref="D117">INDEX('5층_부하량'!C3:C3000,MATCH(1,("5-DaHall 1-PDU-04"='5층_부하량'!A3:A3000)*(1='5층_부하량'!B3:B3000),0))</f>
        <v>0</v>
      </c>
      <c r="E117" s="2559" cm="1">
        <f t="array" ref="E117">INDEX('5층_부하량'!D3:D3000,MATCH(1,("5-DaHall 1-PDU-04"='5층_부하량'!A3:A3000)*(1='5층_부하량'!B3:B3000),0))</f>
        <v>0</v>
      </c>
      <c r="F117" s="2559" cm="1">
        <f t="array" ref="F117">INDEX('5층_부하량'!E3:E3000,MATCH(1,("5-DaHall 1-PDU-04"='5층_부하량'!A3:A3000)*(1='5층_부하량'!B3:B3000),0))</f>
        <v>0</v>
      </c>
      <c r="G117" s="15"/>
      <c r="H117" s="11" t="s">
        <v>5227</v>
      </c>
      <c r="I117" s="1406" t="s">
        <v>5228</v>
      </c>
      <c r="J117" s="60"/>
      <c r="K117" s="61"/>
      <c r="L117" s="1409" t="s">
        <v>5229</v>
      </c>
      <c r="M117" s="11" t="s">
        <v>5227</v>
      </c>
      <c r="N117" s="2559" cm="1">
        <f t="array" ref="N117">INDEX('5층_부하량'!C3:C3000,MATCH(1,("5-DaHall 1-PDU-04"='5층_부하량'!A3:A3000)*(55='5층_부하량'!B3:B3000),0))</f>
        <v>0</v>
      </c>
      <c r="O117" s="2559" cm="1">
        <f t="array" ref="O117">INDEX('5층_부하량'!D3:D3000,MATCH(1,("5-DaHall 1-PDU-04"='5층_부하량'!A3:A3000)*(55='5층_부하량'!B3:B3000),0))</f>
        <v>0</v>
      </c>
      <c r="P117" s="2559" cm="1">
        <f t="array" ref="P117">INDEX('5층_부하량'!E3:E3000,MATCH(1,("5-DaHall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2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7" t="s">
        <v>2834</v>
      </c>
      <c r="L118" s="543" t="s">
        <v>4152</v>
      </c>
      <c r="M118" s="17" t="s">
        <v>4150</v>
      </c>
      <c r="N118" s="2562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2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7" t="s">
        <v>2834</v>
      </c>
      <c r="L119" s="543" t="s">
        <v>4157</v>
      </c>
      <c r="M119" s="17" t="s">
        <v>4150</v>
      </c>
      <c r="N119" s="21"/>
      <c r="O119" s="2562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2" cm="1">
        <f t="array" ref="F120">INDEX('5층_부하량'!E3:E3000,MATCH(1,("5-DaHall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7" t="s">
        <v>2834</v>
      </c>
      <c r="L120" s="543" t="s">
        <v>4162</v>
      </c>
      <c r="M120" s="17" t="s">
        <v>4150</v>
      </c>
      <c r="N120" s="21"/>
      <c r="O120" s="21"/>
      <c r="P120" s="2562" cm="1">
        <f t="array" ref="P120">INDEX('5층_부하량'!E3:E3000,MATCH(1,("5-DaHall 1-PDU-04"='5층_부하량'!A3:A3000)*(58='5층_부하량'!B3:B3000),0))</f>
        <v>0.53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2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7" t="s">
        <v>2834</v>
      </c>
      <c r="L121" s="543" t="s">
        <v>4167</v>
      </c>
      <c r="M121" s="17" t="s">
        <v>4171</v>
      </c>
      <c r="N121" s="2562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2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7" t="s">
        <v>2834</v>
      </c>
      <c r="L122" s="543" t="s">
        <v>4170</v>
      </c>
      <c r="M122" s="17" t="s">
        <v>4171</v>
      </c>
      <c r="N122" s="21"/>
      <c r="O122" s="2562" cm="1">
        <f t="array" ref="O122">INDEX('5층_부하량'!D3:D3000,MATCH(1,("5-DaHall 1-PDU-04"='5층_부하량'!A3:A3000)*(60='5층_부하량'!B3:B3000),0))</f>
        <v>1.96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2" cm="1">
        <f t="array" ref="F123">INDEX('5층_부하량'!E3:E3000,MATCH(1,("5-DaHall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7" t="s">
        <v>2834</v>
      </c>
      <c r="L123" s="543" t="s">
        <v>4173</v>
      </c>
      <c r="M123" s="17" t="s">
        <v>4171</v>
      </c>
      <c r="N123" s="21"/>
      <c r="O123" s="21"/>
      <c r="P123" s="2562" cm="1">
        <f t="array" ref="P123">INDEX('5층_부하량'!E3:E3000,MATCH(1,("5-DaHall 1-PDU-04"='5층_부하량'!A3:A3000)*(61='5층_부하량'!B3:B3000),0))</f>
        <v>1.78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2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7" t="s">
        <v>2834</v>
      </c>
      <c r="L124" s="543" t="s">
        <v>4175</v>
      </c>
      <c r="M124" s="17" t="s">
        <v>4171</v>
      </c>
      <c r="N124" s="2562" cm="1">
        <f t="array" ref="N124">INDEX('5층_부하량'!C3:C3000,MATCH(1,("5-DaHall 1-PDU-04"='5층_부하량'!A3:A3000)*(62='5층_부하량'!B3:B3000),0))</f>
        <v>0.71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2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7" t="s">
        <v>2834</v>
      </c>
      <c r="L125" s="543" t="s">
        <v>4177</v>
      </c>
      <c r="M125" s="17" t="s">
        <v>4171</v>
      </c>
      <c r="N125" s="21"/>
      <c r="O125" s="2562" cm="1">
        <f t="array" ref="O125">INDEX('5층_부하량'!D3:D3000,MATCH(1,("5-DaHall 1-PDU-04"='5층_부하량'!A3:A3000)*(63='5층_부하량'!B3:B3000),0))</f>
        <v>3.7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2" cm="1">
        <f t="array" ref="F126">INDEX('5층_부하량'!E3:E3000,MATCH(1,("5-DaHall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7" t="s">
        <v>2834</v>
      </c>
      <c r="L126" s="543" t="s">
        <v>4179</v>
      </c>
      <c r="M126" s="17" t="s">
        <v>4171</v>
      </c>
      <c r="N126" s="21"/>
      <c r="O126" s="21"/>
      <c r="P126" s="2562" cm="1">
        <f t="array" ref="P126">INDEX('5층_부하량'!E3:E3000,MATCH(1,("5-DaHall 1-PDU-04"='5층_부하량'!A3:A3000)*(64='5층_부하량'!B3:B3000),0))</f>
        <v>0.85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2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7" t="s">
        <v>4243</v>
      </c>
      <c r="J127" s="585" t="s">
        <v>4210</v>
      </c>
      <c r="K127" s="2157" t="s">
        <v>2834</v>
      </c>
      <c r="L127" s="543" t="s">
        <v>4183</v>
      </c>
      <c r="M127" s="17" t="s">
        <v>4171</v>
      </c>
      <c r="N127" s="2562" cm="1">
        <f t="array" ref="N127">INDEX('5층_부하량'!C3:C3000,MATCH(1,("5-DaHall 1-PDU-04"='5층_부하량'!A3:A3000)*(65='5층_부하량'!B3:B3000),0))</f>
        <v>1.8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2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7" t="s">
        <v>2834</v>
      </c>
      <c r="L128" s="543" t="s">
        <v>4187</v>
      </c>
      <c r="M128" s="17" t="s">
        <v>4171</v>
      </c>
      <c r="N128" s="21"/>
      <c r="O128" s="2562" cm="1">
        <f t="array" ref="O128">INDEX('5층_부하량'!D3:D3000,MATCH(1,("5-DaHall 1-PDU-04"='5층_부하량'!A3:A3000)*(66='5층_부하량'!B3:B3000),0))</f>
        <v>3.07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2" cm="1">
        <f t="array" ref="F129">INDEX('5층_부하량'!E3:E3000,MATCH(1,("5-DaHall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7" t="s">
        <v>2834</v>
      </c>
      <c r="L129" s="543" t="s">
        <v>4253</v>
      </c>
      <c r="M129" s="17" t="s">
        <v>4171</v>
      </c>
      <c r="N129" s="21"/>
      <c r="O129" s="21"/>
      <c r="P129" s="2562" cm="1">
        <f t="array" ref="P129">INDEX('5층_부하량'!E3:E3000,MATCH(1,("5-DaHall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2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7" t="s">
        <v>2834</v>
      </c>
      <c r="L130" s="543" t="s">
        <v>4258</v>
      </c>
      <c r="M130" s="17" t="s">
        <v>4171</v>
      </c>
      <c r="N130" s="2562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2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7" t="s">
        <v>2834</v>
      </c>
      <c r="L131" s="544" t="s">
        <v>4262</v>
      </c>
      <c r="M131" s="71" t="s">
        <v>4171</v>
      </c>
      <c r="N131" s="21"/>
      <c r="O131" s="2562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2" cm="1">
        <f t="array" ref="F132">INDEX('5층_부하량'!E3:E3000,MATCH(1,("5-DaHall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7" t="s">
        <v>2834</v>
      </c>
      <c r="L132" s="543" t="s">
        <v>4265</v>
      </c>
      <c r="M132" s="17" t="s">
        <v>4171</v>
      </c>
      <c r="N132" s="21"/>
      <c r="O132" s="21"/>
      <c r="P132" s="2562" cm="1">
        <f t="array" ref="P132">INDEX('5층_부하량'!E3:E3000,MATCH(1,("5-DaHall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20"/>
      <c r="B133" s="1411" t="s">
        <v>4164</v>
      </c>
      <c r="C133" s="17" t="s">
        <v>4296</v>
      </c>
      <c r="D133" s="2562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7" t="s">
        <v>2834</v>
      </c>
      <c r="L133" s="1407" t="s">
        <v>4267</v>
      </c>
      <c r="M133" s="17" t="s">
        <v>4171</v>
      </c>
      <c r="N133" s="2562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20"/>
      <c r="B134" s="1411" t="s">
        <v>4164</v>
      </c>
      <c r="C134" s="17" t="s">
        <v>4296</v>
      </c>
      <c r="D134" s="21"/>
      <c r="E134" s="2562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7" t="s">
        <v>2834</v>
      </c>
      <c r="L134" s="1407" t="s">
        <v>4271</v>
      </c>
      <c r="M134" s="17" t="s">
        <v>4171</v>
      </c>
      <c r="N134" s="21"/>
      <c r="O134" s="2562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20"/>
      <c r="B135" s="1411" t="s">
        <v>4164</v>
      </c>
      <c r="C135" s="17" t="s">
        <v>4296</v>
      </c>
      <c r="D135" s="21"/>
      <c r="E135" s="19"/>
      <c r="F135" s="2560" cm="1">
        <f t="array" ref="F135">INDEX('5층_부하량'!E3:E3000,MATCH(1,("5-DaHall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7" t="s">
        <v>2834</v>
      </c>
      <c r="L135" s="1407" t="s">
        <v>4276</v>
      </c>
      <c r="M135" s="17" t="s">
        <v>4171</v>
      </c>
      <c r="N135" s="21"/>
      <c r="O135" s="19"/>
      <c r="P135" s="2560" cm="1">
        <f t="array" ref="P135">INDEX('5층_부하량'!E3:E3000,MATCH(1,("5-DaHall 1-PDU-04"='5층_부하량'!A3:A3000)*(73='5층_부하량'!B3:B3000),0))</f>
        <v>2.27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2" cm="1">
        <f t="array" ref="D136">INDEX('5층_부하량'!C3:C3000,MATCH(1,("5-DaHall 1-PDU-04"='5층_부하량'!A3:A3000)*(20='5층_부하량'!B3:B3000),0))</f>
        <v>3.24</v>
      </c>
      <c r="E136" s="19"/>
      <c r="F136" s="19"/>
      <c r="G136" s="21"/>
      <c r="H136" s="17" t="s">
        <v>4171</v>
      </c>
      <c r="I136" s="543" t="s">
        <v>4279</v>
      </c>
      <c r="J136" s="2155" t="s">
        <v>2837</v>
      </c>
      <c r="K136" s="2157" t="s">
        <v>2834</v>
      </c>
      <c r="L136" s="1407" t="s">
        <v>4280</v>
      </c>
      <c r="M136" s="17" t="s">
        <v>4171</v>
      </c>
      <c r="N136" s="2562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2" cm="1">
        <f t="array" ref="E137">INDEX('5층_부하량'!D3:D3000,MATCH(1,("5-DaHall 1-PDU-04"='5층_부하량'!A3:A3000)*(21='5층_부하량'!B3:B3000),0))</f>
        <v>1.1100000000000001</v>
      </c>
      <c r="F137" s="19"/>
      <c r="G137" s="21"/>
      <c r="H137" s="17" t="s">
        <v>4171</v>
      </c>
      <c r="I137" s="543" t="s">
        <v>4283</v>
      </c>
      <c r="J137" s="2155" t="s">
        <v>2837</v>
      </c>
      <c r="K137" s="2157" t="s">
        <v>2834</v>
      </c>
      <c r="L137" s="1407" t="s">
        <v>4284</v>
      </c>
      <c r="M137" s="17" t="s">
        <v>4171</v>
      </c>
      <c r="N137" s="21"/>
      <c r="O137" s="2562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20" t="s">
        <v>5334</v>
      </c>
      <c r="B138" s="17" t="s">
        <v>5335</v>
      </c>
      <c r="C138" s="17" t="s">
        <v>4296</v>
      </c>
      <c r="D138" s="21"/>
      <c r="E138" s="19"/>
      <c r="F138" s="2562" cm="1">
        <f t="array" ref="F138">INDEX('5층_부하량'!E3:E3000,MATCH(1,("5-DaHall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5" t="s">
        <v>2837</v>
      </c>
      <c r="K138" s="2157" t="s">
        <v>2834</v>
      </c>
      <c r="L138" s="1407" t="s">
        <v>4416</v>
      </c>
      <c r="M138" s="17" t="s">
        <v>4171</v>
      </c>
      <c r="N138" s="21"/>
      <c r="O138" s="19"/>
      <c r="P138" s="2562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20" t="s">
        <v>5337</v>
      </c>
      <c r="B139" s="71" t="s">
        <v>4204</v>
      </c>
      <c r="C139" s="72" t="s">
        <v>4149</v>
      </c>
      <c r="D139" s="2562" cm="1">
        <f t="array" ref="D139">INDEX('5층_부하량'!C3:C3000,MATCH(1,("5-DaHall 1-PDU-04"='5층_부하량'!A3:A3000)*(23='5층_부하량'!B3:B3000),0))</f>
        <v>2.2599999999999998</v>
      </c>
      <c r="E139" s="19"/>
      <c r="F139" s="19"/>
      <c r="G139" s="21"/>
      <c r="H139" s="17" t="s">
        <v>4171</v>
      </c>
      <c r="I139" s="543" t="s">
        <v>4418</v>
      </c>
      <c r="J139" s="2155" t="s">
        <v>2837</v>
      </c>
      <c r="K139" s="2157" t="s">
        <v>2834</v>
      </c>
      <c r="L139" s="1407" t="s">
        <v>4419</v>
      </c>
      <c r="M139" s="17" t="s">
        <v>4171</v>
      </c>
      <c r="N139" s="2562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20" t="s">
        <v>5339</v>
      </c>
      <c r="B140" s="17" t="s">
        <v>4204</v>
      </c>
      <c r="C140" s="18" t="s">
        <v>4149</v>
      </c>
      <c r="D140" s="21"/>
      <c r="E140" s="2562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5" t="s">
        <v>2837</v>
      </c>
      <c r="K140" s="2157" t="s">
        <v>2834</v>
      </c>
      <c r="L140" s="1407" t="s">
        <v>4421</v>
      </c>
      <c r="M140" s="17" t="s">
        <v>4171</v>
      </c>
      <c r="N140" s="21"/>
      <c r="O140" s="2562" cm="1">
        <f t="array" ref="O140">INDEX('5층_부하량'!D3:D3000,MATCH(1,("5-DaHall 1-PDU-04"='5층_부하량'!A3:A3000)*(78='5층_부하량'!B3:B3000),0))</f>
        <v>2.2999999999999998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20" t="s">
        <v>5353</v>
      </c>
      <c r="B141" s="17" t="s">
        <v>5335</v>
      </c>
      <c r="C141" s="18" t="s">
        <v>4149</v>
      </c>
      <c r="D141" s="21"/>
      <c r="E141" s="21"/>
      <c r="F141" s="2562" cm="1">
        <f t="array" ref="F141">INDEX('5층_부하량'!E3:E3000,MATCH(1,("5-DaHall 1-PDU-04"='5층_부하량'!A3:A3000)*(25='5층_부하량'!B3:B3000),0))</f>
        <v>4.3</v>
      </c>
      <c r="G141" s="21"/>
      <c r="H141" s="17" t="s">
        <v>4171</v>
      </c>
      <c r="I141" s="543" t="s">
        <v>4422</v>
      </c>
      <c r="J141" s="2155" t="s">
        <v>2837</v>
      </c>
      <c r="K141" s="2157" t="s">
        <v>2834</v>
      </c>
      <c r="L141" s="1407" t="s">
        <v>4423</v>
      </c>
      <c r="M141" s="17" t="s">
        <v>4171</v>
      </c>
      <c r="N141" s="21"/>
      <c r="O141" s="21"/>
      <c r="P141" s="2562" cm="1">
        <f t="array" ref="P141">INDEX('5층_부하량'!E3:E3000,MATCH(1,("5-DaHall 1-PDU-04"='5층_부하량'!A3:A3000)*(79='5층_부하량'!B3:B3000),0))</f>
        <v>2.93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21" t="s">
        <v>5354</v>
      </c>
      <c r="B142" s="35" t="s">
        <v>5335</v>
      </c>
      <c r="C142" s="39" t="s">
        <v>4149</v>
      </c>
      <c r="D142" s="2561" cm="1">
        <f t="array" ref="D142">INDEX('5층_부하량'!C3:C3000,MATCH(1,("5-DaHall 1-PDU-04"='5층_부하량'!A3:A3000)*(26='5층_부하량'!B3:B3000),0))</f>
        <v>5.28</v>
      </c>
      <c r="E142" s="36"/>
      <c r="F142" s="36"/>
      <c r="G142" s="36"/>
      <c r="H142" s="35" t="s">
        <v>4171</v>
      </c>
      <c r="I142" s="1410" t="s">
        <v>4424</v>
      </c>
      <c r="J142" s="2156" t="s">
        <v>2837</v>
      </c>
      <c r="K142" s="2158" t="s">
        <v>2834</v>
      </c>
      <c r="L142" s="1410" t="s">
        <v>4425</v>
      </c>
      <c r="M142" s="35" t="s">
        <v>4171</v>
      </c>
      <c r="N142" s="2561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5319</v>
      </c>
      <c r="S142" s="39" t="s">
        <v>4149</v>
      </c>
      <c r="T142" s="2159" t="s">
        <v>5344</v>
      </c>
    </row>
    <row r="143" spans="1:20" ht="18" customHeight="1" thickTop="1" thickBot="1">
      <c r="M143" s="79" t="s">
        <v>5218</v>
      </c>
      <c r="N143" s="33">
        <f>SUM(D117:D142,N117:N142)</f>
        <v>23.46</v>
      </c>
      <c r="O143" s="33">
        <f>SUM(E117:E142,O117:O142)</f>
        <v>13.849999999999998</v>
      </c>
      <c r="P143" s="33">
        <f>SUM(F117:F142,P117:P142)</f>
        <v>14.23</v>
      </c>
    </row>
    <row r="144" spans="1:20" ht="18" customHeight="1" thickTop="1" thickBot="1">
      <c r="A144" s="2" t="s">
        <v>5355</v>
      </c>
      <c r="C144" s="3818" t="s">
        <v>5356</v>
      </c>
      <c r="D144" s="3818"/>
      <c r="E144" s="3818"/>
      <c r="F144" s="53"/>
      <c r="G144" s="53"/>
      <c r="H144" s="123"/>
      <c r="I144" s="123"/>
      <c r="J144" s="3819" t="s">
        <v>5357</v>
      </c>
      <c r="K144" s="382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4136</v>
      </c>
      <c r="N145" s="1342"/>
      <c r="O145" s="1343"/>
      <c r="P145" s="1344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1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2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3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2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3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3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3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3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3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4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7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5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5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3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3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3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3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3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3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3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3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3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6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818" t="s">
        <v>5390</v>
      </c>
      <c r="D161" s="3818"/>
      <c r="E161" s="3818"/>
      <c r="F161" s="3818"/>
      <c r="G161" s="53"/>
      <c r="H161" s="123"/>
      <c r="I161" s="123"/>
      <c r="J161" s="3819" t="s">
        <v>5226</v>
      </c>
      <c r="K161" s="382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4136</v>
      </c>
      <c r="N162" s="1342"/>
      <c r="O162" s="1343"/>
      <c r="P162" s="1344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9" cm="1">
        <f t="array" ref="F164">INDEX('5층_부하량'!E3:E3000,MATCH(1,("5-DaHall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9" cm="1">
        <f t="array" ref="P164">INDEX('5층_부하량'!E3:E3000,MATCH(1,("5-DaHall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2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2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2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2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2" cm="1">
        <f t="array" ref="F167">INDEX('5층_부하량'!E3:E3000,MATCH(1,("5-DaHall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2" cm="1">
        <f t="array" ref="P167">INDEX('5층_부하량'!E3:E3000,MATCH(1,("5-DaHall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2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2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2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2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2" cm="1">
        <f t="array" ref="F170">INDEX('5층_부하량'!E3:E3000,MATCH(1,("5-DaHall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2" cm="1">
        <f t="array" ref="P170">INDEX('5층_부하량'!E3:E3000,MATCH(1,("5-DaHall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2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2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2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2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2" cm="1">
        <f t="array" ref="F173">INDEX('5층_부하량'!E3:E3000,MATCH(1,("5-DaHall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2" cm="1">
        <f t="array" ref="P173">INDEX('5층_부하량'!E3:E3000,MATCH(1,("5-DaHall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2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2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2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2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2" cm="1">
        <f t="array" ref="F176">INDEX('5층_부하량'!E3:E3000,MATCH(1,("5-DaHall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2" cm="1">
        <f t="array" ref="P176">INDEX('5층_부하량'!E3:E3000,MATCH(1,("5-DaHall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2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2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2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2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2" cm="1">
        <f t="array" ref="F179">INDEX('5층_부하량'!E3:E3000,MATCH(1,("5-DaHall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2" cm="1">
        <f t="array" ref="P179">INDEX('5층_부하량'!E3:E3000,MATCH(1,("5-DaHall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2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2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2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2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2" cm="1">
        <f t="array" ref="F182">INDEX('5층_부하량'!E3:E3000,MATCH(1,("5-DaHall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2" cm="1">
        <f t="array" ref="P182">INDEX('5층_부하량'!E3:E3000,MATCH(1,("5-DaHall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2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2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2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2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2" cm="1">
        <f t="array" ref="F185">INDEX('5층_부하량'!E3:E3000,MATCH(1,("5-DaHall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2" cm="1">
        <f t="array" ref="P185">INDEX('5층_부하량'!E3:E3000,MATCH(1,("5-DaHall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2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2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2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2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2" cm="1">
        <f t="array" ref="F188">INDEX('5층_부하량'!E3:E3000,MATCH(1,("5-DaHall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2" cm="1">
        <f t="array" ref="P188">INDEX('5층_부하량'!E3:E3000,MATCH(1,("5-DaHall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2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2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4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4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818" t="s">
        <v>5397</v>
      </c>
      <c r="D192" s="3818"/>
      <c r="E192" s="3818"/>
      <c r="F192" s="3818"/>
      <c r="G192" s="53"/>
      <c r="H192" s="123"/>
      <c r="I192" s="123"/>
      <c r="J192" s="3819" t="s">
        <v>5226</v>
      </c>
      <c r="K192" s="382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4136</v>
      </c>
      <c r="N193" s="1342"/>
      <c r="O193" s="1343"/>
      <c r="P193" s="1344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9" cm="1">
        <f t="array" ref="F195">INDEX('5층_부하량'!E3:E3000,MATCH(1,("5-DaHall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9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2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2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2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2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2" cm="1">
        <f t="array" ref="F198">INDEX('5층_부하량'!E3:E3000,MATCH(1,("5-DaHall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2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2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2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2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2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2" cm="1">
        <f t="array" ref="F201">INDEX('5층_부하량'!E3:E3000,MATCH(1,("5-DaHall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2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2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2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2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2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2" cm="1">
        <f t="array" ref="F204">INDEX('5층_부하량'!E3:E3000,MATCH(1,("5-DaHall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2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2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2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2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2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2" cm="1">
        <f t="array" ref="F207">INDEX('5층_부하량'!E3:E3000,MATCH(1,("5-DaHall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2" cm="1">
        <f t="array" ref="P207">INDEX('5층_부하량'!E3:E3000,MATCH(1,("5-DaHall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2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2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8"/>
      <c r="B209" s="71" t="s">
        <v>535</v>
      </c>
      <c r="C209" s="71" t="s">
        <v>4296</v>
      </c>
      <c r="D209" s="21"/>
      <c r="E209" s="2562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2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2" cm="1">
        <f t="array" ref="F210">INDEX('5층_부하량'!E3:E3000,MATCH(1,("5-DaHall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2" cm="1">
        <f t="array" ref="P210">INDEX('5층_부하량'!E3:E3000,MATCH(1,("5-DaHall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2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2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8"/>
      <c r="B212" s="17" t="s">
        <v>535</v>
      </c>
      <c r="C212" s="17" t="s">
        <v>4296</v>
      </c>
      <c r="D212" s="21"/>
      <c r="E212" s="2562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2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2" cm="1">
        <f t="array" ref="F213">INDEX('5층_부하량'!E3:E3000,MATCH(1,("5-DaHall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2" cm="1">
        <f t="array" ref="P213">INDEX('5층_부하량'!E3:E3000,MATCH(1,("5-DaHall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2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2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2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2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2" cm="1">
        <f t="array" ref="F216">INDEX('5층_부하량'!E3:E3000,MATCH(1,("5-DaHall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2" cm="1">
        <f t="array" ref="P216">INDEX('5층_부하량'!E3:E3000,MATCH(1,("5-DaHall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2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2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2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2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2" cm="1">
        <f t="array" ref="F219">INDEX('5층_부하량'!E3:E3000,MATCH(1,("5-DaHall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2" cm="1">
        <f t="array" ref="P219">INDEX('5층_부하량'!E3:E3000,MATCH(1,("5-DaHall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2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2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4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9"/>
      <c r="K221" s="2080"/>
      <c r="L221" s="550" t="s">
        <v>4430</v>
      </c>
      <c r="M221" s="29" t="s">
        <v>4171</v>
      </c>
      <c r="N221" s="30"/>
      <c r="O221" s="2564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818" t="s">
        <v>5399</v>
      </c>
      <c r="D223" s="3818"/>
      <c r="E223" s="3818"/>
      <c r="F223" s="3818"/>
      <c r="G223" s="53"/>
      <c r="H223" s="123"/>
      <c r="I223" s="123"/>
      <c r="J223" s="3819" t="s">
        <v>4636</v>
      </c>
      <c r="K223" s="382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4136</v>
      </c>
      <c r="N224" s="1342">
        <v>8.6</v>
      </c>
      <c r="O224" s="1343">
        <v>1.1000000000000001</v>
      </c>
      <c r="P224" s="1344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9" cm="1">
        <f t="array" ref="D226">INDEX('5층_부하량'!C3:C3000,MATCH(1,("5-DaHall 1-PDU-07"='5층_부하량'!A3:A3000)*(1='5층_부하량'!B3:B3000),0))</f>
        <v>7.65</v>
      </c>
      <c r="E226" s="15"/>
      <c r="F226" s="15"/>
      <c r="G226" s="15"/>
      <c r="H226" s="13" t="s">
        <v>5359</v>
      </c>
      <c r="I226" s="1188" t="s">
        <v>4206</v>
      </c>
      <c r="J226" s="1002" t="s">
        <v>5401</v>
      </c>
      <c r="K226" s="1003" t="s">
        <v>5402</v>
      </c>
      <c r="L226" s="1184" t="s">
        <v>4152</v>
      </c>
      <c r="M226" s="11" t="s">
        <v>5359</v>
      </c>
      <c r="N226" s="2559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4204</v>
      </c>
      <c r="S226" s="96" t="s">
        <v>4149</v>
      </c>
      <c r="T226" s="1044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60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5363</v>
      </c>
      <c r="I227" s="1181" t="s">
        <v>4211</v>
      </c>
      <c r="J227" s="1004" t="s">
        <v>5401</v>
      </c>
      <c r="K227" s="1005" t="s">
        <v>5405</v>
      </c>
      <c r="L227" s="1181" t="s">
        <v>4157</v>
      </c>
      <c r="M227" s="17" t="s">
        <v>5359</v>
      </c>
      <c r="N227" s="19"/>
      <c r="O227" s="2560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2" cm="1">
        <f t="array" ref="F228">INDEX('5층_부하량'!E3:E3000,MATCH(1,("5-DaHall 1-PDU-07"='5층_부하량'!A3:A3000)*(5='5층_부하량'!B3:B3000),0))</f>
        <v>0.4</v>
      </c>
      <c r="G228" s="21"/>
      <c r="H228" s="17" t="s">
        <v>5359</v>
      </c>
      <c r="I228" s="1181" t="s">
        <v>4214</v>
      </c>
      <c r="J228" s="1004" t="s">
        <v>5401</v>
      </c>
      <c r="K228" s="1006" t="s">
        <v>5408</v>
      </c>
      <c r="L228" s="1181" t="s">
        <v>4162</v>
      </c>
      <c r="M228" s="17" t="s">
        <v>5359</v>
      </c>
      <c r="N228" s="21"/>
      <c r="O228" s="21"/>
      <c r="P228" s="2562" cm="1">
        <f t="array" ref="P228">INDEX('5층_부하량'!E3:E3000,MATCH(1,("5-DaHall 1-PDU-07"='5층_부하량'!A3:A3000)*(6='5층_부하량'!B3:B3000),0))</f>
        <v>0.35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2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2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2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2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3" cm="1">
        <f t="array" ref="F231">INDEX('5층_부하량'!E3:E3000,MATCH(1,("5-DaHall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3" cm="1">
        <f t="array" ref="P231">INDEX('5층_부하량'!E3:E3000,MATCH(1,("5-DaHall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8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8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9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9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2" cm="1">
        <f t="array" ref="F234">INDEX('5층_부하량'!E3:E3000,MATCH(1,("5-DaHall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2" cm="1">
        <f t="array" ref="P234">INDEX('5층_부하량'!E3:E3000,MATCH(1,("5-DaHall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2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2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2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2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2" cm="1">
        <f t="array" ref="F237">INDEX('5층_부하량'!E3:E3000,MATCH(1,("5-DaHall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2" cm="1">
        <f t="array" ref="P237">INDEX('5층_부하량'!E3:E3000,MATCH(1,("5-DaHall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2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2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2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2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2" cm="1">
        <f t="array" ref="F240">INDEX('5층_부하량'!E3:E3000,MATCH(1,("5-DaHall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2" cm="1">
        <f t="array" ref="P240">INDEX('5층_부하량'!E3:E3000,MATCH(1,("5-DaHall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2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2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2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2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61" cm="1">
        <f t="array" ref="F243">INDEX('5층_부하량'!E3:E3000,MATCH(1,("5-DaHall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61" cm="1">
        <f t="array" ref="P243">INDEX('5층_부하량'!E3:E3000,MATCH(1,("5-DaHall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8.64</v>
      </c>
      <c r="O244" s="33">
        <f>SUM(E226:E243,O226:O243)</f>
        <v>1.19</v>
      </c>
      <c r="P244" s="33">
        <f>SUM(F226:F243,P226:P243)</f>
        <v>0.75</v>
      </c>
    </row>
    <row r="245" spans="1:20" ht="18.600000000000001" thickTop="1" thickBot="1">
      <c r="A245" s="2" t="s">
        <v>6525</v>
      </c>
      <c r="C245" s="3818" t="s">
        <v>5410</v>
      </c>
      <c r="D245" s="3818"/>
      <c r="E245" s="3818"/>
      <c r="F245" s="3818"/>
      <c r="G245" s="53"/>
      <c r="H245" s="123"/>
      <c r="I245" s="123"/>
      <c r="J245" s="3819" t="s">
        <v>4636</v>
      </c>
      <c r="K245" s="382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4136</v>
      </c>
      <c r="N246" s="1342"/>
      <c r="O246" s="1343"/>
      <c r="P246" s="1344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9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1" t="s">
        <v>5360</v>
      </c>
      <c r="J248" s="60"/>
      <c r="K248" s="61"/>
      <c r="L248" s="561" t="s">
        <v>5361</v>
      </c>
      <c r="M248" s="11" t="s">
        <v>5359</v>
      </c>
      <c r="N248" s="2559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60">
        <f>IFERROR(INDEX('5층_부하량'!D3:D3000,MATCH(1,("5-DaHall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60">
        <f>IFERROR(INDEX('5층_부하량'!D3:D3000,MATCH(1,("5-DaHall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2">
        <f>IFERROR(INDEX('5층_부하량'!E3:E3000,MATCH(1,("5-DaHall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2">
        <f>IFERROR(INDEX('5층_부하량'!E3:E3000,MATCH(1,("5-DaHall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2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2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2">
        <f>IFERROR(INDEX('5층_부하량'!D3:D3000,MATCH(1,("5-DaHall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2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3">
        <f>IFERROR(INDEX('5층_부하량'!E3:E3000,MATCH(1,("5-DaHall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3">
        <f>IFERROR(INDEX('5층_부하량'!E3:E3000,MATCH(1,("5-DaHall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3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3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8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8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9">
        <f>IFERROR(INDEX('5층_부하량'!E3:E3000,MATCH(1,("5-DaHall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9">
        <f>IFERROR(INDEX('5층_부하량'!E3:E3000,MATCH(1,("5-DaHall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2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2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2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2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2">
        <f>IFERROR(INDEX('5층_부하량'!E3:E3000,MATCH(1,("5-DaHall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2">
        <f>IFERROR(INDEX('5층_부하량'!E3:E3000,MATCH(1,("5-DaHall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2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2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2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2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2">
        <f>IFERROR(INDEX('5층_부하량'!E3:E3000,MATCH(1,("5-DaHall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2">
        <f>IFERROR(INDEX('5층_부하량'!E3:E3000,MATCH(1,("5-DaHall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2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2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2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2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2">
        <f>IFERROR(INDEX('5층_부하량'!E3:E3000,MATCH(1,("5-DaHall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2">
        <f>IFERROR(INDEX('5층_부하량'!E3:E3000,MATCH(1,("5-DaHall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4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4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818" t="s">
        <v>5412</v>
      </c>
      <c r="D268" s="3818"/>
      <c r="E268" s="3818"/>
      <c r="F268" s="3818"/>
      <c r="G268" s="53"/>
      <c r="H268" s="123"/>
      <c r="I268" s="123"/>
      <c r="J268" s="3819" t="s">
        <v>4636</v>
      </c>
      <c r="K268" s="382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4136</v>
      </c>
      <c r="N269" s="1342">
        <v>6.5</v>
      </c>
      <c r="O269" s="1343">
        <v>1.4</v>
      </c>
      <c r="P269" s="1344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9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7" t="s">
        <v>5405</v>
      </c>
      <c r="K271" s="1003" t="s">
        <v>5413</v>
      </c>
      <c r="L271" s="1184" t="s">
        <v>4152</v>
      </c>
      <c r="M271" s="11" t="s">
        <v>5359</v>
      </c>
      <c r="N271" s="2559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4204</v>
      </c>
      <c r="S271" s="96" t="s">
        <v>4149</v>
      </c>
      <c r="T271" s="1044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60" cm="1">
        <f t="array" ref="E272">INDEX('5층_부하량'!D3:D3000,MATCH(1,("5-DaHall 1-PDU-08"='5층_부하량'!A3:A3000)*(3='5층_부하량'!B3:B3000),0))</f>
        <v>1.25</v>
      </c>
      <c r="F272" s="19"/>
      <c r="G272" s="19"/>
      <c r="H272" s="17" t="s">
        <v>5363</v>
      </c>
      <c r="I272" s="1181" t="s">
        <v>4211</v>
      </c>
      <c r="J272" s="1008" t="s">
        <v>2488</v>
      </c>
      <c r="K272" s="1005" t="s">
        <v>5405</v>
      </c>
      <c r="L272" s="1181" t="s">
        <v>4157</v>
      </c>
      <c r="M272" s="17" t="s">
        <v>5359</v>
      </c>
      <c r="N272" s="19"/>
      <c r="O272" s="2560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2" cm="1">
        <f t="array" ref="F273">INDEX('5층_부하량'!E3:E3000,MATCH(1,("5-DaHall 1-PDU-08"='5층_부하량'!A3:A3000)*(5='5층_부하량'!B3:B3000),0))</f>
        <v>0</v>
      </c>
      <c r="G273" s="21"/>
      <c r="H273" s="17" t="s">
        <v>5359</v>
      </c>
      <c r="I273" s="1181" t="s">
        <v>4214</v>
      </c>
      <c r="J273" s="1008" t="s">
        <v>2488</v>
      </c>
      <c r="K273" s="1006" t="s">
        <v>5418</v>
      </c>
      <c r="L273" s="1181" t="s">
        <v>4162</v>
      </c>
      <c r="M273" s="17" t="s">
        <v>5359</v>
      </c>
      <c r="N273" s="21"/>
      <c r="O273" s="21"/>
      <c r="P273" s="2562" cm="1">
        <f t="array" ref="P273">INDEX('5층_부하량'!E3:E3000,MATCH(1,("5-DaHall 1-PDU-08"='5층_부하량'!A3:A3000)*(6='5층_부하량'!B3:B3000),0))</f>
        <v>1.34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2" cm="1">
        <f t="array" ref="D274">INDEX('5층_부하량'!C3:C3000,MATCH(1,("5-DaHall 1-PDU-08"='5층_부하량'!A3:A3000)*(7='5층_부하량'!B3:B3000),0))</f>
        <v>5.3</v>
      </c>
      <c r="E274" s="21"/>
      <c r="F274" s="21"/>
      <c r="G274" s="21"/>
      <c r="H274" s="17" t="s">
        <v>5368</v>
      </c>
      <c r="I274" s="1181" t="s">
        <v>4218</v>
      </c>
      <c r="J274" s="1008" t="s">
        <v>2488</v>
      </c>
      <c r="K274" s="1009"/>
      <c r="L274" s="562" t="s">
        <v>4167</v>
      </c>
      <c r="M274" s="17" t="s">
        <v>5368</v>
      </c>
      <c r="N274" s="2562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2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10"/>
      <c r="K275" s="1009"/>
      <c r="L275" s="562" t="s">
        <v>4170</v>
      </c>
      <c r="M275" s="17" t="s">
        <v>5374</v>
      </c>
      <c r="N275" s="21"/>
      <c r="O275" s="2562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3" cm="1">
        <f t="array" ref="F276">INDEX('5층_부하량'!E3:E3000,MATCH(1,("5-DaHall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3" cm="1">
        <f t="array" ref="P276">INDEX('5층_부하량'!E3:E3000,MATCH(1,("5-DaHall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8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8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9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9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2" cm="1">
        <f t="array" ref="F279">INDEX('5층_부하량'!E3:E3000,MATCH(1,("5-DaHall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2" cm="1">
        <f t="array" ref="P279">INDEX('5층_부하량'!E3:E3000,MATCH(1,("5-DaHall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2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2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2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2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2" cm="1">
        <f t="array" ref="F282">INDEX('5층_부하량'!E3:E3000,MATCH(1,("5-DaHall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2" cm="1">
        <f t="array" ref="P282">INDEX('5층_부하량'!E3:E3000,MATCH(1,("5-DaHall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2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2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2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2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2" cm="1">
        <f t="array" ref="F285">INDEX('5층_부하량'!E3:E3000,MATCH(1,("5-DaHall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2" cm="1">
        <f t="array" ref="P285">INDEX('5층_부하량'!E3:E3000,MATCH(1,("5-DaHall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2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2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2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2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61" cm="1">
        <f t="array" ref="F288">INDEX('5층_부하량'!E3:E3000,MATCH(1,("5-DaHall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61" cm="1">
        <f t="array" ref="P288">INDEX('5층_부하량'!E3:E3000,MATCH(1,("5-DaHall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6.46</v>
      </c>
      <c r="O289" s="33">
        <f>SUM(E271:E288,O271:O288)</f>
        <v>1.25</v>
      </c>
      <c r="P289" s="33">
        <f>SUM(F271:F288,P271:P288)</f>
        <v>1.34</v>
      </c>
    </row>
    <row r="290" spans="1:20" ht="18.600000000000001" thickTop="1" thickBot="1">
      <c r="A290" s="2" t="s">
        <v>6527</v>
      </c>
      <c r="C290" s="3818" t="s">
        <v>5421</v>
      </c>
      <c r="D290" s="3818"/>
      <c r="E290" s="3818"/>
      <c r="F290" s="3818"/>
      <c r="G290" s="53"/>
      <c r="H290" s="123"/>
      <c r="I290" s="123"/>
      <c r="J290" s="3819" t="s">
        <v>4636</v>
      </c>
      <c r="K290" s="382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4136</v>
      </c>
      <c r="N291" s="1342"/>
      <c r="O291" s="1343"/>
      <c r="P291" s="1344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9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1" t="s">
        <v>5360</v>
      </c>
      <c r="J293" s="60"/>
      <c r="K293" s="61"/>
      <c r="L293" s="561" t="s">
        <v>5361</v>
      </c>
      <c r="M293" s="11" t="s">
        <v>5359</v>
      </c>
      <c r="N293" s="2559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60">
        <f>IFERROR(INDEX('5층_부하량'!D3:D3000,MATCH(1,("5-DaHall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60">
        <f>IFERROR(INDEX('5층_부하량'!D3:D3000,MATCH(1,("5-DaHall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2">
        <f>IFERROR(INDEX('5층_부하량'!E3:E3000,MATCH(1,("5-DaHall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2">
        <f>IFERROR(INDEX('5층_부하량'!E3:E3000,MATCH(1,("5-DaHall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2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2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2">
        <f>IFERROR(INDEX('5층_부하량'!D3:D3000,MATCH(1,("5-DaHall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2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3">
        <f>IFERROR(INDEX('5층_부하량'!E3:E3000,MATCH(1,("5-DaHall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3">
        <f>IFERROR(INDEX('5층_부하량'!E3:E3000,MATCH(1,("5-DaHall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3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3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8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8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9">
        <f>IFERROR(INDEX('5층_부하량'!E3:E3000,MATCH(1,("5-DaHall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9">
        <f>IFERROR(INDEX('5층_부하량'!E3:E3000,MATCH(1,("5-DaHall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2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2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2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2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2">
        <f>IFERROR(INDEX('5층_부하량'!E3:E3000,MATCH(1,("5-DaHall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2">
        <f>IFERROR(INDEX('5층_부하량'!E3:E3000,MATCH(1,("5-DaHall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2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2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2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2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2">
        <f>IFERROR(INDEX('5층_부하량'!E3:E3000,MATCH(1,("5-DaHall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2">
        <f>IFERROR(INDEX('5층_부하량'!E3:E3000,MATCH(1,("5-DaHall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2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2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2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2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2">
        <f>IFERROR(INDEX('5층_부하량'!E3:E3000,MATCH(1,("5-DaHall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2">
        <f>IFERROR(INDEX('5층_부하량'!E3:E3000,MATCH(1,("5-DaHall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4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4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818" t="s">
        <v>5422</v>
      </c>
      <c r="D313" s="3818"/>
      <c r="E313" s="3818"/>
      <c r="F313" s="3818"/>
      <c r="G313" s="53"/>
      <c r="H313" s="123"/>
      <c r="I313" s="123"/>
      <c r="J313" s="3819" t="s">
        <v>5219</v>
      </c>
      <c r="K313" s="382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4136</v>
      </c>
      <c r="N314" s="1342">
        <v>15.3</v>
      </c>
      <c r="O314" s="1343">
        <v>10.199999999999999</v>
      </c>
      <c r="P314" s="1344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71" cm="1">
        <f t="array" ref="D316">INDEX('5층_부하량'!C3:C3000,MATCH(1,("5-DaHall 1-PDU-11"='5층_부하량'!A3:A3000)*(1='5층_부하량'!B3:B3000),0))</f>
        <v>0</v>
      </c>
      <c r="E316" s="2571" cm="1">
        <f t="array" ref="E316">INDEX('5층_부하량'!D3:D3000,MATCH(1,("5-DaHall 1-PDU-11"='5층_부하량'!A3:A3000)*(1='5층_부하량'!B3:B3000),0))</f>
        <v>0</v>
      </c>
      <c r="F316" s="2571" cm="1">
        <f t="array" ref="F316">INDEX('5층_부하량'!E3:E3000,MATCH(1,("5-DaHall 1-PDU-11"='5층_부하량'!A3:A3000)*(1='5층_부하량'!B3:B3000),0))</f>
        <v>0</v>
      </c>
      <c r="G316" s="15"/>
      <c r="H316" s="13" t="s">
        <v>5359</v>
      </c>
      <c r="I316" s="1151" t="s">
        <v>5360</v>
      </c>
      <c r="J316" s="60"/>
      <c r="K316" s="61"/>
      <c r="L316" s="561" t="s">
        <v>5361</v>
      </c>
      <c r="M316" s="11" t="s">
        <v>5359</v>
      </c>
      <c r="N316" s="2571" cm="1">
        <f t="array" ref="N316">INDEX('5층_부하량'!C3:C3000,MATCH(1,("5-DaHall 1-PDU-11"='5층_부하량'!A3:A3000)*(2='5층_부하량'!B3:B3000),0))</f>
        <v>0</v>
      </c>
      <c r="O316" s="2571" cm="1">
        <f t="array" ref="O316">INDEX('5층_부하량'!D3:D3000,MATCH(1,("5-DaHall 1-PDU-11"='5층_부하량'!A3:A3000)*(2='5층_부하량'!B3:B3000),0))</f>
        <v>0</v>
      </c>
      <c r="P316" s="2571" cm="1">
        <f t="array" ref="P316">INDEX('5층_부하량'!E3:E3000,MATCH(1,("5-DaHall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2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2" t="s">
        <v>5405</v>
      </c>
      <c r="K317" s="1005"/>
      <c r="L317" s="543" t="s">
        <v>4157</v>
      </c>
      <c r="M317" s="17" t="s">
        <v>5359</v>
      </c>
      <c r="N317" s="2572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9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5359</v>
      </c>
      <c r="I318" s="1181" t="s">
        <v>4214</v>
      </c>
      <c r="J318" s="1012" t="s">
        <v>5405</v>
      </c>
      <c r="K318" s="1005" t="s">
        <v>5405</v>
      </c>
      <c r="L318" s="543" t="s">
        <v>4162</v>
      </c>
      <c r="M318" s="17" t="s">
        <v>5359</v>
      </c>
      <c r="N318" s="381"/>
      <c r="O318" s="2569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9" cm="1">
        <f t="array" ref="F319">INDEX('5층_부하량'!E3:E3000,MATCH(1,("5-DaHall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2" t="s">
        <v>5405</v>
      </c>
      <c r="K319" s="1005" t="s">
        <v>5405</v>
      </c>
      <c r="L319" s="543" t="s">
        <v>4167</v>
      </c>
      <c r="M319" s="17" t="s">
        <v>5374</v>
      </c>
      <c r="N319" s="381"/>
      <c r="O319" s="381"/>
      <c r="P319" s="2569" cm="1">
        <f t="array" ref="P319">INDEX('5층_부하량'!E3:E3000,MATCH(1,("5-DaHall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9" cm="1">
        <f t="array" ref="D320">INDEX('5층_부하량'!C3:C3000,MATCH(1,("5-DaHall 1-PDU-11"='5층_부하량'!A3:A3000)*(9='5층_부하량'!B3:B3000),0))</f>
        <v>5.18</v>
      </c>
      <c r="E320" s="381"/>
      <c r="F320" s="381"/>
      <c r="G320" s="21"/>
      <c r="H320" s="17" t="s">
        <v>5359</v>
      </c>
      <c r="I320" s="1181" t="s">
        <v>4221</v>
      </c>
      <c r="J320" s="1004" t="s">
        <v>5401</v>
      </c>
      <c r="K320" s="1005" t="s">
        <v>5405</v>
      </c>
      <c r="L320" s="543" t="s">
        <v>4170</v>
      </c>
      <c r="M320" s="17" t="s">
        <v>5374</v>
      </c>
      <c r="N320" s="2569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6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5359</v>
      </c>
      <c r="I321" s="1183" t="s">
        <v>4226</v>
      </c>
      <c r="J321" s="1004" t="s">
        <v>5401</v>
      </c>
      <c r="K321" s="1013" t="s">
        <v>5405</v>
      </c>
      <c r="L321" s="549" t="s">
        <v>4173</v>
      </c>
      <c r="M321" s="23" t="s">
        <v>5374</v>
      </c>
      <c r="N321" s="411"/>
      <c r="O321" s="2576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8" cm="1">
        <f t="array" ref="F322">INDEX('5층_부하량'!E3:E3000,MATCH(1,("5-DaHall 1-PDU-11"='5층_부하량'!A3:A3000)*(13='5층_부하량'!B3:B3000),0))</f>
        <v>1.94</v>
      </c>
      <c r="G322" s="104"/>
      <c r="H322" s="11" t="s">
        <v>5359</v>
      </c>
      <c r="I322" s="1184" t="s">
        <v>4230</v>
      </c>
      <c r="J322" s="1007" t="s">
        <v>5405</v>
      </c>
      <c r="K322" s="1011" t="s">
        <v>5405</v>
      </c>
      <c r="L322" s="542" t="s">
        <v>4175</v>
      </c>
      <c r="M322" s="11" t="s">
        <v>5374</v>
      </c>
      <c r="N322" s="395"/>
      <c r="O322" s="395"/>
      <c r="P322" s="2568" cm="1">
        <f t="array" ref="P322">INDEX('5층_부하량'!E3:E3000,MATCH(1,("5-DaHall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7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9" t="s">
        <v>4234</v>
      </c>
      <c r="J323" s="1014" t="s">
        <v>5405</v>
      </c>
      <c r="K323" s="1015" t="s">
        <v>5405</v>
      </c>
      <c r="L323" s="544" t="s">
        <v>4177</v>
      </c>
      <c r="M323" s="71" t="s">
        <v>5374</v>
      </c>
      <c r="N323" s="2577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9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5374</v>
      </c>
      <c r="I324" s="1189" t="s">
        <v>4238</v>
      </c>
      <c r="J324" s="1014" t="s">
        <v>5405</v>
      </c>
      <c r="K324" s="1005" t="s">
        <v>5405</v>
      </c>
      <c r="L324" s="543" t="s">
        <v>4179</v>
      </c>
      <c r="M324" s="17" t="s">
        <v>5374</v>
      </c>
      <c r="N324" s="381"/>
      <c r="O324" s="2569" cm="1">
        <f t="array" ref="O324">INDEX('5층_부하량'!D3:D3000,MATCH(1,("5-DaHall 1-PDU-11"='5층_부하량'!A3:A3000)*(18='5층_부하량'!B3:B3000),0))</f>
        <v>2.2800000000000002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9" cm="1">
        <f t="array" ref="F325">INDEX('5층_부하량'!E3:E3000,MATCH(1,("5-DaHall 1-PDU-11"='5층_부하량'!A3:A3000)*(19='5층_부하량'!B3:B3000),0))</f>
        <v>0</v>
      </c>
      <c r="G325" s="21"/>
      <c r="H325" s="17" t="s">
        <v>5384</v>
      </c>
      <c r="I325" s="1189" t="s">
        <v>4243</v>
      </c>
      <c r="J325" s="1014" t="s">
        <v>5405</v>
      </c>
      <c r="K325" s="1005" t="s">
        <v>5405</v>
      </c>
      <c r="L325" s="543" t="s">
        <v>4183</v>
      </c>
      <c r="M325" s="17" t="s">
        <v>5384</v>
      </c>
      <c r="N325" s="381"/>
      <c r="O325" s="381"/>
      <c r="P325" s="2569" cm="1">
        <f t="array" ref="P325">INDEX('5층_부하량'!E3:E3000,MATCH(1,("5-DaHall 1-PDU-11"='5층_부하량'!A3:A3000)*(20='5층_부하량'!B3:B3000),0))</f>
        <v>2.88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9" cm="1">
        <f t="array" ref="D326">INDEX('5층_부하량'!C3:C3000,MATCH(1,("5-DaHall 1-PDU-11"='5층_부하량'!A3:A3000)*(21='5층_부하량'!B3:B3000),0))</f>
        <v>2.4900000000000002</v>
      </c>
      <c r="E326" s="381"/>
      <c r="F326" s="381"/>
      <c r="G326" s="21"/>
      <c r="H326" s="17" t="s">
        <v>5384</v>
      </c>
      <c r="I326" s="1189" t="s">
        <v>4247</v>
      </c>
      <c r="J326" s="1014" t="s">
        <v>5435</v>
      </c>
      <c r="K326" s="1009"/>
      <c r="L326" s="562" t="s">
        <v>4187</v>
      </c>
      <c r="M326" s="17" t="s">
        <v>5384</v>
      </c>
      <c r="N326" s="2569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9" cm="1">
        <f t="array" ref="E327">INDEX('5층_부하량'!D3:D3000,MATCH(1,("5-DaHall 1-PDU-11"='5층_부하량'!A3:A3000)*(23='5층_부하량'!B3:B3000),0))</f>
        <v>4.8100000000000005</v>
      </c>
      <c r="F327" s="381"/>
      <c r="G327" s="21"/>
      <c r="H327" s="17" t="s">
        <v>5384</v>
      </c>
      <c r="I327" s="1189" t="s">
        <v>4251</v>
      </c>
      <c r="J327" s="1014" t="s">
        <v>5438</v>
      </c>
      <c r="K327" s="1016" t="s">
        <v>2488</v>
      </c>
      <c r="L327" s="562" t="s">
        <v>4253</v>
      </c>
      <c r="M327" s="17" t="s">
        <v>5384</v>
      </c>
      <c r="N327" s="381"/>
      <c r="O327" s="2569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9" cm="1">
        <f t="array" ref="F328">INDEX('5층_부하량'!E3:E3000,MATCH(1,("5-DaHall 1-PDU-11"='5층_부하량'!A3:A3000)*(25='5층_부하량'!B3:B3000),0))</f>
        <v>0</v>
      </c>
      <c r="G328" s="21"/>
      <c r="H328" s="17" t="s">
        <v>5384</v>
      </c>
      <c r="I328" s="1189" t="s">
        <v>4256</v>
      </c>
      <c r="J328" s="1014" t="s">
        <v>5441</v>
      </c>
      <c r="K328" s="1016" t="s">
        <v>2488</v>
      </c>
      <c r="L328" s="1182" t="s">
        <v>4258</v>
      </c>
      <c r="M328" s="17" t="s">
        <v>5384</v>
      </c>
      <c r="N328" s="381"/>
      <c r="O328" s="381"/>
      <c r="P328" s="2569" cm="1">
        <f t="array" ref="P328">INDEX('5층_부하량'!E3:E3000,MATCH(1,("5-DaHall 1-PDU-11"='5층_부하량'!A3:A3000)*(26='5층_부하량'!B3:B3000),0))</f>
        <v>5.41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9" cm="1">
        <f t="array" ref="D329">INDEX('5층_부하량'!C3:C3000,MATCH(1,("5-DaHall 1-PDU-11"='5층_부하량'!A3:A3000)*(27='5층_부하량'!B3:B3000),0))</f>
        <v>2.17</v>
      </c>
      <c r="E329" s="381"/>
      <c r="F329" s="381"/>
      <c r="G329" s="21"/>
      <c r="H329" s="17" t="s">
        <v>5384</v>
      </c>
      <c r="I329" s="1189" t="s">
        <v>4261</v>
      </c>
      <c r="J329" s="1014" t="s">
        <v>5444</v>
      </c>
      <c r="K329" s="1009"/>
      <c r="L329" s="1182" t="s">
        <v>4262</v>
      </c>
      <c r="M329" s="17" t="s">
        <v>5384</v>
      </c>
      <c r="N329" s="2569" cm="1">
        <f t="array" ref="N329">INDEX('5층_부하량'!C3:C3000,MATCH(1,("5-DaHall 1-PDU-11"='5층_부하량'!A3:A3000)*(28='5층_부하량'!B3:B3000),0))</f>
        <v>5.26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9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5384</v>
      </c>
      <c r="I330" s="1189" t="s">
        <v>4264</v>
      </c>
      <c r="J330" s="1014" t="s">
        <v>5447</v>
      </c>
      <c r="K330" s="1009"/>
      <c r="L330" s="562" t="s">
        <v>4265</v>
      </c>
      <c r="M330" s="17" t="s">
        <v>5384</v>
      </c>
      <c r="N330" s="381"/>
      <c r="O330" s="2569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70" cm="1">
        <f t="array" ref="F331">INDEX('5층_부하량'!E3:E3000,MATCH(1,("5-DaHall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7"/>
      <c r="K331" s="1018" t="s">
        <v>5405</v>
      </c>
      <c r="L331" s="545" t="s">
        <v>4267</v>
      </c>
      <c r="M331" s="35" t="s">
        <v>5384</v>
      </c>
      <c r="N331" s="427"/>
      <c r="O331" s="427"/>
      <c r="P331" s="2570" cm="1">
        <f t="array" ref="P331">INDEX('5층_부하량'!E3:E3000,MATCH(1,("5-DaHall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15.1</v>
      </c>
      <c r="O332" s="33">
        <f>SUM(E316:E331,O316:O331)</f>
        <v>9.06</v>
      </c>
      <c r="P332" s="33">
        <f>SUM(F316:F331,P316:P331)</f>
        <v>10.23</v>
      </c>
    </row>
    <row r="333" spans="1:20" ht="18.600000000000001" thickTop="1" thickBot="1">
      <c r="A333" s="2" t="s">
        <v>6529</v>
      </c>
      <c r="C333" s="3818" t="s">
        <v>5450</v>
      </c>
      <c r="D333" s="3818"/>
      <c r="E333" s="3818"/>
      <c r="F333" s="3818"/>
      <c r="G333" s="53"/>
      <c r="H333" s="123"/>
      <c r="I333" s="123"/>
      <c r="J333" s="3819" t="s">
        <v>5219</v>
      </c>
      <c r="K333" s="382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4136</v>
      </c>
      <c r="N334" s="1342">
        <v>12</v>
      </c>
      <c r="O334" s="1343">
        <v>18.7</v>
      </c>
      <c r="P334" s="1344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71" cm="1">
        <f t="array" ref="D336">INDEX('5층_부하량'!C3:C3000,MATCH(1,("5-DaHall 1-PDU-13"='5층_부하량'!A3:A3000)*(1='5층_부하량'!B3:B3000),0))</f>
        <v>0</v>
      </c>
      <c r="E336" s="2571" cm="1">
        <f t="array" ref="E336">INDEX('5층_부하량'!D3:D3000,MATCH(1,("5-DaHall 1-PDU-13"='5층_부하량'!A3:A3000)*(1='5층_부하량'!B3:B3000),0))</f>
        <v>0</v>
      </c>
      <c r="F336" s="2571" cm="1">
        <f t="array" ref="F336">INDEX('5층_부하량'!E3:E3000,MATCH(1,("5-DaHall 1-PDU-13"='5층_부하량'!A3:A3000)*(1='5층_부하량'!B3:B3000),0))</f>
        <v>0</v>
      </c>
      <c r="G336" s="15"/>
      <c r="H336" s="13" t="s">
        <v>5359</v>
      </c>
      <c r="I336" s="1151" t="s">
        <v>5360</v>
      </c>
      <c r="J336" s="60"/>
      <c r="K336" s="61"/>
      <c r="L336" s="561" t="s">
        <v>5361</v>
      </c>
      <c r="M336" s="11" t="s">
        <v>5359</v>
      </c>
      <c r="N336" s="2571" cm="1">
        <f t="array" ref="N336">INDEX('5층_부하량'!C3:C3000,MATCH(1,("5-DaHall 1-PDU-13"='5층_부하량'!A3:A3000)*(2='5층_부하량'!B3:B3000),0))</f>
        <v>0</v>
      </c>
      <c r="O336" s="2571" cm="1">
        <f t="array" ref="O336">INDEX('5층_부하량'!D3:D3000,MATCH(1,("5-DaHall 1-PDU-13"='5층_부하량'!A3:A3000)*(2='5층_부하량'!B3:B3000),0))</f>
        <v>0</v>
      </c>
      <c r="P336" s="2571" cm="1">
        <f t="array" ref="P336">INDEX('5층_부하량'!E3:E3000,MATCH(1,("5-DaHall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2" cm="1">
        <f t="array" ref="D337">INDEX('5층_부하량'!C3:C3000,MATCH(1,("5-DaHall 1-PDU-13"='5층_부하량'!A3:A3000)*(3='5층_부하량'!B3:B3000),0))</f>
        <v>5.2</v>
      </c>
      <c r="E337" s="377"/>
      <c r="F337" s="377"/>
      <c r="G337" s="19"/>
      <c r="H337" s="17" t="s">
        <v>5363</v>
      </c>
      <c r="I337" s="1181" t="s">
        <v>4211</v>
      </c>
      <c r="J337" s="1012" t="s">
        <v>5405</v>
      </c>
      <c r="K337" s="1005" t="s">
        <v>5405</v>
      </c>
      <c r="L337" s="543" t="s">
        <v>4157</v>
      </c>
      <c r="M337" s="17" t="s">
        <v>5359</v>
      </c>
      <c r="N337" s="2572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9" cm="1">
        <f t="array" ref="E338">INDEX('5층_부하량'!D3:D3000,MATCH(1,("5-DaHall 1-PDU-13"='5층_부하량'!A3:A3000)*(5='5층_부하량'!B3:B3000),0))</f>
        <v>1.47</v>
      </c>
      <c r="F338" s="381"/>
      <c r="G338" s="21"/>
      <c r="H338" s="17" t="s">
        <v>5359</v>
      </c>
      <c r="I338" s="1181" t="s">
        <v>4214</v>
      </c>
      <c r="J338" s="1004" t="s">
        <v>5401</v>
      </c>
      <c r="K338" s="1005" t="s">
        <v>5405</v>
      </c>
      <c r="L338" s="543" t="s">
        <v>4162</v>
      </c>
      <c r="M338" s="17" t="s">
        <v>5359</v>
      </c>
      <c r="N338" s="381"/>
      <c r="O338" s="2569" cm="1">
        <f t="array" ref="O338">INDEX('5층_부하량'!D3:D3000,MATCH(1,("5-DaHall 1-PDU-13"='5층_부하량'!A3:A3000)*(6='5층_부하량'!B3:B3000),0))</f>
        <v>5.8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9" cm="1">
        <f t="array" ref="F339">INDEX('5층_부하량'!E3:E3000,MATCH(1,("5-DaHall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2" t="s">
        <v>5405</v>
      </c>
      <c r="K339" s="1005" t="s">
        <v>5405</v>
      </c>
      <c r="L339" s="543" t="s">
        <v>4167</v>
      </c>
      <c r="M339" s="17" t="s">
        <v>5368</v>
      </c>
      <c r="N339" s="381"/>
      <c r="O339" s="381"/>
      <c r="P339" s="2569" cm="1">
        <f t="array" ref="P339">INDEX('5층_부하량'!E3:E3000,MATCH(1,("5-DaHall 1-PDU-13"='5층_부하량'!A3:A3000)*(8='5층_부하량'!B3:B3000),0))</f>
        <v>4.03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9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2" t="s">
        <v>5405</v>
      </c>
      <c r="K340" s="1005" t="s">
        <v>5405</v>
      </c>
      <c r="L340" s="543" t="s">
        <v>4170</v>
      </c>
      <c r="M340" s="17" t="s">
        <v>5368</v>
      </c>
      <c r="N340" s="2569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6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9" t="s">
        <v>5405</v>
      </c>
      <c r="K341" s="1013" t="s">
        <v>5405</v>
      </c>
      <c r="L341" s="549" t="s">
        <v>4173</v>
      </c>
      <c r="M341" s="23" t="s">
        <v>5374</v>
      </c>
      <c r="N341" s="411"/>
      <c r="O341" s="2576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8" cm="1">
        <f t="array" ref="F342">INDEX('5층_부하량'!E3:E3000,MATCH(1,("5-DaHall 1-PDU-13"='5층_부하량'!A3:A3000)*(13='5층_부하량'!B3:B3000),0))</f>
        <v>0.7</v>
      </c>
      <c r="G342" s="104"/>
      <c r="H342" s="11" t="s">
        <v>5384</v>
      </c>
      <c r="I342" s="542" t="s">
        <v>4230</v>
      </c>
      <c r="J342" s="1007" t="s">
        <v>5405</v>
      </c>
      <c r="K342" s="1011" t="s">
        <v>5405</v>
      </c>
      <c r="L342" s="542" t="s">
        <v>4175</v>
      </c>
      <c r="M342" s="11" t="s">
        <v>5374</v>
      </c>
      <c r="N342" s="395"/>
      <c r="O342" s="395"/>
      <c r="P342" s="2568" cm="1">
        <f t="array" ref="P342">INDEX('5층_부하량'!E3:E3000,MATCH(1,("5-DaHall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7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4" t="s">
        <v>5401</v>
      </c>
      <c r="K343" s="1020" t="s">
        <v>5401</v>
      </c>
      <c r="L343" s="544" t="s">
        <v>4177</v>
      </c>
      <c r="M343" s="71" t="s">
        <v>5374</v>
      </c>
      <c r="N343" s="2577" cm="1">
        <f t="array" ref="N343">INDEX('5층_부하량'!C3:C3000,MATCH(1,("5-DaHall 1-PDU-13"='5층_부하량'!A3:A3000)*(16='5층_부하량'!B3:B3000),0))</f>
        <v>3.82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9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2" t="s">
        <v>5405</v>
      </c>
      <c r="K344" s="1005" t="s">
        <v>5405</v>
      </c>
      <c r="L344" s="543" t="s">
        <v>4179</v>
      </c>
      <c r="M344" s="17" t="s">
        <v>5374</v>
      </c>
      <c r="N344" s="381"/>
      <c r="O344" s="2569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4204</v>
      </c>
      <c r="S344" s="1405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9" cm="1">
        <f t="array" ref="F345">INDEX('5층_부하량'!E3:E3000,MATCH(1,("5-DaHall 1-PDU-13"='5층_부하량'!A3:A3000)*(19='5층_부하량'!B3:B3000),0))</f>
        <v>5.13</v>
      </c>
      <c r="G345" s="21"/>
      <c r="H345" s="17" t="s">
        <v>5384</v>
      </c>
      <c r="I345" s="543" t="s">
        <v>4243</v>
      </c>
      <c r="J345" s="1012" t="s">
        <v>5405</v>
      </c>
      <c r="K345" s="1005" t="s">
        <v>5405</v>
      </c>
      <c r="L345" s="543" t="s">
        <v>4183</v>
      </c>
      <c r="M345" s="17" t="s">
        <v>5384</v>
      </c>
      <c r="N345" s="381"/>
      <c r="O345" s="381"/>
      <c r="P345" s="2569" cm="1">
        <f t="array" ref="P345">INDEX('5층_부하량'!E3:E3000,MATCH(1,("5-DaHall 1-PDU-13"='5층_부하량'!A3:A3000)*(20='5층_부하량'!B3:B3000),0))</f>
        <v>0</v>
      </c>
      <c r="Q345" s="21"/>
      <c r="R345" s="68" t="s">
        <v>4204</v>
      </c>
      <c r="S345" s="1405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9" cm="1">
        <f t="array" ref="D346">INDEX('5층_부하량'!C3:C3000,MATCH(1,("5-DaHall 1-PDU-13"='5층_부하량'!A3:A3000)*(21='5층_부하량'!B3:B3000),0))</f>
        <v>3.15</v>
      </c>
      <c r="E346" s="381"/>
      <c r="F346" s="381"/>
      <c r="G346" s="21"/>
      <c r="H346" s="17" t="s">
        <v>5384</v>
      </c>
      <c r="I346" s="543" t="s">
        <v>4247</v>
      </c>
      <c r="J346" s="1012" t="s">
        <v>5405</v>
      </c>
      <c r="K346" s="1005" t="s">
        <v>5405</v>
      </c>
      <c r="L346" s="543" t="s">
        <v>4187</v>
      </c>
      <c r="M346" s="17" t="s">
        <v>5384</v>
      </c>
      <c r="N346" s="2569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5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9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5384</v>
      </c>
      <c r="I347" s="543" t="s">
        <v>4251</v>
      </c>
      <c r="J347" s="1012" t="s">
        <v>5405</v>
      </c>
      <c r="K347" s="1005" t="s">
        <v>5405</v>
      </c>
      <c r="L347" s="543" t="s">
        <v>4253</v>
      </c>
      <c r="M347" s="17" t="s">
        <v>5384</v>
      </c>
      <c r="N347" s="381"/>
      <c r="O347" s="2569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4204</v>
      </c>
      <c r="S347" s="1405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9" cm="1">
        <f t="array" ref="F348">INDEX('5층_부하량'!E3:E3000,MATCH(1,("5-DaHall 1-PDU-13"='5층_부하량'!A3:A3000)*(25='5층_부하량'!B3:B3000),0))</f>
        <v>2.4500000000000002</v>
      </c>
      <c r="G348" s="21"/>
      <c r="H348" s="17" t="s">
        <v>5384</v>
      </c>
      <c r="I348" s="543" t="s">
        <v>4256</v>
      </c>
      <c r="J348" s="1012" t="s">
        <v>5405</v>
      </c>
      <c r="K348" s="1005" t="s">
        <v>5405</v>
      </c>
      <c r="L348" s="543" t="s">
        <v>4258</v>
      </c>
      <c r="M348" s="17" t="s">
        <v>5384</v>
      </c>
      <c r="N348" s="381"/>
      <c r="O348" s="381"/>
      <c r="P348" s="2569" cm="1">
        <f t="array" ref="P348">INDEX('5층_부하량'!E3:E3000,MATCH(1,("5-DaHall 1-PDU-13"='5층_부하량'!A3:A3000)*(26='5층_부하량'!B3:B3000),0))</f>
        <v>1.79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9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2" t="s">
        <v>5405</v>
      </c>
      <c r="K349" s="1005" t="s">
        <v>5405</v>
      </c>
      <c r="L349" s="543" t="s">
        <v>4262</v>
      </c>
      <c r="M349" s="17" t="s">
        <v>5384</v>
      </c>
      <c r="N349" s="2569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5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9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2" t="s">
        <v>5405</v>
      </c>
      <c r="K350" s="1005" t="s">
        <v>5405</v>
      </c>
      <c r="L350" s="543" t="s">
        <v>4265</v>
      </c>
      <c r="M350" s="17" t="s">
        <v>5384</v>
      </c>
      <c r="N350" s="381"/>
      <c r="O350" s="2569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4204</v>
      </c>
      <c r="S350" s="1405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70" cm="1">
        <f t="array" ref="F351">INDEX('5층_부하량'!E3:E3000,MATCH(1,("5-DaHall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7" t="s">
        <v>5405</v>
      </c>
      <c r="K351" s="1018" t="s">
        <v>5405</v>
      </c>
      <c r="L351" s="545" t="s">
        <v>4267</v>
      </c>
      <c r="M351" s="35" t="s">
        <v>5384</v>
      </c>
      <c r="N351" s="427"/>
      <c r="O351" s="427"/>
      <c r="P351" s="2570" cm="1">
        <f t="array" ref="P351">INDEX('5층_부하량'!E3:E3000,MATCH(1,("5-DaHall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12.17</v>
      </c>
      <c r="O352" s="33">
        <f>SUM(E336:E351,O336:O351)</f>
        <v>15.91</v>
      </c>
      <c r="P352" s="33">
        <f>SUM(F336:F351,P336:P351)</f>
        <v>14.100000000000001</v>
      </c>
    </row>
    <row r="353" spans="1:20" s="350" customFormat="1" ht="18.600000000000001" thickTop="1" thickBot="1">
      <c r="A353" s="349" t="s">
        <v>6530</v>
      </c>
      <c r="C353" s="3818" t="s">
        <v>5464</v>
      </c>
      <c r="D353" s="3818"/>
      <c r="E353" s="3818"/>
      <c r="F353" s="3818"/>
      <c r="G353" s="351"/>
      <c r="H353" s="352"/>
      <c r="I353" s="352"/>
      <c r="J353" s="3828" t="s">
        <v>4288</v>
      </c>
      <c r="K353" s="3829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4136</v>
      </c>
      <c r="N354" s="1342">
        <v>19.100000000000001</v>
      </c>
      <c r="O354" s="1343">
        <v>6.2</v>
      </c>
      <c r="P354" s="1344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80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1" t="s">
        <v>5465</v>
      </c>
      <c r="B356" s="366" t="s">
        <v>4208</v>
      </c>
      <c r="C356" s="383" t="s">
        <v>4149</v>
      </c>
      <c r="D356" s="2571" cm="1">
        <f t="array" ref="D356">INDEX('5층_부하량'!C3:C3000,MATCH(1,("5-DaHall 1-PDU-15"='5층_부하량'!A3:A3000)*(1='5층_부하량'!B3:B3000),0))</f>
        <v>5.98</v>
      </c>
      <c r="E356" s="2571" cm="1">
        <f t="array" ref="E356">INDEX('5층_부하량'!D3:D3000,MATCH(1,("5-DaHall 1-PDU-15"='5층_부하량'!A3:A3000)*(1='5층_부하량'!B3:B3000),0))</f>
        <v>1.24</v>
      </c>
      <c r="F356" s="2571" cm="1">
        <f t="array" ref="F356">INDEX('5층_부하량'!E3:E3000,MATCH(1,("5-DaHall 1-PDU-15"='5층_부하량'!A3:A3000)*(1='5층_부하량'!B3:B3000),0))</f>
        <v>7.84</v>
      </c>
      <c r="G356" s="371"/>
      <c r="H356" s="367" t="s">
        <v>5466</v>
      </c>
      <c r="I356" s="2341" t="s">
        <v>5467</v>
      </c>
      <c r="J356" s="1021" t="s">
        <v>3514</v>
      </c>
      <c r="K356" s="1022" t="s">
        <v>5468</v>
      </c>
      <c r="L356" s="1152" t="s">
        <v>5469</v>
      </c>
      <c r="M356" s="366" t="s">
        <v>5466</v>
      </c>
      <c r="N356" s="2571" cm="1">
        <f t="array" ref="N356">INDEX('5층_부하량'!C3:C3000,MATCH(1,("5-DaHall 1-PDU-15"='5층_부하량'!A3:A3000)*(2='5층_부하량'!B3:B3000),0))</f>
        <v>3.36</v>
      </c>
      <c r="O356" s="2571" cm="1">
        <f t="array" ref="O356">INDEX('5층_부하량'!D3:D3000,MATCH(1,("5-DaHall 1-PDU-15"='5층_부하량'!A3:A3000)*(2='5층_부하량'!B3:B3000),0))</f>
        <v>2.76</v>
      </c>
      <c r="P356" s="2571" cm="1">
        <f t="array" ref="P356">INDEX('5층_부하량'!E3:E3000,MATCH(1,("5-DaHall 1-PDU-15"='5층_부하량'!A3:A3000)*(2='5층_부하량'!B3:B3000),0))</f>
        <v>1.94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2"/>
      <c r="B357" s="376" t="s">
        <v>4164</v>
      </c>
      <c r="C357" s="376" t="s">
        <v>4215</v>
      </c>
      <c r="D357" s="2572" cm="1">
        <f t="array" ref="D357">INDEX('5층_부하량'!C3:C3000,MATCH(1,("5-DaHall 1-PDU-15"='5층_부하량'!A3:A3000)*(3='5층_부하량'!B3:B3000),0))</f>
        <v>0</v>
      </c>
      <c r="E357" s="2572" cm="1">
        <f t="array" ref="E357">INDEX('5층_부하량'!D3:D3000,MATCH(1,("5-DaHall 1-PDU-15"='5층_부하량'!A3:A3000)*(3='5층_부하량'!B3:B3000),0))</f>
        <v>0</v>
      </c>
      <c r="F357" s="2572" cm="1">
        <f t="array" ref="F357">INDEX('5층_부하량'!E3:E3000,MATCH(1,("5-DaHall 1-PDU-15"='5층_부하량'!A3:A3000)*(3='5층_부하량'!B3:B3000),0))</f>
        <v>0</v>
      </c>
      <c r="G357" s="377"/>
      <c r="H357" s="376" t="s">
        <v>5471</v>
      </c>
      <c r="I357" s="2342" t="s">
        <v>5472</v>
      </c>
      <c r="J357" s="1023"/>
      <c r="K357" s="1024" t="s">
        <v>5473</v>
      </c>
      <c r="L357" s="1153" t="s">
        <v>5474</v>
      </c>
      <c r="M357" s="376" t="s">
        <v>5466</v>
      </c>
      <c r="N357" s="2572" cm="1">
        <f t="array" ref="N357">INDEX('5층_부하량'!C3:C3000,MATCH(1,("5-DaHall 1-PDU-15"='5층_부하량'!A3:A3000)*(4='5층_부하량'!B3:B3000),0))</f>
        <v>0</v>
      </c>
      <c r="O357" s="2572" cm="1">
        <f t="array" ref="O357">INDEX('5층_부하량'!D3:D3000,MATCH(1,("5-DaHall 1-PDU-15"='5층_부하량'!A3:A3000)*(4='5층_부하량'!B3:B3000),0))</f>
        <v>0</v>
      </c>
      <c r="P357" s="2572" cm="1">
        <f t="array" ref="P357">INDEX('5층_부하량'!E3:E3000,MATCH(1,("5-DaHall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9" cm="1">
        <f t="array" ref="D358">INDEX('5층_부하량'!C3:C3000,MATCH(1,("5-DaHall 1-PDU-15"='5층_부하량'!A3:A3000)*(5='5층_부하량'!B3:B3000),0))</f>
        <v>0</v>
      </c>
      <c r="E358" s="2569" cm="1">
        <f t="array" ref="E358">INDEX('5층_부하량'!D3:D3000,MATCH(1,("5-DaHall 1-PDU-15"='5층_부하량'!A3:A3000)*(5='5층_부하량'!B3:B3000),0))</f>
        <v>0</v>
      </c>
      <c r="F358" s="2569" cm="1">
        <f t="array" ref="F358">INDEX('5층_부하량'!E3:E3000,MATCH(1,("5-DaHall 1-PDU-15"='5층_부하량'!A3:A3000)*(5='5층_부하량'!B3:B3000),0))</f>
        <v>0</v>
      </c>
      <c r="G358" s="381"/>
      <c r="H358" s="376" t="s">
        <v>5359</v>
      </c>
      <c r="I358" s="2342" t="s">
        <v>5477</v>
      </c>
      <c r="J358" s="1025"/>
      <c r="K358" s="1026"/>
      <c r="L358" s="1154" t="s">
        <v>5478</v>
      </c>
      <c r="M358" s="376" t="s">
        <v>5359</v>
      </c>
      <c r="N358" s="2569" cm="1">
        <f t="array" ref="N358">INDEX('5층_부하량'!C3:C3000,MATCH(1,("5-DaHall 1-PDU-15"='5층_부하량'!A3:A3000)*(6='5층_부하량'!B3:B3000),0))</f>
        <v>0</v>
      </c>
      <c r="O358" s="2569" cm="1">
        <f t="array" ref="O358">INDEX('5층_부하량'!D3:D3000,MATCH(1,("5-DaHall 1-PDU-15"='5층_부하량'!A3:A3000)*(6='5층_부하량'!B3:B3000),0))</f>
        <v>0</v>
      </c>
      <c r="P358" s="2569" cm="1">
        <f t="array" ref="P358">INDEX('5층_부하량'!E3:E3000,MATCH(1,("5-DaHall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3" t="s">
        <v>5480</v>
      </c>
      <c r="B359" s="376" t="s">
        <v>4204</v>
      </c>
      <c r="C359" s="383" t="s">
        <v>4149</v>
      </c>
      <c r="D359" s="2569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5359</v>
      </c>
      <c r="I359" s="1185" t="s">
        <v>4218</v>
      </c>
      <c r="J359" s="1025" t="s">
        <v>2610</v>
      </c>
      <c r="K359" s="1026"/>
      <c r="L359" s="572" t="s">
        <v>4167</v>
      </c>
      <c r="M359" s="376" t="s">
        <v>5368</v>
      </c>
      <c r="N359" s="2569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4" t="s">
        <v>5482</v>
      </c>
      <c r="B360" s="87" t="s">
        <v>4204</v>
      </c>
      <c r="C360" s="88" t="s">
        <v>4149</v>
      </c>
      <c r="D360" s="392"/>
      <c r="E360" s="2563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5359</v>
      </c>
      <c r="I360" s="1192" t="s">
        <v>4221</v>
      </c>
      <c r="J360" s="1025" t="s">
        <v>2610</v>
      </c>
      <c r="K360" s="1027"/>
      <c r="L360" s="573" t="s">
        <v>4170</v>
      </c>
      <c r="M360" s="391" t="s">
        <v>5368</v>
      </c>
      <c r="N360" s="392"/>
      <c r="O360" s="2563" cm="1">
        <f t="array" ref="O360">INDEX('5층_부하량'!D3:D3000,MATCH(1,("5-DaHall 1-PDU-15"='5층_부하량'!A3:A3000)*(10='5층_부하량'!B3:B3000),0))</f>
        <v>6.6899999999999995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6" t="s">
        <v>5484</v>
      </c>
      <c r="B361" s="2304" t="s">
        <v>4208</v>
      </c>
      <c r="C361" s="383" t="s">
        <v>4149</v>
      </c>
      <c r="D361" s="395"/>
      <c r="E361" s="395"/>
      <c r="F361" s="2573" cm="1">
        <f t="array" ref="F361">INDEX('5층_부하량'!E3:E3000,MATCH(1,("5-DaHall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8"/>
      <c r="K361" s="1029" t="s">
        <v>5485</v>
      </c>
      <c r="L361" s="574" t="s">
        <v>4173</v>
      </c>
      <c r="M361" s="366" t="s">
        <v>5363</v>
      </c>
      <c r="N361" s="395"/>
      <c r="O361" s="395"/>
      <c r="P361" s="2573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4208</v>
      </c>
      <c r="S361" s="383" t="s">
        <v>4149</v>
      </c>
      <c r="T361" s="969" t="s">
        <v>5486</v>
      </c>
    </row>
    <row r="362" spans="1:20" s="350" customFormat="1" ht="26.4">
      <c r="A362" s="1285" t="s">
        <v>5487</v>
      </c>
      <c r="B362" s="376" t="s">
        <v>4204</v>
      </c>
      <c r="C362" s="383" t="s">
        <v>4149</v>
      </c>
      <c r="D362" s="2569" cm="1">
        <f t="array" ref="D362">INDEX('5층_부하량'!C3:C3000,MATCH(1,("5-DaHall 1-PDU-15"='5층_부하량'!A3:A3000)*(13='5층_부하량'!B3:B3000),0))</f>
        <v>0.62</v>
      </c>
      <c r="E362" s="381"/>
      <c r="F362" s="381"/>
      <c r="G362" s="381"/>
      <c r="H362" s="376" t="s">
        <v>5363</v>
      </c>
      <c r="I362" s="552" t="s">
        <v>4230</v>
      </c>
      <c r="J362" s="1025"/>
      <c r="K362" s="1026"/>
      <c r="L362" s="572" t="s">
        <v>4175</v>
      </c>
      <c r="M362" s="376" t="s">
        <v>5363</v>
      </c>
      <c r="N362" s="2569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6" t="s">
        <v>5489</v>
      </c>
      <c r="B363" s="376" t="s">
        <v>4164</v>
      </c>
      <c r="C363" s="376" t="s">
        <v>4215</v>
      </c>
      <c r="D363" s="381"/>
      <c r="E363" s="2569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5"/>
      <c r="K363" s="1026"/>
      <c r="L363" s="572" t="s">
        <v>4177</v>
      </c>
      <c r="M363" s="376" t="s">
        <v>5384</v>
      </c>
      <c r="N363" s="381"/>
      <c r="O363" s="2569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5" t="s">
        <v>5490</v>
      </c>
      <c r="B364" s="376" t="s">
        <v>4164</v>
      </c>
      <c r="C364" s="376" t="s">
        <v>4215</v>
      </c>
      <c r="D364" s="381"/>
      <c r="E364" s="381"/>
      <c r="F364" s="2569" cm="1">
        <f t="array" ref="F364">INDEX('5층_부하량'!E3:E3000,MATCH(1,("5-DaHall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5"/>
      <c r="K364" s="1026"/>
      <c r="L364" s="572" t="s">
        <v>4179</v>
      </c>
      <c r="M364" s="376" t="s">
        <v>5384</v>
      </c>
      <c r="N364" s="381"/>
      <c r="O364" s="381"/>
      <c r="P364" s="2569" cm="1">
        <f t="array" ref="P364">INDEX('5층_부하량'!E3:E3000,MATCH(1,("5-DaHall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6" t="s">
        <v>5491</v>
      </c>
      <c r="B365" s="376" t="s">
        <v>4164</v>
      </c>
      <c r="C365" s="376" t="s">
        <v>4215</v>
      </c>
      <c r="D365" s="2569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5"/>
      <c r="K365" s="1026"/>
      <c r="L365" s="572" t="s">
        <v>4183</v>
      </c>
      <c r="M365" s="376" t="s">
        <v>5384</v>
      </c>
      <c r="N365" s="2569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5" t="s">
        <v>5492</v>
      </c>
      <c r="B366" s="376" t="s">
        <v>4513</v>
      </c>
      <c r="C366" s="376" t="s">
        <v>4158</v>
      </c>
      <c r="D366" s="381"/>
      <c r="E366" s="2569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3"/>
      <c r="K366" s="1026"/>
      <c r="L366" s="572" t="s">
        <v>4187</v>
      </c>
      <c r="M366" s="376" t="s">
        <v>5384</v>
      </c>
      <c r="N366" s="381"/>
      <c r="O366" s="2569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5" t="s">
        <v>5493</v>
      </c>
      <c r="B367" s="376" t="s">
        <v>4153</v>
      </c>
      <c r="C367" s="383" t="s">
        <v>4149</v>
      </c>
      <c r="D367" s="381"/>
      <c r="E367" s="381"/>
      <c r="F367" s="2569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5384</v>
      </c>
      <c r="I367" s="552" t="s">
        <v>4251</v>
      </c>
      <c r="J367" s="1025" t="s">
        <v>5494</v>
      </c>
      <c r="K367" s="1026"/>
      <c r="L367" s="572" t="s">
        <v>4253</v>
      </c>
      <c r="M367" s="376" t="s">
        <v>5384</v>
      </c>
      <c r="N367" s="381"/>
      <c r="O367" s="381"/>
      <c r="P367" s="2569" cm="1">
        <f t="array" ref="P367">INDEX('5층_부하량'!E3:E3000,MATCH(1,("5-DaHall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7" t="s">
        <v>5495</v>
      </c>
      <c r="B368" s="376" t="s">
        <v>4513</v>
      </c>
      <c r="C368" s="376" t="s">
        <v>4158</v>
      </c>
      <c r="D368" s="2569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5"/>
      <c r="K368" s="1026"/>
      <c r="L368" s="572" t="s">
        <v>4258</v>
      </c>
      <c r="M368" s="376" t="s">
        <v>5384</v>
      </c>
      <c r="N368" s="2569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5" t="s">
        <v>5496</v>
      </c>
      <c r="B369" s="376" t="s">
        <v>4513</v>
      </c>
      <c r="C369" s="376" t="s">
        <v>4158</v>
      </c>
      <c r="D369" s="381"/>
      <c r="E369" s="2569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3"/>
      <c r="K369" s="1026" t="s">
        <v>2593</v>
      </c>
      <c r="L369" s="1186" t="s">
        <v>4262</v>
      </c>
      <c r="M369" s="376" t="s">
        <v>5384</v>
      </c>
      <c r="N369" s="381"/>
      <c r="O369" s="2569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8" t="s">
        <v>5498</v>
      </c>
      <c r="B370" s="35" t="s">
        <v>4153</v>
      </c>
      <c r="C370" s="39" t="s">
        <v>4149</v>
      </c>
      <c r="D370" s="402"/>
      <c r="E370" s="402"/>
      <c r="F370" s="2574" cm="1">
        <f t="array" ref="F370">INDEX('5층_부하량'!E3:E3000,MATCH(1,("5-DaHall 1-PDU-15"='5층_부하량'!A3:A3000)*(29='5층_부하량'!B3:B3000),0))</f>
        <v>0.36</v>
      </c>
      <c r="G370" s="402"/>
      <c r="H370" s="401" t="s">
        <v>5384</v>
      </c>
      <c r="I370" s="554" t="s">
        <v>4264</v>
      </c>
      <c r="J370" s="1030" t="s">
        <v>5494</v>
      </c>
      <c r="K370" s="1031"/>
      <c r="L370" s="575" t="s">
        <v>4265</v>
      </c>
      <c r="M370" s="401" t="s">
        <v>5384</v>
      </c>
      <c r="N370" s="402"/>
      <c r="O370" s="402"/>
      <c r="P370" s="2574" cm="1">
        <f t="array" ref="P370">INDEX('5층_부하량'!E3:E3000,MATCH(1,("5-DaHall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3"/>
      <c r="M371" s="405" t="s">
        <v>5218</v>
      </c>
      <c r="N371" s="406">
        <f>SUM(D356:D370,N356:N370)</f>
        <v>19.569999999999997</v>
      </c>
      <c r="O371" s="406">
        <f>SUM(E356:E370,O356:O370)</f>
        <v>13.14</v>
      </c>
      <c r="P371" s="406">
        <f>SUM(F356:F370,P356:P370)</f>
        <v>14.739999999999998</v>
      </c>
    </row>
    <row r="372" spans="1:20" s="350" customFormat="1" ht="18.600000000000001" thickTop="1" thickBot="1">
      <c r="A372" s="349" t="s">
        <v>6531</v>
      </c>
      <c r="C372" s="3818" t="s">
        <v>5499</v>
      </c>
      <c r="D372" s="3818"/>
      <c r="E372" s="3818"/>
      <c r="F372" s="3818"/>
      <c r="G372" s="351"/>
      <c r="H372" s="352"/>
      <c r="I372" s="352"/>
      <c r="J372" s="3828" t="s">
        <v>5219</v>
      </c>
      <c r="K372" s="3829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4136</v>
      </c>
      <c r="N373" s="1342">
        <v>20.100000000000001</v>
      </c>
      <c r="O373" s="1343">
        <v>13.1</v>
      </c>
      <c r="P373" s="1344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71" cm="1">
        <f t="array" ref="D375">INDEX('5층_부하량'!C3:C3000,MATCH(1,("5-DaHall 1-PDU-12"='5층_부하량'!A3:A3000)*(1='5층_부하량'!B3:B3000),0))</f>
        <v>0</v>
      </c>
      <c r="E375" s="2571" cm="1">
        <f t="array" ref="E375">INDEX('5층_부하량'!D3:D3000,MATCH(1,("5-DaHall 1-PDU-12"='5층_부하량'!A3:A3000)*(1='5층_부하량'!B3:B3000),0))</f>
        <v>0</v>
      </c>
      <c r="F375" s="2571" cm="1">
        <f t="array" ref="F375">INDEX('5층_부하량'!E3:E3000,MATCH(1,("5-DaHall 1-PDU-12"='5층_부하량'!A3:A3000)*(1='5층_부하량'!B3:B3000),0))</f>
        <v>0</v>
      </c>
      <c r="G375" s="368"/>
      <c r="H375" s="367" t="s">
        <v>5359</v>
      </c>
      <c r="I375" s="2344" t="s">
        <v>5467</v>
      </c>
      <c r="J375" s="1032"/>
      <c r="K375" s="1033"/>
      <c r="L375" s="1412" t="s">
        <v>5469</v>
      </c>
      <c r="M375" s="366" t="s">
        <v>5359</v>
      </c>
      <c r="N375" s="2571" cm="1">
        <f t="array" ref="N375">INDEX('5층_부하량'!C3:C3000,MATCH(1,("5-DaHall 1-PDU-12"='5층_부하량'!A3:A3000)*(2='5층_부하량'!B3:B3000),0))</f>
        <v>0</v>
      </c>
      <c r="O375" s="2571" cm="1">
        <f t="array" ref="O375">INDEX('5층_부하량'!D3:D3000,MATCH(1,("5-DaHall 1-PDU-12"='5층_부하량'!A3:A3000)*(2='5층_부하량'!B3:B3000),0))</f>
        <v>0</v>
      </c>
      <c r="P375" s="2571" cm="1">
        <f t="array" ref="P375">INDEX('5층_부하량'!E3:E3000,MATCH(1,("5-DaHall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2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3" t="s">
        <v>5405</v>
      </c>
      <c r="K376" s="1024" t="s">
        <v>5405</v>
      </c>
      <c r="L376" s="571" t="s">
        <v>4157</v>
      </c>
      <c r="M376" s="376" t="s">
        <v>5359</v>
      </c>
      <c r="N376" s="2572" cm="1">
        <f t="array" ref="N376">INDEX('5층_부하량'!C3:C3000,MATCH(1,("5-DaHall 1-PDU-12"='5층_부하량'!A3:A3000)*(4='5층_부하량'!B3:B3000),0))</f>
        <v>1.88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9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5359</v>
      </c>
      <c r="I377" s="1185" t="s">
        <v>4214</v>
      </c>
      <c r="J377" s="1034" t="s">
        <v>5401</v>
      </c>
      <c r="K377" s="1024" t="s">
        <v>5405</v>
      </c>
      <c r="L377" s="571" t="s">
        <v>4162</v>
      </c>
      <c r="M377" s="376" t="s">
        <v>5359</v>
      </c>
      <c r="N377" s="381"/>
      <c r="O377" s="2569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9" cm="1">
        <f t="array" ref="F378">INDEX('5층_부하량'!E3:E3000,MATCH(1,("5-DaHall 1-PDU-12"='5층_부하량'!A3:A3000)*(7='5층_부하량'!B3:B3000),0))</f>
        <v>0</v>
      </c>
      <c r="G378" s="381"/>
      <c r="H378" s="376" t="s">
        <v>5359</v>
      </c>
      <c r="I378" s="1413" t="s">
        <v>4218</v>
      </c>
      <c r="J378" s="1023" t="s">
        <v>5405</v>
      </c>
      <c r="K378" s="1024" t="s">
        <v>5405</v>
      </c>
      <c r="L378" s="571" t="s">
        <v>4167</v>
      </c>
      <c r="M378" s="376" t="s">
        <v>5363</v>
      </c>
      <c r="N378" s="381"/>
      <c r="O378" s="381"/>
      <c r="P378" s="2569" cm="1">
        <f t="array" ref="P378">INDEX('5층_부하량'!E3:E3000,MATCH(1,("5-DaHall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9" cm="1">
        <f t="array" ref="D379">INDEX('5층_부하량'!C3:C3000,MATCH(1,("5-DaHall 1-PDU-12"='5층_부하량'!A3:A3000)*(9='5층_부하량'!B3:B3000),0))</f>
        <v>2.91</v>
      </c>
      <c r="E379" s="381"/>
      <c r="F379" s="381"/>
      <c r="G379" s="381"/>
      <c r="H379" s="376" t="s">
        <v>5359</v>
      </c>
      <c r="I379" s="1185" t="s">
        <v>4221</v>
      </c>
      <c r="J379" s="1023" t="s">
        <v>5405</v>
      </c>
      <c r="K379" s="1024" t="s">
        <v>5405</v>
      </c>
      <c r="L379" s="571" t="s">
        <v>4170</v>
      </c>
      <c r="M379" s="376" t="s">
        <v>5374</v>
      </c>
      <c r="N379" s="2569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6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5359</v>
      </c>
      <c r="I380" s="1187" t="s">
        <v>4226</v>
      </c>
      <c r="J380" s="1035" t="s">
        <v>5405</v>
      </c>
      <c r="K380" s="1036" t="s">
        <v>5405</v>
      </c>
      <c r="L380" s="576" t="s">
        <v>4173</v>
      </c>
      <c r="M380" s="409" t="s">
        <v>5374</v>
      </c>
      <c r="N380" s="411"/>
      <c r="O380" s="2576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8" cm="1">
        <f t="array" ref="F381">INDEX('5층_부하량'!E3:E3000,MATCH(1,("5-DaHall 1-PDU-12"='5층_부하량'!A3:A3000)*(13='5층_부하량'!B3:B3000),0))</f>
        <v>0</v>
      </c>
      <c r="G381" s="395"/>
      <c r="H381" s="366" t="s">
        <v>5456</v>
      </c>
      <c r="I381" s="1190" t="s">
        <v>4230</v>
      </c>
      <c r="J381" s="1032" t="s">
        <v>5405</v>
      </c>
      <c r="K381" s="1033" t="s">
        <v>5405</v>
      </c>
      <c r="L381" s="570" t="s">
        <v>4175</v>
      </c>
      <c r="M381" s="366" t="s">
        <v>5374</v>
      </c>
      <c r="N381" s="395"/>
      <c r="O381" s="395"/>
      <c r="P381" s="2568" cm="1">
        <f t="array" ref="P381">INDEX('5층_부하량'!E3:E3000,MATCH(1,("5-DaHall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7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1" t="s">
        <v>4234</v>
      </c>
      <c r="J382" s="1037" t="s">
        <v>5405</v>
      </c>
      <c r="K382" s="1038" t="s">
        <v>5405</v>
      </c>
      <c r="L382" s="577" t="s">
        <v>4177</v>
      </c>
      <c r="M382" s="418" t="s">
        <v>5384</v>
      </c>
      <c r="N382" s="2577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9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5374</v>
      </c>
      <c r="I383" s="1185" t="s">
        <v>4238</v>
      </c>
      <c r="J383" s="1023" t="s">
        <v>5405</v>
      </c>
      <c r="K383" s="1024" t="s">
        <v>5405</v>
      </c>
      <c r="L383" s="571" t="s">
        <v>4179</v>
      </c>
      <c r="M383" s="376" t="s">
        <v>5374</v>
      </c>
      <c r="N383" s="381"/>
      <c r="O383" s="2569" cm="1">
        <f t="array" ref="O383">INDEX('5층_부하량'!D3:D3000,MATCH(1,("5-DaHall 1-PDU-12"='5층_부하량'!A3:A3000)*(18='5층_부하량'!B3:B3000),0))</f>
        <v>3.45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9" cm="1">
        <f t="array" ref="F384">INDEX('5층_부하량'!E3:E3000,MATCH(1,("5-DaHall 1-PDU-12"='5층_부하량'!A3:A3000)*(19='5층_부하량'!B3:B3000),0))</f>
        <v>2.92</v>
      </c>
      <c r="G384" s="381"/>
      <c r="H384" s="376" t="s">
        <v>5384</v>
      </c>
      <c r="I384" s="1185" t="s">
        <v>4243</v>
      </c>
      <c r="J384" s="1023" t="s">
        <v>5435</v>
      </c>
      <c r="K384" s="1026"/>
      <c r="L384" s="1414" t="s">
        <v>4183</v>
      </c>
      <c r="M384" s="376" t="s">
        <v>5384</v>
      </c>
      <c r="N384" s="381"/>
      <c r="O384" s="381"/>
      <c r="P384" s="2569" cm="1">
        <f t="array" ref="P384">INDEX('5층_부하량'!E3:E3000,MATCH(1,("5-DaHall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9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5384</v>
      </c>
      <c r="I385" s="1185" t="s">
        <v>4247</v>
      </c>
      <c r="J385" s="1023" t="s">
        <v>5438</v>
      </c>
      <c r="K385" s="1026"/>
      <c r="L385" s="572" t="s">
        <v>4187</v>
      </c>
      <c r="M385" s="376" t="s">
        <v>5384</v>
      </c>
      <c r="N385" s="2569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9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5384</v>
      </c>
      <c r="I386" s="1185" t="s">
        <v>4251</v>
      </c>
      <c r="J386" s="1023" t="s">
        <v>5441</v>
      </c>
      <c r="K386" s="1039" t="s">
        <v>2488</v>
      </c>
      <c r="L386" s="572" t="s">
        <v>4253</v>
      </c>
      <c r="M386" s="376" t="s">
        <v>5384</v>
      </c>
      <c r="N386" s="381"/>
      <c r="O386" s="2569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9" cm="1">
        <f t="array" ref="F387">INDEX('5층_부하량'!E3:E3000,MATCH(1,("5-DaHall 1-PDU-12"='5층_부하량'!A3:A3000)*(25='5층_부하량'!B3:B3000),0))</f>
        <v>2.93</v>
      </c>
      <c r="G387" s="381"/>
      <c r="H387" s="376" t="s">
        <v>5384</v>
      </c>
      <c r="I387" s="1185" t="s">
        <v>4256</v>
      </c>
      <c r="J387" s="1023" t="s">
        <v>5444</v>
      </c>
      <c r="K387" s="1039" t="s">
        <v>5401</v>
      </c>
      <c r="L387" s="1186" t="s">
        <v>4258</v>
      </c>
      <c r="M387" s="376" t="s">
        <v>5384</v>
      </c>
      <c r="N387" s="381"/>
      <c r="O387" s="381"/>
      <c r="P387" s="2569" cm="1">
        <f t="array" ref="P387">INDEX('5층_부하량'!E3:E3000,MATCH(1,("5-DaHall 1-PDU-12"='5층_부하량'!A3:A3000)*(26='5층_부하량'!B3:B3000),0))</f>
        <v>4.9399999999999995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9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5" t="s">
        <v>4261</v>
      </c>
      <c r="J388" s="1023" t="s">
        <v>5447</v>
      </c>
      <c r="K388" s="1026"/>
      <c r="L388" s="1186" t="s">
        <v>4262</v>
      </c>
      <c r="M388" s="376" t="s">
        <v>5384</v>
      </c>
      <c r="N388" s="2569" cm="1">
        <f t="array" ref="N388">INDEX('5층_부하량'!C3:C3000,MATCH(1,("5-DaHall 1-PDU-12"='5층_부하량'!A3:A3000)*(28='5층_부하량'!B3:B3000),0))</f>
        <v>5.61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9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5384</v>
      </c>
      <c r="I389" s="1413" t="s">
        <v>4264</v>
      </c>
      <c r="J389" s="1023" t="s">
        <v>5405</v>
      </c>
      <c r="K389" s="1039" t="s">
        <v>5401</v>
      </c>
      <c r="L389" s="1186" t="s">
        <v>4265</v>
      </c>
      <c r="M389" s="376" t="s">
        <v>5384</v>
      </c>
      <c r="N389" s="381"/>
      <c r="O389" s="2569" cm="1">
        <f t="array" ref="O389">INDEX('5층_부하량'!D3:D3000,MATCH(1,("5-DaHall 1-PDU-12"='5층_부하량'!A3:A3000)*(30='5층_부하량'!B3:B3000),0))</f>
        <v>6.45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70" cm="1">
        <f t="array" ref="F390">INDEX('5층_부하량'!E3:E3000,MATCH(1,("5-DaHall 1-PDU-12"='5층_부하량'!A3:A3000)*(31='5층_부하량'!B3:B3000),0))</f>
        <v>0</v>
      </c>
      <c r="G390" s="427"/>
      <c r="H390" s="426" t="s">
        <v>5384</v>
      </c>
      <c r="I390" s="1415" t="s">
        <v>4266</v>
      </c>
      <c r="J390" s="1040" t="s">
        <v>5405</v>
      </c>
      <c r="K390" s="1041" t="s">
        <v>5405</v>
      </c>
      <c r="L390" s="1193" t="s">
        <v>5521</v>
      </c>
      <c r="M390" s="426" t="s">
        <v>5384</v>
      </c>
      <c r="N390" s="427"/>
      <c r="O390" s="427"/>
      <c r="P390" s="2570" cm="1">
        <f t="array" ref="P390">INDEX('5층_부하량'!E3:E3000,MATCH(1,("5-DaHall 1-PDU-12"='5층_부하량'!A3:A3000)*(32='5층_부하량'!B3:B3000),0))</f>
        <v>2.37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3"/>
      <c r="M391" s="405" t="s">
        <v>5218</v>
      </c>
      <c r="N391" s="406">
        <f>SUM(D375:D390,N375:N390)</f>
        <v>20.25</v>
      </c>
      <c r="O391" s="406">
        <f>SUM(E375:E390,O375:O390)</f>
        <v>13.370000000000001</v>
      </c>
      <c r="P391" s="406">
        <f>SUM(F375:F390,P375:P390)</f>
        <v>13.16</v>
      </c>
    </row>
    <row r="392" spans="1:20" s="350" customFormat="1" ht="18.600000000000001" thickTop="1" thickBot="1">
      <c r="A392" s="349" t="s">
        <v>6532</v>
      </c>
      <c r="C392" s="3818" t="s">
        <v>5523</v>
      </c>
      <c r="D392" s="3818"/>
      <c r="E392" s="3818"/>
      <c r="F392" s="3818"/>
      <c r="G392" s="351"/>
      <c r="H392" s="352"/>
      <c r="I392" s="352"/>
      <c r="J392" s="3828" t="s">
        <v>5219</v>
      </c>
      <c r="K392" s="3829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4136</v>
      </c>
      <c r="N393" s="1342">
        <v>13.4</v>
      </c>
      <c r="O393" s="1343">
        <v>11.6</v>
      </c>
      <c r="P393" s="1344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71" cm="1">
        <f t="array" ref="D395">INDEX('5층_부하량'!C3:C3000,MATCH(1,("5-DaHall 1-PDU-14"='5층_부하량'!A3:A3000)*(1='5층_부하량'!B3:B3000),0))</f>
        <v>0</v>
      </c>
      <c r="E395" s="2571" cm="1">
        <f t="array" ref="E395">INDEX('5층_부하량'!D3:D3000,MATCH(1,("5-DaHall 1-PDU-14"='5층_부하량'!A3:A3000)*(1='5층_부하량'!B3:B3000),0))</f>
        <v>0</v>
      </c>
      <c r="F395" s="2571" cm="1">
        <f t="array" ref="F395">INDEX('5층_부하량'!E3:E3000,MATCH(1,("5-DaHall 1-PDU-14"='5층_부하량'!A3:A3000)*(1='5층_부하량'!B3:B3000),0))</f>
        <v>0</v>
      </c>
      <c r="G395" s="368"/>
      <c r="H395" s="367" t="s">
        <v>5359</v>
      </c>
      <c r="I395" s="2344" t="s">
        <v>5467</v>
      </c>
      <c r="J395" s="1032"/>
      <c r="K395" s="1033"/>
      <c r="L395" s="1412" t="s">
        <v>5469</v>
      </c>
      <c r="M395" s="366" t="s">
        <v>5359</v>
      </c>
      <c r="N395" s="2571" cm="1">
        <f t="array" ref="N395">INDEX('5층_부하량'!C3:C3000,MATCH(1,("5-DaHall 1-PDU-14"='5층_부하량'!A3:A3000)*(2='5층_부하량'!B3:B3000),0))</f>
        <v>0</v>
      </c>
      <c r="O395" s="2571" cm="1">
        <f t="array" ref="O395">INDEX('5층_부하량'!D3:D3000,MATCH(1,("5-DaHall 1-PDU-14"='5층_부하량'!A3:A3000)*(2='5층_부하량'!B3:B3000),0))</f>
        <v>0</v>
      </c>
      <c r="P395" s="2571" cm="1">
        <f t="array" ref="P395">INDEX('5층_부하량'!E3:E3000,MATCH(1,("5-DaHall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2" cm="1">
        <f t="array" ref="D396">INDEX('5층_부하량'!C3:C3000,MATCH(1,("5-DaHall 1-PDU-14"='5층_부하량'!A3:A3000)*(3='5층_부하량'!B3:B3000),0))</f>
        <v>3.22</v>
      </c>
      <c r="E396" s="377"/>
      <c r="F396" s="377"/>
      <c r="G396" s="377"/>
      <c r="H396" s="376" t="s">
        <v>5363</v>
      </c>
      <c r="I396" s="1185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2" cm="1">
        <f t="array" ref="N396">INDEX('5층_부하량'!C3:C3000,MATCH(1,("5-DaHall 1-PDU-14"='5층_부하량'!A3:A3000)*(4='5층_부하량'!B3:B3000),0))</f>
        <v>6.73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9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5359</v>
      </c>
      <c r="I397" s="1413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9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9" cm="1">
        <f t="array" ref="F398">INDEX('5층_부하량'!E3:E3000,MATCH(1,("5-DaHall 1-PDU-14"='5층_부하량'!A3:A3000)*(7='5층_부하량'!B3:B3000),0))</f>
        <v>0</v>
      </c>
      <c r="G398" s="381"/>
      <c r="H398" s="376" t="s">
        <v>5359</v>
      </c>
      <c r="I398" s="1413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9" cm="1">
        <f t="array" ref="P398">INDEX('5층_부하량'!E3:E3000,MATCH(1,("5-DaHall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9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9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6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6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8" cm="1">
        <f t="array" ref="F401">INDEX('5층_부하량'!E3:E3000,MATCH(1,("5-DaHall 1-PDU-14"='5층_부하량'!A3:A3000)*(13='5층_부하량'!B3:B3000),0))</f>
        <v>1.72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8" cm="1">
        <f t="array" ref="P401">INDEX('5층_부하량'!E3:E3000,MATCH(1,("5-DaHall 1-PDU-14"='5층_부하량'!A3:A3000)*(14='5층_부하량'!B3:B3000),0))</f>
        <v>3.16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7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6" t="s">
        <v>4177</v>
      </c>
      <c r="M402" s="418" t="s">
        <v>5374</v>
      </c>
      <c r="N402" s="2577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5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9" cm="1">
        <f t="array" ref="E403">INDEX('5층_부하량'!D3:D3000,MATCH(1,("5-DaHall 1-PDU-14"='5층_부하량'!A3:A3000)*(17='5층_부하량'!B3:B3000),0))</f>
        <v>0.95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7" t="s">
        <v>4179</v>
      </c>
      <c r="M403" s="376" t="s">
        <v>5374</v>
      </c>
      <c r="N403" s="381"/>
      <c r="O403" s="2569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4204</v>
      </c>
      <c r="S403" s="1405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9" cm="1">
        <f t="array" ref="F404">INDEX('5층_부하량'!E3:E3000,MATCH(1,("5-DaHall 1-PDU-14"='5층_부하량'!A3:A3000)*(19='5층_부하량'!B3:B3000),0))</f>
        <v>2.5099999999999998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9" cm="1">
        <f t="array" ref="P404">INDEX('5층_부하량'!E3:E3000,MATCH(1,("5-DaHall 1-PDU-14"='5층_부하량'!A3:A3000)*(20='5층_부하량'!B3:B3000),0))</f>
        <v>0</v>
      </c>
      <c r="Q404" s="21"/>
      <c r="R404" s="68" t="s">
        <v>4204</v>
      </c>
      <c r="S404" s="1405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9" cm="1">
        <f t="array" ref="D405">INDEX('5층_부하량'!C3:C3000,MATCH(1,("5-DaHall 1-PDU-14"='5층_부하량'!A3:A3000)*(21='5층_부하량'!B3:B3000),0))</f>
        <v>3.33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9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5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9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9" cm="1">
        <f t="array" ref="O406">INDEX('5층_부하량'!D3:D3000,MATCH(1,("5-DaHall 1-PDU-14"='5층_부하량'!A3:A3000)*(24='5층_부하량'!B3:B3000),0))</f>
        <v>4.09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9" cm="1">
        <f t="array" ref="F407">INDEX('5층_부하량'!E3:E3000,MATCH(1,("5-DaHall 1-PDU-14"='5층_부하량'!A3:A3000)*(25='5층_부하량'!B3:B3000),0))</f>
        <v>0</v>
      </c>
      <c r="G407" s="381"/>
      <c r="H407" s="376" t="s">
        <v>5384</v>
      </c>
      <c r="I407" s="1413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9" cm="1">
        <f t="array" ref="P407">INDEX('5층_부하량'!E3:E3000,MATCH(1,("5-DaHall 1-PDU-14"='5층_부하량'!A3:A3000)*(26='5층_부하량'!B3:B3000),0))</f>
        <v>0</v>
      </c>
      <c r="Q407" s="381"/>
      <c r="R407" s="388" t="s">
        <v>4153</v>
      </c>
      <c r="S407" s="1405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9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3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9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5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9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9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70" cm="1">
        <f t="array" ref="F410">INDEX('5층_부하량'!E3:E3000,MATCH(1,("5-DaHall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70" cm="1">
        <f t="array" ref="P410">INDEX('5층_부하량'!E3:E3000,MATCH(1,("5-DaHall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3"/>
      <c r="M411" s="405" t="s">
        <v>5218</v>
      </c>
      <c r="N411" s="406">
        <f>SUM(D395:D410,N395:N410)</f>
        <v>13.280000000000001</v>
      </c>
      <c r="O411" s="406">
        <f>SUM(E395:E410,O395:O410)</f>
        <v>10.3</v>
      </c>
      <c r="P411" s="406">
        <f>SUM(F395:F410,P395:P410)</f>
        <v>7.39</v>
      </c>
    </row>
    <row r="412" spans="1:20" s="350" customFormat="1" ht="18.600000000000001" thickTop="1" thickBot="1">
      <c r="A412" s="349" t="s">
        <v>6533</v>
      </c>
      <c r="C412" s="3818" t="s">
        <v>5536</v>
      </c>
      <c r="D412" s="3818"/>
      <c r="E412" s="3818"/>
      <c r="F412" s="3818"/>
      <c r="G412" s="351"/>
      <c r="H412" s="352"/>
      <c r="I412" s="352"/>
      <c r="J412" s="3828" t="s">
        <v>4288</v>
      </c>
      <c r="K412" s="3829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4136</v>
      </c>
      <c r="N413" s="1342">
        <v>20.100000000000001</v>
      </c>
      <c r="O413" s="1343">
        <v>11.1</v>
      </c>
      <c r="P413" s="1344">
        <v>16</v>
      </c>
      <c r="Q413" s="502" t="s">
        <v>4137</v>
      </c>
      <c r="R413" s="1346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71" cm="1">
        <f t="array" ref="D415">INDEX('5층_부하량'!C3:C3000,MATCH(1,("5-DaHall 1-PDU-16"='5층_부하량'!A3:A3000)*(1='5층_부하량'!B3:B3000),0))</f>
        <v>4.67</v>
      </c>
      <c r="E415" s="2571" cm="1">
        <f t="array" ref="E415">INDEX('5층_부하량'!D3:D3000,MATCH(1,("5-DaHall 1-PDU-16"='5층_부하량'!A3:A3000)*(1='5층_부하량'!B3:B3000),0))</f>
        <v>1.33</v>
      </c>
      <c r="F415" s="2571" cm="1">
        <f t="array" ref="F415">INDEX('5층_부하량'!E3:E3000,MATCH(1,("5-DaHall 1-PDU-16"='5층_부하량'!A3:A3000)*(1='5층_부하량'!B3:B3000),0))</f>
        <v>6.04</v>
      </c>
      <c r="G415" s="371"/>
      <c r="H415" s="367" t="s">
        <v>5466</v>
      </c>
      <c r="I415" s="2341" t="s">
        <v>5467</v>
      </c>
      <c r="J415" s="1021" t="s">
        <v>3514</v>
      </c>
      <c r="K415" s="1022" t="s">
        <v>5468</v>
      </c>
      <c r="L415" s="1152" t="s">
        <v>5469</v>
      </c>
      <c r="M415" s="366" t="s">
        <v>5466</v>
      </c>
      <c r="N415" s="2571" cm="1">
        <f t="array" ref="N415">INDEX('5층_부하량'!C3:C3000,MATCH(1,("5-DaHall 1-PDU-16"='5층_부하량'!A3:A3000)*(2='5층_부하량'!B3:B3000),0))</f>
        <v>3.12</v>
      </c>
      <c r="O415" s="2571" cm="1">
        <f t="array" ref="O415">INDEX('5층_부하량'!D3:D3000,MATCH(1,("5-DaHall 1-PDU-16"='5층_부하량'!A3:A3000)*(2='5층_부하량'!B3:B3000),0))</f>
        <v>3.12</v>
      </c>
      <c r="P415" s="2571" cm="1">
        <f t="array" ref="P415">INDEX('5층_부하량'!E3:E3000,MATCH(1,("5-DaHall 1-PDU-16"='5층_부하량'!A3:A3000)*(2='5층_부하량'!B3:B3000),0))</f>
        <v>1.8599999999999999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2" cm="1">
        <f t="array" ref="D416">INDEX('5층_부하량'!C3:C3000,MATCH(1,("5-DaHall 1-PDU-16"='5층_부하량'!A3:A3000)*(3='5층_부하량'!B3:B3000),0))</f>
        <v>0</v>
      </c>
      <c r="E416" s="2572" cm="1">
        <f t="array" ref="E416">INDEX('5층_부하량'!D3:D3000,MATCH(1,("5-DaHall 1-PDU-16"='5층_부하량'!A3:A3000)*(3='5층_부하량'!B3:B3000),0))</f>
        <v>0</v>
      </c>
      <c r="F416" s="2572" cm="1">
        <f t="array" ref="F416">INDEX('5층_부하량'!E3:E3000,MATCH(1,("5-DaHall 1-PDU-16"='5층_부하량'!A3:A3000)*(3='5층_부하량'!B3:B3000),0))</f>
        <v>0</v>
      </c>
      <c r="G416" s="377"/>
      <c r="H416" s="376" t="s">
        <v>5471</v>
      </c>
      <c r="I416" s="2345" t="s">
        <v>5472</v>
      </c>
      <c r="J416" s="1023"/>
      <c r="K416" s="1296" t="s">
        <v>5473</v>
      </c>
      <c r="L416" s="1418" t="s">
        <v>5474</v>
      </c>
      <c r="M416" s="376" t="s">
        <v>5466</v>
      </c>
      <c r="N416" s="2569" cm="1">
        <f t="array" ref="N416">INDEX('5층_부하량'!C3:C3000,MATCH(1,("5-DaHall 1-PDU-16"='5층_부하량'!A3:A3000)*(4='5층_부하량'!B3:B3000),0))</f>
        <v>0</v>
      </c>
      <c r="O416" s="2569" cm="1">
        <f t="array" ref="O416">INDEX('5층_부하량'!D3:D3000,MATCH(1,("5-DaHall 1-PDU-16"='5층_부하량'!A3:A3000)*(4='5층_부하량'!B3:B3000),0))</f>
        <v>0</v>
      </c>
      <c r="P416" s="2569" cm="1">
        <f t="array" ref="P416">INDEX('5층_부하량'!E3:E3000,MATCH(1,("5-DaHall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7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9" cm="1">
        <f t="array" ref="D417">INDEX('5층_부하량'!C3:C3000,MATCH(1,("5-DaHall 1-PDU-16"='5층_부하량'!A3:A3000)*(5='5층_부하량'!B3:B3000),0))</f>
        <v>0</v>
      </c>
      <c r="E417" s="2569" cm="1">
        <f t="array" ref="E417">INDEX('5층_부하량'!D3:D3000,MATCH(1,("5-DaHall 1-PDU-16"='5층_부하량'!A3:A3000)*(5='5층_부하량'!B3:B3000),0))</f>
        <v>0</v>
      </c>
      <c r="F417" s="2569" cm="1">
        <f t="array" ref="F417">INDEX('5층_부하량'!E3:E3000,MATCH(1,("5-DaHall 1-PDU-16"='5층_부하량'!A3:A3000)*(5='5층_부하량'!B3:B3000),0))</f>
        <v>0</v>
      </c>
      <c r="G417" s="381"/>
      <c r="H417" s="376" t="s">
        <v>5359</v>
      </c>
      <c r="I417" s="2345" t="s">
        <v>5477</v>
      </c>
      <c r="J417" s="1025"/>
      <c r="K417" s="1026"/>
      <c r="L417" s="1419" t="s">
        <v>5478</v>
      </c>
      <c r="M417" s="376" t="s">
        <v>5359</v>
      </c>
      <c r="N417" s="2569" cm="1">
        <f t="array" ref="N417">INDEX('5층_부하량'!C3:C3000,MATCH(1,("5-DaHall 1-PDU-16"='5층_부하량'!A3:A3000)*(6='5층_부하량'!B3:B3000),0))</f>
        <v>0</v>
      </c>
      <c r="O417" s="2569" cm="1">
        <f t="array" ref="O417">INDEX('5층_부하량'!D3:D3000,MATCH(1,("5-DaHall 1-PDU-16"='5층_부하량'!A3:A3000)*(6='5층_부하량'!B3:B3000),0))</f>
        <v>0</v>
      </c>
      <c r="P417" s="2569" cm="1">
        <f t="array" ref="P417">INDEX('5층_부하량'!E3:E3000,MATCH(1,("5-DaHall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70" t="s">
        <v>5541</v>
      </c>
      <c r="B418" s="376" t="s">
        <v>4204</v>
      </c>
      <c r="C418" s="383" t="s">
        <v>4149</v>
      </c>
      <c r="D418" s="2569" cm="1">
        <f t="array" ref="D418">INDEX('5층_부하량'!C3:C3000,MATCH(1,("5-DaHall 1-PDU-16"='5층_부하량'!A3:A3000)*(7='5층_부하량'!B3:B3000),0))</f>
        <v>3.92</v>
      </c>
      <c r="E418" s="381"/>
      <c r="F418" s="381"/>
      <c r="G418" s="381"/>
      <c r="H418" s="376" t="s">
        <v>5359</v>
      </c>
      <c r="I418" s="1185" t="s">
        <v>4218</v>
      </c>
      <c r="J418" s="1025" t="s">
        <v>2610</v>
      </c>
      <c r="K418" s="1026"/>
      <c r="L418" s="1414" t="s">
        <v>4167</v>
      </c>
      <c r="M418" s="376" t="s">
        <v>5368</v>
      </c>
      <c r="N418" s="2569" cm="1">
        <f t="array" ref="N418">INDEX('5층_부하량'!C3:C3000,MATCH(1,("5-DaHall 1-PDU-16"='5층_부하량'!A3:A3000)*(8='5층_부하량'!B3:B3000),0))</f>
        <v>4.8499999999999996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1" t="s">
        <v>5542</v>
      </c>
      <c r="B419" s="87" t="s">
        <v>4204</v>
      </c>
      <c r="C419" s="88" t="s">
        <v>4149</v>
      </c>
      <c r="D419" s="392"/>
      <c r="E419" s="2563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5359</v>
      </c>
      <c r="I419" s="1192" t="s">
        <v>4221</v>
      </c>
      <c r="J419" s="1025" t="s">
        <v>2610</v>
      </c>
      <c r="K419" s="1027"/>
      <c r="L419" s="1420" t="s">
        <v>4170</v>
      </c>
      <c r="M419" s="391" t="s">
        <v>5368</v>
      </c>
      <c r="N419" s="392"/>
      <c r="O419" s="2575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5" t="s">
        <v>5543</v>
      </c>
      <c r="B420" s="376" t="s">
        <v>4204</v>
      </c>
      <c r="C420" s="383" t="s">
        <v>4149</v>
      </c>
      <c r="D420" s="395"/>
      <c r="E420" s="395"/>
      <c r="F420" s="2573" cm="1">
        <f t="array" ref="F420">INDEX('5층_부하량'!E3:E3000,MATCH(1,("5-DaHall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8"/>
      <c r="K420" s="1029" t="s">
        <v>5485</v>
      </c>
      <c r="L420" s="574" t="s">
        <v>4173</v>
      </c>
      <c r="M420" s="366" t="s">
        <v>5363</v>
      </c>
      <c r="N420" s="395"/>
      <c r="O420" s="395"/>
      <c r="P420" s="2573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4208</v>
      </c>
      <c r="S420" s="383" t="s">
        <v>4149</v>
      </c>
      <c r="T420" s="969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9" cm="1">
        <f t="array" ref="D421">INDEX('5층_부하량'!C3:C3000,MATCH(1,("5-DaHall 1-PDU-16"='5층_부하량'!A3:A3000)*(13='5층_부하량'!B3:B3000),0))</f>
        <v>1.55</v>
      </c>
      <c r="E421" s="381"/>
      <c r="F421" s="381"/>
      <c r="G421" s="381"/>
      <c r="H421" s="376" t="s">
        <v>5363</v>
      </c>
      <c r="I421" s="552" t="s">
        <v>4230</v>
      </c>
      <c r="J421" s="1025"/>
      <c r="K421" s="1026"/>
      <c r="L421" s="1414" t="s">
        <v>4175</v>
      </c>
      <c r="M421" s="376" t="s">
        <v>5363</v>
      </c>
      <c r="N421" s="2569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5" t="s">
        <v>3490</v>
      </c>
      <c r="B422" s="376" t="s">
        <v>4204</v>
      </c>
      <c r="C422" s="383" t="s">
        <v>4149</v>
      </c>
      <c r="D422" s="381"/>
      <c r="E422" s="2569" cm="1">
        <f t="array" ref="E422">INDEX('5층_부하량'!D3:D3000,MATCH(1,("5-DaHall 1-PDU-16"='5층_부하량'!A3:A3000)*(15='5층_부하량'!B3:B3000),0))</f>
        <v>0.42</v>
      </c>
      <c r="F422" s="381"/>
      <c r="G422" s="381"/>
      <c r="H422" s="2346" t="s">
        <v>5547</v>
      </c>
      <c r="I422" s="552" t="s">
        <v>4234</v>
      </c>
      <c r="J422" s="1025"/>
      <c r="K422" s="1026"/>
      <c r="L422" s="1414" t="s">
        <v>4177</v>
      </c>
      <c r="M422" s="376" t="s">
        <v>5384</v>
      </c>
      <c r="N422" s="381"/>
      <c r="O422" s="2569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5" t="s">
        <v>3494</v>
      </c>
      <c r="B423" s="376" t="s">
        <v>4204</v>
      </c>
      <c r="C423" s="383" t="s">
        <v>4149</v>
      </c>
      <c r="D423" s="381"/>
      <c r="E423" s="381"/>
      <c r="F423" s="2569" cm="1">
        <f t="array" ref="F423">INDEX('5층_부하량'!E3:E3000,MATCH(1,("5-DaHall 1-PDU-16"='5층_부하량'!A3:A3000)*(17='5층_부하량'!B3:B3000),0))</f>
        <v>0.4</v>
      </c>
      <c r="G423" s="381"/>
      <c r="H423" s="376" t="s">
        <v>5384</v>
      </c>
      <c r="I423" s="552" t="s">
        <v>4238</v>
      </c>
      <c r="J423" s="1025"/>
      <c r="K423" s="1026"/>
      <c r="L423" s="1414" t="s">
        <v>4179</v>
      </c>
      <c r="M423" s="376" t="s">
        <v>5384</v>
      </c>
      <c r="N423" s="381"/>
      <c r="O423" s="381"/>
      <c r="P423" s="2569" cm="1">
        <f t="array" ref="P423">INDEX('5층_부하량'!E3:E3000,MATCH(1,("5-DaHall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5" t="s">
        <v>3496</v>
      </c>
      <c r="B424" s="376" t="s">
        <v>4204</v>
      </c>
      <c r="C424" s="383" t="s">
        <v>4149</v>
      </c>
      <c r="D424" s="2569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5"/>
      <c r="K424" s="2240" t="s">
        <v>5548</v>
      </c>
      <c r="L424" s="1414" t="s">
        <v>4183</v>
      </c>
      <c r="M424" s="376" t="s">
        <v>5384</v>
      </c>
      <c r="N424" s="2569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4153</v>
      </c>
      <c r="S424" s="383" t="s">
        <v>4149</v>
      </c>
      <c r="T424" s="2241" t="s">
        <v>3730</v>
      </c>
    </row>
    <row r="425" spans="1:20" s="350" customFormat="1" ht="26.4">
      <c r="A425" s="2239" t="s">
        <v>5549</v>
      </c>
      <c r="B425" s="376" t="s">
        <v>4204</v>
      </c>
      <c r="C425" s="383" t="s">
        <v>4149</v>
      </c>
      <c r="D425" s="381"/>
      <c r="E425" s="2569" cm="1">
        <f t="array" ref="E425">INDEX('5층_부하량'!D3:D3000,MATCH(1,("5-DaHall 1-PDU-16"='5층_부하량'!A3:A3000)*(21='5층_부하량'!B3:B3000),0))</f>
        <v>0.28000000000000003</v>
      </c>
      <c r="F425" s="381"/>
      <c r="G425" s="381"/>
      <c r="H425" s="376" t="s">
        <v>5384</v>
      </c>
      <c r="I425" s="1413" t="s">
        <v>4247</v>
      </c>
      <c r="J425" s="1025"/>
      <c r="K425" s="2240" t="s">
        <v>5550</v>
      </c>
      <c r="L425" s="1414" t="s">
        <v>4187</v>
      </c>
      <c r="M425" s="376" t="s">
        <v>5384</v>
      </c>
      <c r="N425" s="381"/>
      <c r="O425" s="2569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4153</v>
      </c>
      <c r="S425" s="383" t="s">
        <v>4149</v>
      </c>
      <c r="T425" s="2241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9" cm="1">
        <f t="array" ref="F426">INDEX('5층_부하량'!E3:E3000,MATCH(1,("5-DaHall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3" t="s">
        <v>5551</v>
      </c>
      <c r="K426" s="1024" t="s">
        <v>5551</v>
      </c>
      <c r="L426" s="571" t="s">
        <v>4253</v>
      </c>
      <c r="M426" s="376" t="s">
        <v>5384</v>
      </c>
      <c r="N426" s="381"/>
      <c r="O426" s="381"/>
      <c r="P426" s="2569" cm="1">
        <f t="array" ref="P426">INDEX('5층_부하량'!E3:E3000,MATCH(1,("5-DaHall 1-PDU-16"='5층_부하량'!A3:A3000)*(24='5층_부하량'!B3:B3000),0))</f>
        <v>0.56999999999999995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9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5384</v>
      </c>
      <c r="I427" s="552" t="s">
        <v>4256</v>
      </c>
      <c r="J427" s="1023" t="s">
        <v>5551</v>
      </c>
      <c r="K427" s="1024"/>
      <c r="L427" s="1417" t="s">
        <v>4258</v>
      </c>
      <c r="M427" s="376" t="s">
        <v>5384</v>
      </c>
      <c r="N427" s="2569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9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5384</v>
      </c>
      <c r="I428" s="552" t="s">
        <v>4261</v>
      </c>
      <c r="J428" s="1023" t="s">
        <v>5551</v>
      </c>
      <c r="K428" s="1026" t="s">
        <v>5552</v>
      </c>
      <c r="L428" s="1186" t="s">
        <v>4262</v>
      </c>
      <c r="M428" s="376" t="s">
        <v>5384</v>
      </c>
      <c r="N428" s="381"/>
      <c r="O428" s="2569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4" cm="1">
        <f t="array" ref="F429">INDEX('5층_부하량'!E3:E3000,MATCH(1,("5-DaHall 1-PDU-16"='5층_부하량'!A3:A3000)*(29='5층_부하량'!B3:B3000),0))</f>
        <v>2.21</v>
      </c>
      <c r="G429" s="402"/>
      <c r="H429" s="401" t="s">
        <v>5384</v>
      </c>
      <c r="I429" s="554" t="s">
        <v>4264</v>
      </c>
      <c r="J429" s="1042" t="s">
        <v>5551</v>
      </c>
      <c r="K429" s="1043" t="s">
        <v>5551</v>
      </c>
      <c r="L429" s="579" t="s">
        <v>4265</v>
      </c>
      <c r="M429" s="401" t="s">
        <v>5384</v>
      </c>
      <c r="N429" s="402"/>
      <c r="O429" s="402"/>
      <c r="P429" s="2574" cm="1">
        <f t="array" ref="P429">INDEX('5층_부하량'!E3:E3000,MATCH(1,("5-DaHall 1-PDU-16"='5층_부하량'!A3:A3000)*(30='5층_부하량'!B3:B3000),0))</f>
        <v>0.49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3"/>
      <c r="M430" s="405" t="s">
        <v>5218</v>
      </c>
      <c r="N430" s="406">
        <f>SUM(D415:D429,N415:N429)</f>
        <v>20.830000000000002</v>
      </c>
      <c r="O430" s="406">
        <f>SUM(E415:E429,O415:O429)</f>
        <v>10.280000000000001</v>
      </c>
      <c r="P430" s="406">
        <f>SUM(F415:F429,P415:P429)</f>
        <v>14.12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828" t="s">
        <v>5555</v>
      </c>
      <c r="K431" s="3829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4136</v>
      </c>
      <c r="N432" s="1342">
        <v>0</v>
      </c>
      <c r="O432" s="1343">
        <v>0</v>
      </c>
      <c r="P432" s="1344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41" t="s">
        <v>5467</v>
      </c>
      <c r="J434" s="369"/>
      <c r="K434" s="370"/>
      <c r="L434" s="1152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2" t="s">
        <v>5472</v>
      </c>
      <c r="J435" s="378" t="s">
        <v>5551</v>
      </c>
      <c r="K435" s="379"/>
      <c r="L435" s="1153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818" t="s">
        <v>5560</v>
      </c>
      <c r="D443" s="3818"/>
      <c r="E443" s="3818"/>
      <c r="F443" s="3818"/>
      <c r="G443" s="351"/>
      <c r="H443" s="352"/>
      <c r="I443" s="352"/>
      <c r="J443" s="3828" t="s">
        <v>4636</v>
      </c>
      <c r="K443" s="3829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4136</v>
      </c>
      <c r="N444" s="1342">
        <v>5.5</v>
      </c>
      <c r="O444" s="1343">
        <v>7.2</v>
      </c>
      <c r="P444" s="1344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8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48" t="s">
        <v>4171</v>
      </c>
      <c r="I446" s="2349" t="s">
        <v>4151</v>
      </c>
      <c r="J446" s="1021" t="s">
        <v>5563</v>
      </c>
      <c r="K446" s="1022" t="s">
        <v>5564</v>
      </c>
      <c r="L446" s="581" t="s">
        <v>4436</v>
      </c>
      <c r="M446" s="366" t="s">
        <v>4171</v>
      </c>
      <c r="N446" s="2568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5562</v>
      </c>
      <c r="S446" s="373" t="s">
        <v>4149</v>
      </c>
      <c r="T446" s="1207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2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4171</v>
      </c>
      <c r="I447" s="1294" t="s">
        <v>4156</v>
      </c>
      <c r="J447" s="1023" t="s">
        <v>5567</v>
      </c>
      <c r="K447" s="1024" t="s">
        <v>5568</v>
      </c>
      <c r="L447" s="571" t="s">
        <v>4438</v>
      </c>
      <c r="M447" s="1293" t="s">
        <v>4171</v>
      </c>
      <c r="N447" s="381"/>
      <c r="O447" s="2562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9" cm="1">
        <f t="array" ref="F448">INDEX('5층_부하량'!E3:E3000,MATCH(1,("5-DaHall 1-PDU-17"='5층_부하량'!A3:A3000)*(5='5층_부하량'!B3:B3000),0))</f>
        <v>0</v>
      </c>
      <c r="G448" s="381"/>
      <c r="H448" s="1293" t="s">
        <v>4171</v>
      </c>
      <c r="I448" s="1294" t="s">
        <v>4161</v>
      </c>
      <c r="J448" s="1023" t="s">
        <v>5571</v>
      </c>
      <c r="K448" s="1026" t="s">
        <v>5572</v>
      </c>
      <c r="L448" s="572" t="s">
        <v>4441</v>
      </c>
      <c r="M448" s="1293" t="s">
        <v>4171</v>
      </c>
      <c r="N448" s="381"/>
      <c r="O448" s="381"/>
      <c r="P448" s="2569" cm="1">
        <f t="array" ref="P448">INDEX('5층_부하량'!E3:E3000,MATCH(1,("5-DaHall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9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4171</v>
      </c>
      <c r="I449" s="1294" t="s">
        <v>4218</v>
      </c>
      <c r="J449" s="1023" t="s">
        <v>5575</v>
      </c>
      <c r="K449" s="1024" t="s">
        <v>5576</v>
      </c>
      <c r="L449" s="572" t="s">
        <v>4167</v>
      </c>
      <c r="M449" s="1293" t="s">
        <v>4171</v>
      </c>
      <c r="N449" s="2569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2" cm="1">
        <f t="array" ref="E450">INDEX('5층_부하량'!D3:D3000,MATCH(1,("5-DaHall 1-PDU-17"='5층_부하량'!A3:A3000)*(9='5층_부하량'!B3:B3000),0))</f>
        <v>7.15</v>
      </c>
      <c r="F450" s="381"/>
      <c r="G450" s="381"/>
      <c r="H450" s="1293" t="s">
        <v>4171</v>
      </c>
      <c r="I450" s="1294" t="s">
        <v>4221</v>
      </c>
      <c r="J450" s="1023" t="s">
        <v>5579</v>
      </c>
      <c r="K450" s="1026" t="s">
        <v>5580</v>
      </c>
      <c r="L450" s="572" t="s">
        <v>4170</v>
      </c>
      <c r="M450" s="1293" t="s">
        <v>4171</v>
      </c>
      <c r="N450" s="381"/>
      <c r="O450" s="2562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9" cm="1">
        <f t="array" ref="F451">INDEX('5층_부하량'!E3:E3000,MATCH(1,("5-DaHall 1-PDU-17"='5층_부하량'!A3:A3000)*(11='5층_부하량'!B3:B3000),0))</f>
        <v>0.53</v>
      </c>
      <c r="G451" s="381"/>
      <c r="H451" s="1293" t="s">
        <v>4171</v>
      </c>
      <c r="I451" s="1294" t="s">
        <v>4226</v>
      </c>
      <c r="J451" s="1023" t="s">
        <v>5583</v>
      </c>
      <c r="K451" s="1024" t="s">
        <v>5584</v>
      </c>
      <c r="L451" s="572" t="s">
        <v>4173</v>
      </c>
      <c r="M451" s="1293" t="s">
        <v>4171</v>
      </c>
      <c r="N451" s="381"/>
      <c r="O451" s="381"/>
      <c r="P451" s="2569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9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4171</v>
      </c>
      <c r="I452" s="1294" t="s">
        <v>4230</v>
      </c>
      <c r="J452" s="1023" t="s">
        <v>5587</v>
      </c>
      <c r="K452" s="1026" t="s">
        <v>5588</v>
      </c>
      <c r="L452" s="572" t="s">
        <v>4175</v>
      </c>
      <c r="M452" s="1293" t="s">
        <v>4171</v>
      </c>
      <c r="N452" s="2569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6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6" t="s">
        <v>4296</v>
      </c>
      <c r="D453" s="381"/>
      <c r="E453" s="2569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5591</v>
      </c>
      <c r="I453" s="1294" t="s">
        <v>4234</v>
      </c>
      <c r="J453" s="1023" t="s">
        <v>5592</v>
      </c>
      <c r="K453" s="1024" t="s">
        <v>5593</v>
      </c>
      <c r="L453" s="572" t="s">
        <v>4177</v>
      </c>
      <c r="M453" s="1293" t="s">
        <v>4171</v>
      </c>
      <c r="N453" s="381"/>
      <c r="O453" s="2569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5562</v>
      </c>
      <c r="S453" s="1206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9" cm="1">
        <f t="array" ref="F454">INDEX('5층_부하량'!E3:E3000,MATCH(1,("5-DaHall 1-PDU-17"='5층_부하량'!A3:A3000)*(17='5층_부하량'!B3:B3000),0))</f>
        <v>0.75</v>
      </c>
      <c r="G454" s="381"/>
      <c r="H454" s="1206" t="s">
        <v>4171</v>
      </c>
      <c r="I454" s="1294" t="s">
        <v>4238</v>
      </c>
      <c r="J454" s="1023" t="s">
        <v>5596</v>
      </c>
      <c r="K454" s="1026" t="s">
        <v>5597</v>
      </c>
      <c r="L454" s="572" t="s">
        <v>4179</v>
      </c>
      <c r="M454" s="1293" t="s">
        <v>4171</v>
      </c>
      <c r="N454" s="381"/>
      <c r="O454" s="381"/>
      <c r="P454" s="2569" cm="1">
        <f t="array" ref="P454">INDEX('5층_부하량'!E3:E3000,MATCH(1,("5-DaHall 1-PDU-17"='5층_부하량'!A3:A3000)*(18='5층_부하량'!B3:B3000),0))</f>
        <v>0</v>
      </c>
      <c r="Q454" s="381"/>
      <c r="R454" s="382" t="s">
        <v>5562</v>
      </c>
      <c r="S454" s="1206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6" t="s">
        <v>4296</v>
      </c>
      <c r="D455" s="2569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4171</v>
      </c>
      <c r="I455" s="1294" t="s">
        <v>4243</v>
      </c>
      <c r="J455" s="1023" t="s">
        <v>5600</v>
      </c>
      <c r="K455" s="1024" t="s">
        <v>5601</v>
      </c>
      <c r="L455" s="572" t="s">
        <v>4183</v>
      </c>
      <c r="M455" s="1293" t="s">
        <v>4171</v>
      </c>
      <c r="N455" s="2569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6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6" t="s">
        <v>4296</v>
      </c>
      <c r="D456" s="381"/>
      <c r="E456" s="2562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4171</v>
      </c>
      <c r="I456" s="1294" t="s">
        <v>4186</v>
      </c>
      <c r="J456" s="1023" t="s">
        <v>5604</v>
      </c>
      <c r="K456" s="1026" t="s">
        <v>5605</v>
      </c>
      <c r="L456" s="572" t="s">
        <v>4466</v>
      </c>
      <c r="M456" s="1293" t="s">
        <v>4171</v>
      </c>
      <c r="N456" s="381"/>
      <c r="O456" s="2562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5562</v>
      </c>
      <c r="S456" s="1206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6" t="s">
        <v>4296</v>
      </c>
      <c r="D457" s="381"/>
      <c r="E457" s="381"/>
      <c r="F457" s="2569" cm="1">
        <f t="array" ref="F457">INDEX('5층_부하량'!E3:E3000,MATCH(1,("5-DaHall 1-PDU-17"='5층_부하량'!A3:A3000)*(23='5층_부하량'!B3:B3000),0))</f>
        <v>0</v>
      </c>
      <c r="G457" s="411"/>
      <c r="H457" s="1295" t="s">
        <v>4171</v>
      </c>
      <c r="I457" s="1294" t="s">
        <v>4469</v>
      </c>
      <c r="J457" s="1035" t="s">
        <v>5608</v>
      </c>
      <c r="K457" s="1024" t="s">
        <v>5609</v>
      </c>
      <c r="L457" s="572" t="s">
        <v>4470</v>
      </c>
      <c r="M457" s="1295" t="s">
        <v>4171</v>
      </c>
      <c r="N457" s="381"/>
      <c r="O457" s="381"/>
      <c r="P457" s="2569" cm="1">
        <f t="array" ref="P457">INDEX('5층_부하량'!E3:E3000,MATCH(1,("5-DaHall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9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4171</v>
      </c>
      <c r="I458" s="2350" t="s">
        <v>5612</v>
      </c>
      <c r="J458" s="1035" t="s">
        <v>5613</v>
      </c>
      <c r="K458" s="1026"/>
      <c r="L458" s="583" t="s">
        <v>4474</v>
      </c>
      <c r="M458" s="409" t="s">
        <v>4171</v>
      </c>
      <c r="N458" s="2569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4296</v>
      </c>
      <c r="T458" s="407"/>
    </row>
    <row r="459" spans="1:20" s="350" customFormat="1" ht="17.399999999999999">
      <c r="A459" s="390"/>
      <c r="B459" s="1289" t="s">
        <v>535</v>
      </c>
      <c r="C459" s="1290" t="s">
        <v>4296</v>
      </c>
      <c r="D459" s="381"/>
      <c r="E459" s="2569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4171</v>
      </c>
      <c r="I459" s="2350" t="s">
        <v>5614</v>
      </c>
      <c r="J459" s="1035"/>
      <c r="K459" s="1292"/>
      <c r="L459" s="583" t="s">
        <v>4479</v>
      </c>
      <c r="M459" s="409" t="s">
        <v>4171</v>
      </c>
      <c r="N459" s="381"/>
      <c r="O459" s="2569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4296</v>
      </c>
      <c r="T459" s="407"/>
    </row>
    <row r="460" spans="1:20" s="350" customFormat="1" ht="17.399999999999999">
      <c r="A460" s="390"/>
      <c r="B460" s="1289" t="s">
        <v>535</v>
      </c>
      <c r="C460" s="1290" t="s">
        <v>4296</v>
      </c>
      <c r="D460" s="381"/>
      <c r="E460" s="381"/>
      <c r="F460" s="2569" cm="1">
        <f t="array" ref="F460">INDEX('5층_부하량'!E3:E3000,MATCH(1,("5-DaHall 1-PDU-17"='5층_부하량'!A3:A3000)*(29='5층_부하량'!B3:B3000),0))</f>
        <v>0</v>
      </c>
      <c r="G460" s="411"/>
      <c r="H460" s="409" t="s">
        <v>4171</v>
      </c>
      <c r="I460" s="2350" t="s">
        <v>5615</v>
      </c>
      <c r="J460" s="1035"/>
      <c r="K460" s="1292"/>
      <c r="L460" s="583" t="s">
        <v>4484</v>
      </c>
      <c r="M460" s="409" t="s">
        <v>4171</v>
      </c>
      <c r="N460" s="381"/>
      <c r="O460" s="381"/>
      <c r="P460" s="2569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4296</v>
      </c>
      <c r="T460" s="407"/>
    </row>
    <row r="461" spans="1:20" s="350" customFormat="1" ht="17.399999999999999">
      <c r="A461" s="390"/>
      <c r="B461" s="1289" t="s">
        <v>535</v>
      </c>
      <c r="C461" s="1290" t="s">
        <v>4296</v>
      </c>
      <c r="D461" s="2569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50" t="s">
        <v>5616</v>
      </c>
      <c r="J461" s="1035"/>
      <c r="K461" s="1292"/>
      <c r="L461" s="583" t="s">
        <v>4488</v>
      </c>
      <c r="M461" s="409" t="s">
        <v>4171</v>
      </c>
      <c r="N461" s="2569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70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4171</v>
      </c>
      <c r="I462" s="2351" t="s">
        <v>5617</v>
      </c>
      <c r="J462" s="1040"/>
      <c r="K462" s="1204"/>
      <c r="L462" s="1205" t="s">
        <v>4492</v>
      </c>
      <c r="M462" s="426" t="s">
        <v>4171</v>
      </c>
      <c r="N462" s="427"/>
      <c r="O462" s="2570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3"/>
      <c r="M463" s="405" t="s">
        <v>5218</v>
      </c>
      <c r="N463" s="406">
        <f>SUM(D446:D462,N446:N462)</f>
        <v>5.43</v>
      </c>
      <c r="O463" s="406">
        <f>SUM(E446:E462,O446:O462)</f>
        <v>7.15</v>
      </c>
      <c r="P463" s="406">
        <f>SUM(F446:F462,P446:P462)</f>
        <v>2.39</v>
      </c>
    </row>
    <row r="464" spans="1:20" s="350" customFormat="1" ht="18.600000000000001" thickTop="1" thickBot="1">
      <c r="A464" s="349" t="s">
        <v>6535</v>
      </c>
      <c r="C464" s="3818" t="s">
        <v>5618</v>
      </c>
      <c r="D464" s="3818"/>
      <c r="E464" s="3818"/>
      <c r="F464" s="3818"/>
      <c r="G464" s="351"/>
      <c r="H464" s="352"/>
      <c r="I464" s="352"/>
      <c r="J464" s="3828" t="s">
        <v>4636</v>
      </c>
      <c r="K464" s="3829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4136</v>
      </c>
      <c r="N465" s="1342">
        <v>4.5999999999999996</v>
      </c>
      <c r="O465" s="1343">
        <v>5</v>
      </c>
      <c r="P465" s="1344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8" cm="1">
        <f t="array" ref="D467">INDEX('5층_부하량'!C3:C3000,MATCH(1,("5-DaHall 1-PDU-18"='5층_부하량'!A3:A3000)*(1='5층_부하량'!B3:B3000),0))</f>
        <v>0.72</v>
      </c>
      <c r="E467" s="395"/>
      <c r="F467" s="395"/>
      <c r="G467" s="368"/>
      <c r="H467" s="2348" t="s">
        <v>4171</v>
      </c>
      <c r="I467" s="2349" t="s">
        <v>4151</v>
      </c>
      <c r="J467" s="1021" t="s">
        <v>5619</v>
      </c>
      <c r="K467" s="1022" t="s">
        <v>5620</v>
      </c>
      <c r="L467" s="581" t="s">
        <v>4436</v>
      </c>
      <c r="M467" s="366" t="s">
        <v>4171</v>
      </c>
      <c r="N467" s="2568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5562</v>
      </c>
      <c r="S467" s="373" t="s">
        <v>4149</v>
      </c>
      <c r="T467" s="1207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2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4171</v>
      </c>
      <c r="I468" s="1294" t="s">
        <v>4156</v>
      </c>
      <c r="J468" s="1023" t="s">
        <v>5621</v>
      </c>
      <c r="K468" s="1024" t="s">
        <v>5622</v>
      </c>
      <c r="L468" s="571" t="s">
        <v>4438</v>
      </c>
      <c r="M468" s="1293" t="s">
        <v>4171</v>
      </c>
      <c r="N468" s="381"/>
      <c r="O468" s="2562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9" cm="1">
        <f t="array" ref="F469">INDEX('5층_부하량'!E3:E3000,MATCH(1,("5-DaHall 1-PDU-18"='5층_부하량'!A3:A3000)*(5='5층_부하량'!B3:B3000),0))</f>
        <v>0</v>
      </c>
      <c r="G469" s="381"/>
      <c r="H469" s="1293" t="s">
        <v>4171</v>
      </c>
      <c r="I469" s="1294" t="s">
        <v>4161</v>
      </c>
      <c r="J469" s="1023" t="s">
        <v>5623</v>
      </c>
      <c r="K469" s="1026" t="s">
        <v>5624</v>
      </c>
      <c r="L469" s="572" t="s">
        <v>4441</v>
      </c>
      <c r="M469" s="1293" t="s">
        <v>4171</v>
      </c>
      <c r="N469" s="381"/>
      <c r="O469" s="381"/>
      <c r="P469" s="2569" cm="1">
        <f t="array" ref="P469">INDEX('5층_부하량'!E3:E3000,MATCH(1,("5-DaHall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9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4171</v>
      </c>
      <c r="I470" s="1294" t="s">
        <v>4218</v>
      </c>
      <c r="J470" s="1023" t="s">
        <v>5625</v>
      </c>
      <c r="K470" s="1024" t="s">
        <v>5626</v>
      </c>
      <c r="L470" s="572" t="s">
        <v>4167</v>
      </c>
      <c r="M470" s="1293" t="s">
        <v>4171</v>
      </c>
      <c r="N470" s="2569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2" cm="1">
        <f t="array" ref="E471">INDEX('5층_부하량'!D3:D3000,MATCH(1,("5-DaHall 1-PDU-18"='5층_부하량'!A3:A3000)*(9='5층_부하량'!B3:B3000),0))</f>
        <v>4.9399999999999995</v>
      </c>
      <c r="F471" s="381"/>
      <c r="G471" s="381"/>
      <c r="H471" s="1293" t="s">
        <v>4171</v>
      </c>
      <c r="I471" s="1294" t="s">
        <v>4221</v>
      </c>
      <c r="J471" s="1023" t="s">
        <v>5627</v>
      </c>
      <c r="K471" s="1026" t="s">
        <v>5628</v>
      </c>
      <c r="L471" s="572" t="s">
        <v>4170</v>
      </c>
      <c r="M471" s="1293" t="s">
        <v>4171</v>
      </c>
      <c r="N471" s="381"/>
      <c r="O471" s="2562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9" cm="1">
        <f t="array" ref="F472">INDEX('5층_부하량'!E3:E3000,MATCH(1,("5-DaHall 1-PDU-18"='5층_부하량'!A3:A3000)*(11='5층_부하량'!B3:B3000),0))</f>
        <v>0.41</v>
      </c>
      <c r="G472" s="381"/>
      <c r="H472" s="1293" t="s">
        <v>4171</v>
      </c>
      <c r="I472" s="1294" t="s">
        <v>4226</v>
      </c>
      <c r="J472" s="1023" t="s">
        <v>5629</v>
      </c>
      <c r="K472" s="1024" t="s">
        <v>5630</v>
      </c>
      <c r="L472" s="572" t="s">
        <v>4173</v>
      </c>
      <c r="M472" s="1293" t="s">
        <v>4171</v>
      </c>
      <c r="N472" s="381"/>
      <c r="O472" s="381"/>
      <c r="P472" s="2569" cm="1">
        <f t="array" ref="P472">INDEX('5층_부하량'!E3:E3000,MATCH(1,("5-DaHall 1-PDU-18"='5층_부하량'!A3:A3000)*(12='5층_부하량'!B3:B3000),0))</f>
        <v>0.8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9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4171</v>
      </c>
      <c r="I473" s="1294" t="s">
        <v>4230</v>
      </c>
      <c r="J473" s="1023" t="s">
        <v>5631</v>
      </c>
      <c r="K473" s="1026" t="s">
        <v>5632</v>
      </c>
      <c r="L473" s="572" t="s">
        <v>4175</v>
      </c>
      <c r="M473" s="1293" t="s">
        <v>4171</v>
      </c>
      <c r="N473" s="2569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6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6" t="s">
        <v>4296</v>
      </c>
      <c r="D474" s="381"/>
      <c r="E474" s="2569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5591</v>
      </c>
      <c r="I474" s="1294" t="s">
        <v>4234</v>
      </c>
      <c r="J474" s="1023" t="s">
        <v>5633</v>
      </c>
      <c r="K474" s="1024" t="s">
        <v>5634</v>
      </c>
      <c r="L474" s="572" t="s">
        <v>4177</v>
      </c>
      <c r="M474" s="1293" t="s">
        <v>4171</v>
      </c>
      <c r="N474" s="381"/>
      <c r="O474" s="2569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5562</v>
      </c>
      <c r="S474" s="1206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6" t="s">
        <v>4296</v>
      </c>
      <c r="D475" s="381"/>
      <c r="E475" s="381"/>
      <c r="F475" s="2569" cm="1">
        <f t="array" ref="F475">INDEX('5층_부하량'!E3:E3000,MATCH(1,("5-DaHall 1-PDU-18"='5층_부하량'!A3:A3000)*(17='5층_부하량'!B3:B3000),0))</f>
        <v>0</v>
      </c>
      <c r="G475" s="381"/>
      <c r="H475" s="1206" t="s">
        <v>4171</v>
      </c>
      <c r="I475" s="1294" t="s">
        <v>4238</v>
      </c>
      <c r="J475" s="1023" t="s">
        <v>5635</v>
      </c>
      <c r="K475" s="1026" t="s">
        <v>5636</v>
      </c>
      <c r="L475" s="572" t="s">
        <v>4179</v>
      </c>
      <c r="M475" s="1293" t="s">
        <v>4171</v>
      </c>
      <c r="N475" s="381"/>
      <c r="O475" s="381"/>
      <c r="P475" s="2569" cm="1">
        <f t="array" ref="P475">INDEX('5층_부하량'!E3:E3000,MATCH(1,("5-DaHall 1-PDU-18"='5층_부하량'!A3:A3000)*(18='5층_부하량'!B3:B3000),0))</f>
        <v>0</v>
      </c>
      <c r="Q475" s="381"/>
      <c r="R475" s="382" t="s">
        <v>5562</v>
      </c>
      <c r="S475" s="1206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6" t="s">
        <v>4296</v>
      </c>
      <c r="D476" s="2569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4171</v>
      </c>
      <c r="I476" s="1294" t="s">
        <v>4243</v>
      </c>
      <c r="J476" s="1023" t="s">
        <v>5637</v>
      </c>
      <c r="K476" s="1024" t="s">
        <v>5638</v>
      </c>
      <c r="L476" s="572" t="s">
        <v>4183</v>
      </c>
      <c r="M476" s="1293" t="s">
        <v>4171</v>
      </c>
      <c r="N476" s="2569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6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6" t="s">
        <v>4296</v>
      </c>
      <c r="D477" s="381"/>
      <c r="E477" s="2562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4171</v>
      </c>
      <c r="I477" s="1294" t="s">
        <v>4186</v>
      </c>
      <c r="J477" s="1023" t="s">
        <v>5639</v>
      </c>
      <c r="K477" s="1026" t="s">
        <v>5640</v>
      </c>
      <c r="L477" s="572" t="s">
        <v>4466</v>
      </c>
      <c r="M477" s="1293" t="s">
        <v>4171</v>
      </c>
      <c r="N477" s="381"/>
      <c r="O477" s="2562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5562</v>
      </c>
      <c r="S477" s="1206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6" t="s">
        <v>4296</v>
      </c>
      <c r="D478" s="381"/>
      <c r="E478" s="381"/>
      <c r="F478" s="2569" cm="1">
        <f t="array" ref="F478">INDEX('5층_부하량'!E3:E3000,MATCH(1,("5-DaHall 1-PDU-18"='5층_부하량'!A3:A3000)*(23='5층_부하량'!B3:B3000),0))</f>
        <v>0</v>
      </c>
      <c r="G478" s="411"/>
      <c r="H478" s="1295" t="s">
        <v>4171</v>
      </c>
      <c r="I478" s="1294" t="s">
        <v>4469</v>
      </c>
      <c r="J478" s="1023" t="s">
        <v>5641</v>
      </c>
      <c r="K478" s="1024" t="s">
        <v>5642</v>
      </c>
      <c r="L478" s="572" t="s">
        <v>4470</v>
      </c>
      <c r="M478" s="1295" t="s">
        <v>4171</v>
      </c>
      <c r="N478" s="381"/>
      <c r="O478" s="381"/>
      <c r="P478" s="2569" cm="1">
        <f t="array" ref="P478">INDEX('5층_부하량'!E3:E3000,MATCH(1,("5-DaHall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9" cm="1">
        <f t="array" ref="D479">INDEX('5층_부하량'!C3:C3000,MATCH(1,("5-DaHall 1-PDU-18"='5층_부하량'!A3:A3000)*(25='5층_부하량'!B3:B3000),0))</f>
        <v>0.99</v>
      </c>
      <c r="E479" s="381"/>
      <c r="F479" s="381"/>
      <c r="G479" s="411"/>
      <c r="H479" s="409" t="s">
        <v>4171</v>
      </c>
      <c r="I479" s="2350" t="s">
        <v>5612</v>
      </c>
      <c r="J479" s="1023" t="s">
        <v>5644</v>
      </c>
      <c r="K479" s="1292"/>
      <c r="L479" s="583" t="s">
        <v>4474</v>
      </c>
      <c r="M479" s="409" t="s">
        <v>4171</v>
      </c>
      <c r="N479" s="2569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4296</v>
      </c>
      <c r="T479" s="407"/>
    </row>
    <row r="480" spans="1:20" s="350" customFormat="1" ht="17.399999999999999">
      <c r="A480" s="390"/>
      <c r="B480" s="1289" t="s">
        <v>535</v>
      </c>
      <c r="C480" s="1290" t="s">
        <v>4296</v>
      </c>
      <c r="D480" s="381"/>
      <c r="E480" s="2569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4171</v>
      </c>
      <c r="I480" s="2350" t="s">
        <v>5614</v>
      </c>
      <c r="J480" s="1291"/>
      <c r="K480" s="1292"/>
      <c r="L480" s="583" t="s">
        <v>4479</v>
      </c>
      <c r="M480" s="409" t="s">
        <v>4171</v>
      </c>
      <c r="N480" s="381"/>
      <c r="O480" s="2569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4296</v>
      </c>
      <c r="T480" s="407"/>
    </row>
    <row r="481" spans="1:20" s="350" customFormat="1" ht="17.399999999999999">
      <c r="A481" s="390"/>
      <c r="B481" s="1289" t="s">
        <v>535</v>
      </c>
      <c r="C481" s="1290" t="s">
        <v>4296</v>
      </c>
      <c r="D481" s="381"/>
      <c r="E481" s="381"/>
      <c r="F481" s="2569" cm="1">
        <f t="array" ref="F481">INDEX('5층_부하량'!E3:E3000,MATCH(1,("5-DaHall 1-PDU-18"='5층_부하량'!A3:A3000)*(29='5층_부하량'!B3:B3000),0))</f>
        <v>0</v>
      </c>
      <c r="G481" s="411"/>
      <c r="H481" s="409" t="s">
        <v>4171</v>
      </c>
      <c r="I481" s="2350" t="s">
        <v>5615</v>
      </c>
      <c r="J481" s="1291"/>
      <c r="K481" s="1292"/>
      <c r="L481" s="583" t="s">
        <v>4484</v>
      </c>
      <c r="M481" s="409" t="s">
        <v>4171</v>
      </c>
      <c r="N481" s="381"/>
      <c r="O481" s="381"/>
      <c r="P481" s="2569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4296</v>
      </c>
      <c r="T481" s="407"/>
    </row>
    <row r="482" spans="1:20" s="350" customFormat="1" ht="17.399999999999999">
      <c r="A482" s="390"/>
      <c r="B482" s="1289" t="s">
        <v>535</v>
      </c>
      <c r="C482" s="1290" t="s">
        <v>4296</v>
      </c>
      <c r="D482" s="2569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50" t="s">
        <v>5616</v>
      </c>
      <c r="J482" s="1291"/>
      <c r="K482" s="1292"/>
      <c r="L482" s="583" t="s">
        <v>4488</v>
      </c>
      <c r="M482" s="409" t="s">
        <v>4171</v>
      </c>
      <c r="N482" s="2569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70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4171</v>
      </c>
      <c r="I483" s="2351" t="s">
        <v>5617</v>
      </c>
      <c r="J483" s="1203"/>
      <c r="K483" s="1204"/>
      <c r="L483" s="1205" t="s">
        <v>4492</v>
      </c>
      <c r="M483" s="426" t="s">
        <v>4171</v>
      </c>
      <c r="N483" s="427"/>
      <c r="O483" s="2570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3"/>
      <c r="M484" s="405" t="s">
        <v>5218</v>
      </c>
      <c r="N484" s="406">
        <f>SUM(D467:D483,N467:N483)</f>
        <v>4.62</v>
      </c>
      <c r="O484" s="406">
        <f>SUM(E467:E483,O467:O483)</f>
        <v>4.9399999999999995</v>
      </c>
      <c r="P484" s="406">
        <f>SUM(F467:F483,P467:P483)</f>
        <v>1.21</v>
      </c>
    </row>
    <row r="485" spans="1:20" s="350" customFormat="1" ht="18.600000000000001" thickTop="1" thickBot="1">
      <c r="A485" s="349" t="s">
        <v>6536</v>
      </c>
      <c r="C485" s="3818" t="s">
        <v>5645</v>
      </c>
      <c r="D485" s="3818"/>
      <c r="E485" s="3818"/>
      <c r="F485" s="3818"/>
      <c r="G485" s="351"/>
      <c r="H485" s="352"/>
      <c r="I485" s="352"/>
      <c r="J485" s="3828" t="s">
        <v>4288</v>
      </c>
      <c r="K485" s="3829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4136</v>
      </c>
      <c r="N486" s="1342">
        <v>35.1</v>
      </c>
      <c r="O486" s="1343">
        <v>38.9</v>
      </c>
      <c r="P486" s="1344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8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48" t="s">
        <v>4509</v>
      </c>
      <c r="I488" s="2349" t="s">
        <v>4151</v>
      </c>
      <c r="J488" s="1021"/>
      <c r="K488" s="1022"/>
      <c r="L488" s="581" t="s">
        <v>4436</v>
      </c>
      <c r="M488" s="366" t="s">
        <v>4574</v>
      </c>
      <c r="N488" s="2568" cm="1">
        <f t="array" ref="N488">INDEX('5층_부하량'!C3:C3000,MATCH(1,("5-DaHall 1-PDU-19"='5층_부하량'!A3:A3000)*(2='5층_부하량'!B3:B3000),0))</f>
        <v>2.15</v>
      </c>
      <c r="O488" s="395"/>
      <c r="P488" s="395"/>
      <c r="Q488" s="368"/>
      <c r="R488" s="372" t="s">
        <v>5562</v>
      </c>
      <c r="S488" s="373" t="s">
        <v>4149</v>
      </c>
      <c r="T488" s="1207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2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4574</v>
      </c>
      <c r="I489" s="2350" t="s">
        <v>4156</v>
      </c>
      <c r="J489" s="1023"/>
      <c r="K489" s="1024"/>
      <c r="L489" s="582" t="s">
        <v>4438</v>
      </c>
      <c r="M489" s="376" t="s">
        <v>4574</v>
      </c>
      <c r="N489" s="381"/>
      <c r="O489" s="2562" cm="1">
        <f t="array" ref="O489">INDEX('5층_부하량'!D3:D3000,MATCH(1,("5-DaHall 1-PDU-19"='5층_부하량'!A3:A3000)*(4='5층_부하량'!B3:B3000),0))</f>
        <v>2.92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9" cm="1">
        <f t="array" ref="F490">INDEX('5층_부하량'!E3:E3000,MATCH(1,("5-DaHall 1-PDU-19"='5층_부하량'!A3:A3000)*(5='5층_부하량'!B3:B3000),0))</f>
        <v>0</v>
      </c>
      <c r="G490" s="381"/>
      <c r="H490" s="376" t="s">
        <v>4574</v>
      </c>
      <c r="I490" s="2350" t="s">
        <v>4161</v>
      </c>
      <c r="J490" s="1025"/>
      <c r="K490" s="1026"/>
      <c r="L490" s="583" t="s">
        <v>4441</v>
      </c>
      <c r="M490" s="1208" t="s">
        <v>5651</v>
      </c>
      <c r="N490" s="381"/>
      <c r="O490" s="381"/>
      <c r="P490" s="2569" cm="1">
        <f t="array" ref="P490">INDEX('5층_부하량'!E3:E3000,MATCH(1,("5-DaHall 1-PDU-19"='5층_부하량'!A3:A3000)*(6='5층_부하량'!B3:B3000),0))</f>
        <v>2.86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9" cm="1">
        <f t="array" ref="D491">INDEX('5층_부하량'!C3:C3000,MATCH(1,("5-DaHall 1-PDU-19"='5층_부하량'!A3:A3000)*(7='5층_부하량'!B3:B3000),0))</f>
        <v>2.13</v>
      </c>
      <c r="E491" s="381"/>
      <c r="F491" s="381"/>
      <c r="G491" s="381"/>
      <c r="H491" s="376" t="s">
        <v>4574</v>
      </c>
      <c r="I491" s="552" t="s">
        <v>4218</v>
      </c>
      <c r="J491" s="1025"/>
      <c r="K491" s="1026"/>
      <c r="L491" s="572" t="s">
        <v>4167</v>
      </c>
      <c r="M491" s="376" t="s">
        <v>4574</v>
      </c>
      <c r="N491" s="2569" cm="1">
        <f t="array" ref="N491">INDEX('5층_부하량'!C3:C3000,MATCH(1,("5-DaHall 1-PDU-19"='5층_부하량'!A3:A3000)*(8='5층_부하량'!B3:B3000),0))</f>
        <v>3.06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2" cm="1">
        <f t="array" ref="E492">INDEX('5층_부하량'!D3:D3000,MATCH(1,("5-DaHall 1-PDU-19"='5층_부하량'!A3:A3000)*(9='5층_부하량'!B3:B3000),0))</f>
        <v>2.64</v>
      </c>
      <c r="F492" s="381"/>
      <c r="G492" s="381"/>
      <c r="H492" s="376" t="s">
        <v>4574</v>
      </c>
      <c r="I492" s="552" t="s">
        <v>4221</v>
      </c>
      <c r="J492" s="1025"/>
      <c r="K492" s="1026"/>
      <c r="L492" s="572" t="s">
        <v>4170</v>
      </c>
      <c r="M492" s="376" t="s">
        <v>4574</v>
      </c>
      <c r="N492" s="381"/>
      <c r="O492" s="2562" cm="1">
        <f t="array" ref="O492">INDEX('5층_부하량'!D3:D3000,MATCH(1,("5-DaHall 1-PDU-19"='5층_부하량'!A3:A3000)*(10='5층_부하량'!B3:B3000),0))</f>
        <v>3.98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9" cm="1">
        <f t="array" ref="F493">INDEX('5층_부하량'!E3:E3000,MATCH(1,("5-DaHall 1-PDU-19"='5층_부하량'!A3:A3000)*(11='5층_부하량'!B3:B3000),0))</f>
        <v>3.14</v>
      </c>
      <c r="G493" s="381"/>
      <c r="H493" s="376" t="s">
        <v>4574</v>
      </c>
      <c r="I493" s="552" t="s">
        <v>4226</v>
      </c>
      <c r="J493" s="1025"/>
      <c r="K493" s="1026"/>
      <c r="L493" s="572" t="s">
        <v>4173</v>
      </c>
      <c r="M493" s="1208" t="s">
        <v>5651</v>
      </c>
      <c r="N493" s="381"/>
      <c r="O493" s="381"/>
      <c r="P493" s="2569" cm="1">
        <f t="array" ref="P493">INDEX('5층_부하량'!E3:E3000,MATCH(1,("5-DaHall 1-PDU-19"='5층_부하량'!A3:A3000)*(12='5층_부하량'!B3:B3000),0))</f>
        <v>3.9699999999999998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9" cm="1">
        <f t="array" ref="D494">INDEX('5층_부하량'!C3:C3000,MATCH(1,("5-DaHall 1-PDU-19"='5층_부하량'!A3:A3000)*(13='5층_부하량'!B3:B3000),0))</f>
        <v>2.09</v>
      </c>
      <c r="E494" s="381"/>
      <c r="F494" s="381"/>
      <c r="G494" s="381"/>
      <c r="H494" s="376" t="s">
        <v>4574</v>
      </c>
      <c r="I494" s="552" t="s">
        <v>4230</v>
      </c>
      <c r="J494" s="1025"/>
      <c r="K494" s="1026"/>
      <c r="L494" s="572" t="s">
        <v>4175</v>
      </c>
      <c r="M494" s="1208" t="s">
        <v>5651</v>
      </c>
      <c r="N494" s="2569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9" cm="1">
        <f t="array" ref="E495">INDEX('5층_부하량'!D3:D3000,MATCH(1,("5-DaHall 1-PDU-19"='5층_부하량'!A3:A3000)*(15='5층_부하량'!B3:B3000),0))</f>
        <v>2.81</v>
      </c>
      <c r="F495" s="381"/>
      <c r="G495" s="381"/>
      <c r="H495" s="1208" t="s">
        <v>5651</v>
      </c>
      <c r="I495" s="552" t="s">
        <v>4234</v>
      </c>
      <c r="J495" s="1025"/>
      <c r="K495" s="1026"/>
      <c r="L495" s="572" t="s">
        <v>4177</v>
      </c>
      <c r="M495" s="376" t="s">
        <v>4574</v>
      </c>
      <c r="N495" s="381"/>
      <c r="O495" s="2569" cm="1">
        <f t="array" ref="O495">INDEX('5층_부하량'!D3:D3000,MATCH(1,("5-DaHall 1-PDU-19"='5층_부하량'!A3:A3000)*(16='5층_부하량'!B3:B3000),0))</f>
        <v>4.21</v>
      </c>
      <c r="P495" s="381"/>
      <c r="Q495" s="381"/>
      <c r="R495" s="382" t="s">
        <v>5562</v>
      </c>
      <c r="S495" s="1206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9" cm="1">
        <f t="array" ref="F496">INDEX('5층_부하량'!E3:E3000,MATCH(1,("5-DaHall 1-PDU-19"='5층_부하량'!A3:A3000)*(17='5층_부하량'!B3:B3000),0))</f>
        <v>2.66</v>
      </c>
      <c r="G496" s="381"/>
      <c r="H496" s="1209" t="s">
        <v>4150</v>
      </c>
      <c r="I496" s="552" t="s">
        <v>4238</v>
      </c>
      <c r="J496" s="1025"/>
      <c r="K496" s="1026"/>
      <c r="L496" s="572" t="s">
        <v>4179</v>
      </c>
      <c r="M496" s="376" t="s">
        <v>4574</v>
      </c>
      <c r="N496" s="381"/>
      <c r="O496" s="381"/>
      <c r="P496" s="2569" cm="1">
        <f t="array" ref="P496">INDEX('5층_부하량'!E3:E3000,MATCH(1,("5-DaHall 1-PDU-19"='5층_부하량'!A3:A3000)*(18='5층_부하량'!B3:B3000),0))</f>
        <v>4.37</v>
      </c>
      <c r="Q496" s="381"/>
      <c r="R496" s="382" t="s">
        <v>5562</v>
      </c>
      <c r="S496" s="1206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9" cm="1">
        <f t="array" ref="D497">INDEX('5층_부하량'!C3:C3000,MATCH(1,("5-DaHall 1-PDU-19"='5층_부하량'!A3:A3000)*(19='5층_부하량'!B3:B3000),0))</f>
        <v>1.7</v>
      </c>
      <c r="E497" s="381"/>
      <c r="F497" s="381"/>
      <c r="G497" s="381"/>
      <c r="H497" s="1209" t="s">
        <v>4150</v>
      </c>
      <c r="I497" s="552" t="s">
        <v>4243</v>
      </c>
      <c r="J497" s="1025"/>
      <c r="K497" s="1026"/>
      <c r="L497" s="572" t="s">
        <v>4183</v>
      </c>
      <c r="M497" s="376" t="s">
        <v>4574</v>
      </c>
      <c r="N497" s="2569" cm="1">
        <f t="array" ref="N497">INDEX('5층_부하량'!C3:C3000,MATCH(1,("5-DaHall 1-PDU-19"='5층_부하량'!A3:A3000)*(20='5층_부하량'!B3:B3000),0))</f>
        <v>5.75</v>
      </c>
      <c r="O497" s="381"/>
      <c r="P497" s="381"/>
      <c r="Q497" s="381"/>
      <c r="R497" s="382" t="s">
        <v>5562</v>
      </c>
      <c r="S497" s="1206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6" t="s">
        <v>4296</v>
      </c>
      <c r="D498" s="381"/>
      <c r="E498" s="2562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4574</v>
      </c>
      <c r="I498" s="2350" t="s">
        <v>5667</v>
      </c>
      <c r="J498" s="1025"/>
      <c r="K498" s="1026"/>
      <c r="L498" s="583" t="s">
        <v>5668</v>
      </c>
      <c r="M498" s="376" t="s">
        <v>4574</v>
      </c>
      <c r="N498" s="381"/>
      <c r="O498" s="2562" cm="1">
        <f t="array" ref="O498">INDEX('5층_부하량'!D3:D3000,MATCH(1,("5-DaHall 1-PDU-19"='5층_부하량'!A3:A3000)*(22='5층_부하량'!B3:B3000),0))</f>
        <v>5.73</v>
      </c>
      <c r="P498" s="381"/>
      <c r="Q498" s="381"/>
      <c r="R498" s="382" t="s">
        <v>5562</v>
      </c>
      <c r="S498" s="1206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70" cm="1">
        <f t="array" ref="F499">INDEX('5층_부하량'!E3:E3000,MATCH(1,("5-DaHall 1-PDU-19"='5층_부하량'!A3:A3000)*(23='5층_부하량'!B3:B3000),0))</f>
        <v>0</v>
      </c>
      <c r="G499" s="427"/>
      <c r="H499" s="426" t="s">
        <v>4574</v>
      </c>
      <c r="I499" s="2351" t="s">
        <v>5670</v>
      </c>
      <c r="J499" s="1203"/>
      <c r="K499" s="1204"/>
      <c r="L499" s="1205" t="s">
        <v>5671</v>
      </c>
      <c r="M499" s="426" t="s">
        <v>4574</v>
      </c>
      <c r="N499" s="427"/>
      <c r="O499" s="427"/>
      <c r="P499" s="2570" cm="1">
        <f t="array" ref="P499">INDEX('5층_부하량'!E3:E3000,MATCH(1,("5-DaHall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3"/>
      <c r="M500" s="405" t="s">
        <v>5218</v>
      </c>
      <c r="N500" s="406">
        <f>SUM(D488:D499,N488:N499)</f>
        <v>18.260000000000002</v>
      </c>
      <c r="O500" s="406">
        <f>SUM(E488:E499,O488:O499)</f>
        <v>22.290000000000003</v>
      </c>
      <c r="P500" s="406">
        <f>SUM(F488:F499,P488:P499)</f>
        <v>17</v>
      </c>
    </row>
    <row r="501" spans="1:20" s="350" customFormat="1" ht="18.600000000000001" thickTop="1" thickBot="1">
      <c r="A501" s="349" t="s">
        <v>6537</v>
      </c>
      <c r="C501" s="3818" t="s">
        <v>5672</v>
      </c>
      <c r="D501" s="3818"/>
      <c r="E501" s="3818"/>
      <c r="F501" s="3818"/>
      <c r="G501" s="351"/>
      <c r="H501" s="352"/>
      <c r="I501" s="352"/>
      <c r="J501" s="3828" t="s">
        <v>4288</v>
      </c>
      <c r="K501" s="3829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4136</v>
      </c>
      <c r="N502" s="1342">
        <v>28.1</v>
      </c>
      <c r="O502" s="1343">
        <v>32.6</v>
      </c>
      <c r="P502" s="1344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8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48" t="s">
        <v>4509</v>
      </c>
      <c r="I504" s="2349" t="s">
        <v>4151</v>
      </c>
      <c r="J504" s="1021"/>
      <c r="K504" s="1022"/>
      <c r="L504" s="581" t="s">
        <v>4436</v>
      </c>
      <c r="M504" s="366" t="s">
        <v>4574</v>
      </c>
      <c r="N504" s="2568" cm="1">
        <f t="array" ref="N504">INDEX('5층_부하량'!C3:C3000,MATCH(1,("5-DaHall 1-PDU-20"='5층_부하량'!A3:A3000)*(2='5층_부하량'!B3:B3000),0))</f>
        <v>2.84</v>
      </c>
      <c r="O504" s="395"/>
      <c r="P504" s="395"/>
      <c r="Q504" s="368"/>
      <c r="R504" s="372" t="s">
        <v>5562</v>
      </c>
      <c r="S504" s="373" t="s">
        <v>4149</v>
      </c>
      <c r="T504" s="1207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2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4574</v>
      </c>
      <c r="I505" s="2350" t="s">
        <v>4156</v>
      </c>
      <c r="J505" s="1023"/>
      <c r="K505" s="1024"/>
      <c r="L505" s="582" t="s">
        <v>4438</v>
      </c>
      <c r="M505" s="376" t="s">
        <v>4574</v>
      </c>
      <c r="N505" s="381"/>
      <c r="O505" s="2562" cm="1">
        <f t="array" ref="O505">INDEX('5층_부하량'!D3:D3000,MATCH(1,("5-DaHall 1-PDU-20"='5층_부하량'!A3:A3000)*(4='5층_부하량'!B3:B3000),0))</f>
        <v>2.76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9" cm="1">
        <f t="array" ref="F506">INDEX('5층_부하량'!E3:E3000,MATCH(1,("5-DaHall 1-PDU-20"='5층_부하량'!A3:A3000)*(5='5층_부하량'!B3:B3000),0))</f>
        <v>0</v>
      </c>
      <c r="G506" s="381"/>
      <c r="H506" s="376" t="s">
        <v>4574</v>
      </c>
      <c r="I506" s="2350" t="s">
        <v>4161</v>
      </c>
      <c r="J506" s="1025"/>
      <c r="K506" s="1026"/>
      <c r="L506" s="583" t="s">
        <v>4441</v>
      </c>
      <c r="M506" s="1208" t="s">
        <v>5651</v>
      </c>
      <c r="N506" s="381"/>
      <c r="O506" s="381"/>
      <c r="P506" s="2569" cm="1">
        <f t="array" ref="P506">INDEX('5층_부하량'!E3:E3000,MATCH(1,("5-DaHall 1-PDU-20"='5층_부하량'!A3:A3000)*(6='5층_부하량'!B3:B3000),0))</f>
        <v>1.87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9" cm="1">
        <f t="array" ref="D507">INDEX('5층_부하량'!C3:C3000,MATCH(1,("5-DaHall 1-PDU-20"='5층_부하량'!A3:A3000)*(7='5층_부하량'!B3:B3000),0))</f>
        <v>2.87</v>
      </c>
      <c r="E507" s="381"/>
      <c r="F507" s="381"/>
      <c r="G507" s="381"/>
      <c r="H507" s="376" t="s">
        <v>4574</v>
      </c>
      <c r="I507" s="552" t="s">
        <v>4218</v>
      </c>
      <c r="J507" s="1025"/>
      <c r="K507" s="1026"/>
      <c r="L507" s="572" t="s">
        <v>4167</v>
      </c>
      <c r="M507" s="376" t="s">
        <v>4574</v>
      </c>
      <c r="N507" s="2569" cm="1">
        <f t="array" ref="N507">INDEX('5층_부하량'!C3:C3000,MATCH(1,("5-DaHall 1-PDU-20"='5층_부하량'!A3:A3000)*(8='5층_부하량'!B3:B3000),0))</f>
        <v>3.01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2" cm="1">
        <f t="array" ref="E508">INDEX('5층_부하량'!D3:D3000,MATCH(1,("5-DaHall 1-PDU-20"='5층_부하량'!A3:A3000)*(9='5층_부하량'!B3:B3000),0))</f>
        <v>2.13</v>
      </c>
      <c r="F508" s="381"/>
      <c r="G508" s="381"/>
      <c r="H508" s="376" t="s">
        <v>4574</v>
      </c>
      <c r="I508" s="552" t="s">
        <v>4221</v>
      </c>
      <c r="J508" s="1025"/>
      <c r="K508" s="1026"/>
      <c r="L508" s="572" t="s">
        <v>4170</v>
      </c>
      <c r="M508" s="376" t="s">
        <v>4574</v>
      </c>
      <c r="N508" s="381"/>
      <c r="O508" s="2562" cm="1">
        <f t="array" ref="O508">INDEX('5층_부하량'!D3:D3000,MATCH(1,("5-DaHall 1-PDU-20"='5층_부하량'!A3:A3000)*(10='5층_부하량'!B3:B3000),0))</f>
        <v>3.91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9" cm="1">
        <f t="array" ref="F509">INDEX('5층_부하량'!E3:E3000,MATCH(1,("5-DaHall 1-PDU-20"='5층_부하량'!A3:A3000)*(11='5층_부하량'!B3:B3000),0))</f>
        <v>2.5499999999999998</v>
      </c>
      <c r="G509" s="381"/>
      <c r="H509" s="376" t="s">
        <v>4574</v>
      </c>
      <c r="I509" s="552" t="s">
        <v>4226</v>
      </c>
      <c r="J509" s="1025"/>
      <c r="K509" s="1026"/>
      <c r="L509" s="572" t="s">
        <v>4173</v>
      </c>
      <c r="M509" s="1208" t="s">
        <v>5651</v>
      </c>
      <c r="N509" s="381"/>
      <c r="O509" s="381"/>
      <c r="P509" s="2569" cm="1">
        <f t="array" ref="P509">INDEX('5층_부하량'!E3:E3000,MATCH(1,("5-DaHall 1-PDU-20"='5층_부하량'!A3:A3000)*(12='5층_부하량'!B3:B3000),0))</f>
        <v>3.87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9" cm="1">
        <f t="array" ref="D510">INDEX('5층_부하량'!C3:C3000,MATCH(1,("5-DaHall 1-PDU-20"='5층_부하량'!A3:A3000)*(13='5층_부하량'!B3:B3000),0))</f>
        <v>1.8399999999999999</v>
      </c>
      <c r="E510" s="381"/>
      <c r="F510" s="381"/>
      <c r="G510" s="381"/>
      <c r="H510" s="376" t="s">
        <v>4574</v>
      </c>
      <c r="I510" s="552" t="s">
        <v>4230</v>
      </c>
      <c r="J510" s="1025"/>
      <c r="K510" s="1026"/>
      <c r="L510" s="572" t="s">
        <v>4175</v>
      </c>
      <c r="M510" s="1208" t="s">
        <v>5651</v>
      </c>
      <c r="N510" s="2569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9" cm="1">
        <f t="array" ref="E511">INDEX('5층_부하량'!D3:D3000,MATCH(1,("5-DaHall 1-PDU-20"='5층_부하량'!A3:A3000)*(15='5층_부하량'!B3:B3000),0))</f>
        <v>4.0599999999999996</v>
      </c>
      <c r="F511" s="381"/>
      <c r="G511" s="381"/>
      <c r="H511" s="1208" t="s">
        <v>5651</v>
      </c>
      <c r="I511" s="552" t="s">
        <v>4234</v>
      </c>
      <c r="J511" s="1025"/>
      <c r="K511" s="1026"/>
      <c r="L511" s="572" t="s">
        <v>4177</v>
      </c>
      <c r="M511" s="376" t="s">
        <v>4574</v>
      </c>
      <c r="N511" s="381"/>
      <c r="O511" s="2569" cm="1">
        <f t="array" ref="O511">INDEX('5층_부하량'!D3:D3000,MATCH(1,("5-DaHall 1-PDU-20"='5층_부하량'!A3:A3000)*(16='5층_부하량'!B3:B3000),0))</f>
        <v>4.29</v>
      </c>
      <c r="P511" s="381"/>
      <c r="Q511" s="381"/>
      <c r="R511" s="382" t="s">
        <v>5562</v>
      </c>
      <c r="S511" s="1206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9" cm="1">
        <f t="array" ref="F512">INDEX('5층_부하량'!E3:E3000,MATCH(1,("5-DaHall 1-PDU-20"='5층_부하량'!A3:A3000)*(17='5층_부하량'!B3:B3000),0))</f>
        <v>2.99</v>
      </c>
      <c r="G512" s="381"/>
      <c r="H512" s="1209" t="s">
        <v>4150</v>
      </c>
      <c r="I512" s="552" t="s">
        <v>4238</v>
      </c>
      <c r="J512" s="1025"/>
      <c r="K512" s="1026"/>
      <c r="L512" s="572" t="s">
        <v>4179</v>
      </c>
      <c r="M512" s="376" t="s">
        <v>4574</v>
      </c>
      <c r="N512" s="381"/>
      <c r="O512" s="381"/>
      <c r="P512" s="2569" cm="1">
        <f t="array" ref="P512">INDEX('5층_부하량'!E3:E3000,MATCH(1,("5-DaHall 1-PDU-20"='5층_부하량'!A3:A3000)*(18='5층_부하량'!B3:B3000),0))</f>
        <v>4.22</v>
      </c>
      <c r="Q512" s="381"/>
      <c r="R512" s="382" t="s">
        <v>5562</v>
      </c>
      <c r="S512" s="1206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9" cm="1">
        <f t="array" ref="D513">INDEX('5층_부하량'!C3:C3000,MATCH(1,("5-DaHall 1-PDU-20"='5층_부하량'!A3:A3000)*(19='5층_부하량'!B3:B3000),0))</f>
        <v>1.77</v>
      </c>
      <c r="E513" s="381"/>
      <c r="F513" s="381"/>
      <c r="G513" s="381"/>
      <c r="H513" s="1209" t="s">
        <v>4150</v>
      </c>
      <c r="I513" s="552" t="s">
        <v>4243</v>
      </c>
      <c r="J513" s="1025"/>
      <c r="K513" s="1026"/>
      <c r="L513" s="572" t="s">
        <v>4183</v>
      </c>
      <c r="M513" s="376" t="s">
        <v>4574</v>
      </c>
      <c r="N513" s="2569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5562</v>
      </c>
      <c r="S513" s="1206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6" t="s">
        <v>4296</v>
      </c>
      <c r="D514" s="381"/>
      <c r="E514" s="2562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4574</v>
      </c>
      <c r="I514" s="2350" t="s">
        <v>5667</v>
      </c>
      <c r="J514" s="1025"/>
      <c r="K514" s="1026"/>
      <c r="L514" s="583" t="s">
        <v>5668</v>
      </c>
      <c r="M514" s="376" t="s">
        <v>4574</v>
      </c>
      <c r="N514" s="381"/>
      <c r="O514" s="2562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5562</v>
      </c>
      <c r="S514" s="1206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70" cm="1">
        <f t="array" ref="F515">INDEX('5층_부하량'!E3:E3000,MATCH(1,("5-DaHall 1-PDU-20"='5층_부하량'!A3:A3000)*(23='5층_부하량'!B3:B3000),0))</f>
        <v>0</v>
      </c>
      <c r="G515" s="427"/>
      <c r="H515" s="426" t="s">
        <v>4574</v>
      </c>
      <c r="I515" s="2351" t="s">
        <v>5670</v>
      </c>
      <c r="J515" s="1203"/>
      <c r="K515" s="1204"/>
      <c r="L515" s="1205" t="s">
        <v>5671</v>
      </c>
      <c r="M515" s="426" t="s">
        <v>4574</v>
      </c>
      <c r="N515" s="427"/>
      <c r="O515" s="427"/>
      <c r="P515" s="2570" cm="1">
        <f t="array" ref="P515">INDEX('5층_부하량'!E3:E3000,MATCH(1,("5-DaHall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3"/>
      <c r="M516" s="405" t="s">
        <v>5218</v>
      </c>
      <c r="N516" s="406">
        <f>SUM(D504:D515,N504:N515)</f>
        <v>14.42</v>
      </c>
      <c r="O516" s="406">
        <f>SUM(E504:E515,O504:O515)</f>
        <v>17.729999999999997</v>
      </c>
      <c r="P516" s="406">
        <f>SUM(F504:F515,P504:P515)</f>
        <v>15.5</v>
      </c>
    </row>
    <row r="517" spans="1:20" s="350" customFormat="1" ht="18.600000000000001" thickTop="1" thickBot="1">
      <c r="A517" s="349" t="s">
        <v>6538</v>
      </c>
      <c r="C517" s="3818" t="s">
        <v>5694</v>
      </c>
      <c r="D517" s="3818"/>
      <c r="E517" s="3818"/>
      <c r="F517" s="3818"/>
      <c r="G517" s="351"/>
      <c r="H517" s="352"/>
      <c r="I517" s="352"/>
      <c r="J517" s="3828" t="s">
        <v>4288</v>
      </c>
      <c r="K517" s="3829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4136</v>
      </c>
      <c r="N518" s="1342">
        <v>41.9</v>
      </c>
      <c r="O518" s="1343">
        <v>33.6</v>
      </c>
      <c r="P518" s="1344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8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48" t="s">
        <v>4509</v>
      </c>
      <c r="I520" s="2349" t="s">
        <v>4151</v>
      </c>
      <c r="J520" s="1021"/>
      <c r="K520" s="1022"/>
      <c r="L520" s="581" t="s">
        <v>4436</v>
      </c>
      <c r="M520" s="366" t="s">
        <v>4574</v>
      </c>
      <c r="N520" s="2568" cm="1">
        <f t="array" ref="N520">INDEX('5층_부하량'!C3:C3000,MATCH(1,("5-DaHall 1-PDU-21"='5층_부하량'!A3:A3000)*(2='5층_부하량'!B3:B3000),0))</f>
        <v>2.44</v>
      </c>
      <c r="O520" s="395"/>
      <c r="P520" s="395"/>
      <c r="Q520" s="368"/>
      <c r="R520" s="372" t="s">
        <v>5562</v>
      </c>
      <c r="S520" s="373" t="s">
        <v>4149</v>
      </c>
      <c r="T520" s="1207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2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4574</v>
      </c>
      <c r="I521" s="2350" t="s">
        <v>4156</v>
      </c>
      <c r="J521" s="1023"/>
      <c r="K521" s="1024"/>
      <c r="L521" s="582" t="s">
        <v>4438</v>
      </c>
      <c r="M521" s="376" t="s">
        <v>4574</v>
      </c>
      <c r="N521" s="381"/>
      <c r="O521" s="2562" cm="1">
        <f t="array" ref="O521">INDEX('5층_부하량'!D3:D3000,MATCH(1,("5-DaHall 1-PDU-21"='5층_부하량'!A3:A3000)*(4='5층_부하량'!B3:B3000),0))</f>
        <v>2.11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9" cm="1">
        <f t="array" ref="F522">INDEX('5층_부하량'!E3:E3000,MATCH(1,("5-DaHall 1-PDU-21"='5층_부하량'!A3:A3000)*(5='5층_부하량'!B3:B3000),0))</f>
        <v>0</v>
      </c>
      <c r="G522" s="381"/>
      <c r="H522" s="376" t="s">
        <v>4574</v>
      </c>
      <c r="I522" s="2350" t="s">
        <v>4161</v>
      </c>
      <c r="J522" s="1025"/>
      <c r="K522" s="1026"/>
      <c r="L522" s="583" t="s">
        <v>4441</v>
      </c>
      <c r="M522" s="1208" t="s">
        <v>5651</v>
      </c>
      <c r="N522" s="381"/>
      <c r="O522" s="381"/>
      <c r="P522" s="2569" cm="1">
        <f t="array" ref="P522">INDEX('5층_부하량'!E3:E3000,MATCH(1,("5-DaHall 1-PDU-21"='5층_부하량'!A3:A3000)*(6='5층_부하량'!B3:B3000),0))</f>
        <v>2.59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9" cm="1">
        <f t="array" ref="D523">INDEX('5층_부하량'!C3:C3000,MATCH(1,("5-DaHall 1-PDU-21"='5층_부하량'!A3:A3000)*(7='5층_부하량'!B3:B3000),0))</f>
        <v>2.4300000000000002</v>
      </c>
      <c r="E523" s="381"/>
      <c r="F523" s="381"/>
      <c r="G523" s="381"/>
      <c r="H523" s="376" t="s">
        <v>4574</v>
      </c>
      <c r="I523" s="552" t="s">
        <v>4218</v>
      </c>
      <c r="J523" s="1025"/>
      <c r="K523" s="1026"/>
      <c r="L523" s="572" t="s">
        <v>4167</v>
      </c>
      <c r="M523" s="376" t="s">
        <v>4574</v>
      </c>
      <c r="N523" s="2569" cm="1">
        <f t="array" ref="N523">INDEX('5층_부하량'!C3:C3000,MATCH(1,("5-DaHall 1-PDU-21"='5층_부하량'!A3:A3000)*(8='5층_부하량'!B3:B3000),0))</f>
        <v>4.42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2" cm="1">
        <f t="array" ref="E524">INDEX('5층_부하량'!D3:D3000,MATCH(1,("5-DaHall 1-PDU-21"='5층_부하량'!A3:A3000)*(9='5층_부하량'!B3:B3000),0))</f>
        <v>2.4300000000000002</v>
      </c>
      <c r="F524" s="381"/>
      <c r="G524" s="381"/>
      <c r="H524" s="376" t="s">
        <v>4574</v>
      </c>
      <c r="I524" s="552" t="s">
        <v>4221</v>
      </c>
      <c r="J524" s="1025"/>
      <c r="K524" s="1026"/>
      <c r="L524" s="572" t="s">
        <v>4170</v>
      </c>
      <c r="M524" s="376" t="s">
        <v>4574</v>
      </c>
      <c r="N524" s="381"/>
      <c r="O524" s="2562" cm="1">
        <f t="array" ref="O524">INDEX('5층_부하량'!D3:D3000,MATCH(1,("5-DaHall 1-PDU-21"='5층_부하량'!A3:A3000)*(10='5층_부하량'!B3:B3000),0))</f>
        <v>4.1500000000000004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9" cm="1">
        <f t="array" ref="F525">INDEX('5층_부하량'!E3:E3000,MATCH(1,("5-DaHall 1-PDU-21"='5층_부하량'!A3:A3000)*(11='5층_부하량'!B3:B3000),0))</f>
        <v>2.35</v>
      </c>
      <c r="G525" s="381"/>
      <c r="H525" s="376" t="s">
        <v>4574</v>
      </c>
      <c r="I525" s="552" t="s">
        <v>4226</v>
      </c>
      <c r="J525" s="1025"/>
      <c r="K525" s="1026"/>
      <c r="L525" s="572" t="s">
        <v>4173</v>
      </c>
      <c r="M525" s="1208" t="s">
        <v>5651</v>
      </c>
      <c r="N525" s="381"/>
      <c r="O525" s="381"/>
      <c r="P525" s="2569" cm="1">
        <f t="array" ref="P525">INDEX('5층_부하량'!E3:E3000,MATCH(1,("5-DaHall 1-PDU-21"='5층_부하량'!A3:A3000)*(12='5층_부하량'!B3:B3000),0))</f>
        <v>0.51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9" cm="1">
        <f t="array" ref="D526">INDEX('5층_부하량'!C3:C3000,MATCH(1,("5-DaHall 1-PDU-21"='5층_부하량'!A3:A3000)*(13='5층_부하량'!B3:B3000),0))</f>
        <v>2.69</v>
      </c>
      <c r="E526" s="381"/>
      <c r="F526" s="381"/>
      <c r="G526" s="381"/>
      <c r="H526" s="376" t="s">
        <v>4574</v>
      </c>
      <c r="I526" s="552" t="s">
        <v>4230</v>
      </c>
      <c r="J526" s="1025"/>
      <c r="K526" s="1026"/>
      <c r="L526" s="572" t="s">
        <v>4175</v>
      </c>
      <c r="M526" s="1208" t="s">
        <v>5651</v>
      </c>
      <c r="N526" s="2569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9" cm="1">
        <f t="array" ref="E527">INDEX('5층_부하량'!D3:D3000,MATCH(1,("5-DaHall 1-PDU-21"='5층_부하량'!A3:A3000)*(15='5층_부하량'!B3:B3000),0))</f>
        <v>2.91</v>
      </c>
      <c r="F527" s="381"/>
      <c r="G527" s="381"/>
      <c r="H527" s="1208" t="s">
        <v>5651</v>
      </c>
      <c r="I527" s="552" t="s">
        <v>4234</v>
      </c>
      <c r="J527" s="1025"/>
      <c r="K527" s="1026"/>
      <c r="L527" s="572" t="s">
        <v>4177</v>
      </c>
      <c r="M527" s="376" t="s">
        <v>4574</v>
      </c>
      <c r="N527" s="381"/>
      <c r="O527" s="2569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5562</v>
      </c>
      <c r="S527" s="1206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9" cm="1">
        <f t="array" ref="F528">INDEX('5층_부하량'!E3:E3000,MATCH(1,("5-DaHall 1-PDU-21"='5층_부하량'!A3:A3000)*(17='5층_부하량'!B3:B3000),0))</f>
        <v>3.13</v>
      </c>
      <c r="G528" s="381"/>
      <c r="H528" s="1209" t="s">
        <v>4150</v>
      </c>
      <c r="I528" s="552" t="s">
        <v>4238</v>
      </c>
      <c r="J528" s="1025"/>
      <c r="K528" s="1026"/>
      <c r="L528" s="572" t="s">
        <v>4179</v>
      </c>
      <c r="M528" s="376" t="s">
        <v>4574</v>
      </c>
      <c r="N528" s="381"/>
      <c r="O528" s="381"/>
      <c r="P528" s="2569" cm="1">
        <f t="array" ref="P528">INDEX('5층_부하량'!E3:E3000,MATCH(1,("5-DaHall 1-PDU-21"='5층_부하량'!A3:A3000)*(18='5층_부하량'!B3:B3000),0))</f>
        <v>3.08</v>
      </c>
      <c r="Q528" s="381"/>
      <c r="R528" s="382" t="s">
        <v>5562</v>
      </c>
      <c r="S528" s="1206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9" cm="1">
        <f t="array" ref="D529">INDEX('5층_부하량'!C3:C3000,MATCH(1,("5-DaHall 1-PDU-21"='5층_부하량'!A3:A3000)*(19='5층_부하량'!B3:B3000),0))</f>
        <v>2.19</v>
      </c>
      <c r="E529" s="381"/>
      <c r="F529" s="381"/>
      <c r="G529" s="381"/>
      <c r="H529" s="1209" t="s">
        <v>4150</v>
      </c>
      <c r="I529" s="552" t="s">
        <v>4243</v>
      </c>
      <c r="J529" s="1025"/>
      <c r="K529" s="1026"/>
      <c r="L529" s="572" t="s">
        <v>4183</v>
      </c>
      <c r="M529" s="376" t="s">
        <v>4574</v>
      </c>
      <c r="N529" s="2569" cm="1">
        <f t="array" ref="N529">INDEX('5층_부하량'!C3:C3000,MATCH(1,("5-DaHall 1-PDU-21"='5층_부하량'!A3:A3000)*(20='5층_부하량'!B3:B3000),0))</f>
        <v>4.84</v>
      </c>
      <c r="O529" s="381"/>
      <c r="P529" s="381"/>
      <c r="Q529" s="381"/>
      <c r="R529" s="382" t="s">
        <v>5562</v>
      </c>
      <c r="S529" s="1206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6" t="s">
        <v>4296</v>
      </c>
      <c r="D530" s="381"/>
      <c r="E530" s="2562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4574</v>
      </c>
      <c r="I530" s="2350" t="s">
        <v>5667</v>
      </c>
      <c r="J530" s="1025"/>
      <c r="K530" s="1026"/>
      <c r="L530" s="583" t="s">
        <v>5668</v>
      </c>
      <c r="M530" s="376" t="s">
        <v>4574</v>
      </c>
      <c r="N530" s="381"/>
      <c r="O530" s="2562" cm="1">
        <f t="array" ref="O530">INDEX('5층_부하량'!D3:D3000,MATCH(1,("5-DaHall 1-PDU-21"='5층_부하량'!A3:A3000)*(22='5층_부하량'!B3:B3000),0))</f>
        <v>5.3</v>
      </c>
      <c r="P530" s="381"/>
      <c r="Q530" s="381"/>
      <c r="R530" s="382" t="s">
        <v>5562</v>
      </c>
      <c r="S530" s="1206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70" cm="1">
        <f t="array" ref="F531">INDEX('5층_부하량'!E3:E3000,MATCH(1,("5-DaHall 1-PDU-21"='5층_부하량'!A3:A3000)*(23='5층_부하량'!B3:B3000),0))</f>
        <v>0</v>
      </c>
      <c r="G531" s="427"/>
      <c r="H531" s="426" t="s">
        <v>4574</v>
      </c>
      <c r="I531" s="2351" t="s">
        <v>5670</v>
      </c>
      <c r="J531" s="1203"/>
      <c r="K531" s="1204"/>
      <c r="L531" s="1205" t="s">
        <v>5671</v>
      </c>
      <c r="M531" s="426" t="s">
        <v>4574</v>
      </c>
      <c r="N531" s="427"/>
      <c r="O531" s="427"/>
      <c r="P531" s="2570" cm="1">
        <f t="array" ref="P531">INDEX('5층_부하량'!E3:E3000,MATCH(1,("5-DaHall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3"/>
      <c r="M532" s="405" t="s">
        <v>5218</v>
      </c>
      <c r="N532" s="406">
        <f>SUM(D520:D531,N520:N531)</f>
        <v>20.83</v>
      </c>
      <c r="O532" s="406">
        <f>SUM(E520:E531,O520:O531)</f>
        <v>20.759999999999998</v>
      </c>
      <c r="P532" s="406">
        <f>SUM(F520:F531,P520:P531)</f>
        <v>11.66</v>
      </c>
    </row>
    <row r="533" spans="1:20" s="350" customFormat="1" ht="18.600000000000001" thickTop="1" thickBot="1">
      <c r="A533" s="349" t="s">
        <v>6540</v>
      </c>
      <c r="C533" s="3818" t="s">
        <v>5716</v>
      </c>
      <c r="D533" s="3818"/>
      <c r="E533" s="3818"/>
      <c r="F533" s="3818"/>
      <c r="G533" s="351"/>
      <c r="H533" s="352"/>
      <c r="I533" s="352"/>
      <c r="J533" s="3828" t="s">
        <v>4288</v>
      </c>
      <c r="K533" s="3829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4136</v>
      </c>
      <c r="N534" s="1342">
        <v>37</v>
      </c>
      <c r="O534" s="1343">
        <v>27.7</v>
      </c>
      <c r="P534" s="1344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8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48" t="s">
        <v>4509</v>
      </c>
      <c r="I536" s="2349" t="s">
        <v>4151</v>
      </c>
      <c r="J536" s="1021"/>
      <c r="K536" s="1022"/>
      <c r="L536" s="581" t="s">
        <v>4436</v>
      </c>
      <c r="M536" s="366" t="s">
        <v>4574</v>
      </c>
      <c r="N536" s="2568" cm="1">
        <f t="array" ref="N536">INDEX('5층_부하량'!C3:C3000,MATCH(1,("5-DaHall 1-PDU-22"='5층_부하량'!A3:A3000)*(2='5층_부하량'!B3:B3000),0))</f>
        <v>2.42</v>
      </c>
      <c r="O536" s="395"/>
      <c r="P536" s="395"/>
      <c r="Q536" s="368"/>
      <c r="R536" s="372" t="s">
        <v>5562</v>
      </c>
      <c r="S536" s="373" t="s">
        <v>4149</v>
      </c>
      <c r="T536" s="1207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2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4574</v>
      </c>
      <c r="I537" s="2350" t="s">
        <v>4156</v>
      </c>
      <c r="J537" s="1023"/>
      <c r="K537" s="1024"/>
      <c r="L537" s="582" t="s">
        <v>4438</v>
      </c>
      <c r="M537" s="376" t="s">
        <v>4574</v>
      </c>
      <c r="N537" s="381"/>
      <c r="O537" s="2562" cm="1">
        <f t="array" ref="O537">INDEX('5층_부하량'!D3:D3000,MATCH(1,("5-DaHall 1-PDU-22"='5층_부하량'!A3:A3000)*(4='5층_부하량'!B3:B3000),0))</f>
        <v>2.25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9" cm="1">
        <f t="array" ref="F538">INDEX('5층_부하량'!E3:E3000,MATCH(1,("5-DaHall 1-PDU-22"='5층_부하량'!A3:A3000)*(5='5층_부하량'!B3:B3000),0))</f>
        <v>0</v>
      </c>
      <c r="G538" s="381"/>
      <c r="H538" s="376" t="s">
        <v>4574</v>
      </c>
      <c r="I538" s="2350" t="s">
        <v>4161</v>
      </c>
      <c r="J538" s="1025"/>
      <c r="K538" s="1026"/>
      <c r="L538" s="583" t="s">
        <v>4441</v>
      </c>
      <c r="M538" s="1208" t="s">
        <v>5651</v>
      </c>
      <c r="N538" s="381"/>
      <c r="O538" s="381"/>
      <c r="P538" s="2569" cm="1">
        <f t="array" ref="P538">INDEX('5층_부하량'!E3:E3000,MATCH(1,("5-DaHall 1-PDU-22"='5층_부하량'!A3:A3000)*(6='5층_부하량'!B3:B3000),0))</f>
        <v>1.65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9" cm="1">
        <f t="array" ref="D539">INDEX('5층_부하량'!C3:C3000,MATCH(1,("5-DaHall 1-PDU-22"='5층_부하량'!A3:A3000)*(7='5층_부하량'!B3:B3000),0))</f>
        <v>2.4300000000000002</v>
      </c>
      <c r="E539" s="381"/>
      <c r="F539" s="381"/>
      <c r="G539" s="381"/>
      <c r="H539" s="376" t="s">
        <v>4574</v>
      </c>
      <c r="I539" s="552" t="s">
        <v>4218</v>
      </c>
      <c r="J539" s="1025"/>
      <c r="K539" s="1026"/>
      <c r="L539" s="572" t="s">
        <v>4167</v>
      </c>
      <c r="M539" s="376" t="s">
        <v>4574</v>
      </c>
      <c r="N539" s="2569" cm="1">
        <f t="array" ref="N539">INDEX('5층_부하량'!C3:C3000,MATCH(1,("5-DaHall 1-PDU-22"='5층_부하량'!A3:A3000)*(8='5층_부하량'!B3:B3000),0))</f>
        <v>4.3099999999999996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2" cm="1">
        <f t="array" ref="E540">INDEX('5층_부하량'!D3:D3000,MATCH(1,("5-DaHall 1-PDU-22"='5층_부하량'!A3:A3000)*(9='5층_부하량'!B3:B3000),0))</f>
        <v>2.44</v>
      </c>
      <c r="F540" s="381"/>
      <c r="G540" s="381"/>
      <c r="H540" s="376" t="s">
        <v>4574</v>
      </c>
      <c r="I540" s="552" t="s">
        <v>4221</v>
      </c>
      <c r="J540" s="1025"/>
      <c r="K540" s="1026"/>
      <c r="L540" s="572" t="s">
        <v>4170</v>
      </c>
      <c r="M540" s="376" t="s">
        <v>4574</v>
      </c>
      <c r="N540" s="381"/>
      <c r="O540" s="2562" cm="1">
        <f t="array" ref="O540">INDEX('5층_부하량'!D3:D3000,MATCH(1,("5-DaHall 1-PDU-22"='5층_부하량'!A3:A3000)*(10='5층_부하량'!B3:B3000),0))</f>
        <v>4.42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9" cm="1">
        <f t="array" ref="F541">INDEX('5층_부하량'!E3:E3000,MATCH(1,("5-DaHall 1-PDU-22"='5층_부하량'!A3:A3000)*(11='5층_부하량'!B3:B3000),0))</f>
        <v>2.52</v>
      </c>
      <c r="G541" s="381"/>
      <c r="H541" s="376" t="s">
        <v>4574</v>
      </c>
      <c r="I541" s="552" t="s">
        <v>4226</v>
      </c>
      <c r="J541" s="1025"/>
      <c r="K541" s="1026"/>
      <c r="L541" s="572" t="s">
        <v>4173</v>
      </c>
      <c r="M541" s="1208" t="s">
        <v>5651</v>
      </c>
      <c r="N541" s="381"/>
      <c r="O541" s="381"/>
      <c r="P541" s="2569" cm="1">
        <f t="array" ref="P541">INDEX('5층_부하량'!E3:E3000,MATCH(1,("5-DaHall 1-PDU-22"='5층_부하량'!A3:A3000)*(12='5층_부하량'!B3:B3000),0))</f>
        <v>0.57999999999999996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9" cm="1">
        <f t="array" ref="D542">INDEX('5층_부하량'!C3:C3000,MATCH(1,("5-DaHall 1-PDU-22"='5층_부하량'!A3:A3000)*(13='5층_부하량'!B3:B3000),0))</f>
        <v>2.2400000000000002</v>
      </c>
      <c r="E542" s="381"/>
      <c r="F542" s="381"/>
      <c r="G542" s="381"/>
      <c r="H542" s="376" t="s">
        <v>4574</v>
      </c>
      <c r="I542" s="552" t="s">
        <v>4230</v>
      </c>
      <c r="J542" s="1025"/>
      <c r="K542" s="1026"/>
      <c r="L542" s="572" t="s">
        <v>4175</v>
      </c>
      <c r="M542" s="1208" t="s">
        <v>5651</v>
      </c>
      <c r="N542" s="2569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9" cm="1">
        <f t="array" ref="E543">INDEX('5층_부하량'!D3:D3000,MATCH(1,("5-DaHall 1-PDU-22"='5층_부하량'!A3:A3000)*(15='5층_부하량'!B3:B3000),0))</f>
        <v>3.67</v>
      </c>
      <c r="F543" s="381"/>
      <c r="G543" s="381"/>
      <c r="H543" s="1208" t="s">
        <v>5651</v>
      </c>
      <c r="I543" s="552" t="s">
        <v>4234</v>
      </c>
      <c r="J543" s="1025"/>
      <c r="K543" s="1026"/>
      <c r="L543" s="572" t="s">
        <v>4177</v>
      </c>
      <c r="M543" s="376" t="s">
        <v>4574</v>
      </c>
      <c r="N543" s="381"/>
      <c r="O543" s="2569" cm="1">
        <f t="array" ref="O543">INDEX('5층_부하량'!D3:D3000,MATCH(1,("5-DaHall 1-PDU-22"='5층_부하량'!A3:A3000)*(16='5층_부하량'!B3:B3000),0))</f>
        <v>4.03</v>
      </c>
      <c r="P543" s="381"/>
      <c r="Q543" s="381"/>
      <c r="R543" s="382" t="s">
        <v>5562</v>
      </c>
      <c r="S543" s="1206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9" cm="1">
        <f t="array" ref="F544">INDEX('5층_부하량'!E3:E3000,MATCH(1,("5-DaHall 1-PDU-22"='5층_부하량'!A3:A3000)*(17='5층_부하량'!B3:B3000),0))</f>
        <v>2.82</v>
      </c>
      <c r="G544" s="381"/>
      <c r="H544" s="1209" t="s">
        <v>4150</v>
      </c>
      <c r="I544" s="552" t="s">
        <v>4238</v>
      </c>
      <c r="J544" s="1025"/>
      <c r="K544" s="1026"/>
      <c r="L544" s="572" t="s">
        <v>4179</v>
      </c>
      <c r="M544" s="376" t="s">
        <v>4574</v>
      </c>
      <c r="N544" s="381"/>
      <c r="O544" s="381"/>
      <c r="P544" s="2569" cm="1">
        <f t="array" ref="P544">INDEX('5층_부하량'!E3:E3000,MATCH(1,("5-DaHall 1-PDU-22"='5층_부하량'!A3:A3000)*(18='5층_부하량'!B3:B3000),0))</f>
        <v>2.4699999999999998</v>
      </c>
      <c r="Q544" s="381"/>
      <c r="R544" s="382" t="s">
        <v>5562</v>
      </c>
      <c r="S544" s="1206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9" cm="1">
        <f t="array" ref="D545">INDEX('5층_부하량'!C3:C3000,MATCH(1,("5-DaHall 1-PDU-22"='5층_부하량'!A3:A3000)*(19='5층_부하량'!B3:B3000),0))</f>
        <v>3.32</v>
      </c>
      <c r="E545" s="381"/>
      <c r="F545" s="381"/>
      <c r="G545" s="381"/>
      <c r="H545" s="1209" t="s">
        <v>4150</v>
      </c>
      <c r="I545" s="552" t="s">
        <v>4243</v>
      </c>
      <c r="J545" s="1025"/>
      <c r="K545" s="1026"/>
      <c r="L545" s="572" t="s">
        <v>4183</v>
      </c>
      <c r="M545" s="376" t="s">
        <v>4574</v>
      </c>
      <c r="N545" s="2569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5562</v>
      </c>
      <c r="S545" s="1206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6" t="s">
        <v>4296</v>
      </c>
      <c r="D546" s="381"/>
      <c r="E546" s="2562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4574</v>
      </c>
      <c r="I546" s="2350" t="s">
        <v>5667</v>
      </c>
      <c r="J546" s="1025"/>
      <c r="K546" s="1026"/>
      <c r="L546" s="583" t="s">
        <v>5668</v>
      </c>
      <c r="M546" s="376" t="s">
        <v>4574</v>
      </c>
      <c r="N546" s="381"/>
      <c r="O546" s="2562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5562</v>
      </c>
      <c r="S546" s="1206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70" cm="1">
        <f t="array" ref="F547">INDEX('5층_부하량'!E3:E3000,MATCH(1,("5-DaHall 1-PDU-22"='5층_부하량'!A3:A3000)*(23='5층_부하량'!B3:B3000),0))</f>
        <v>0</v>
      </c>
      <c r="G547" s="427"/>
      <c r="H547" s="426" t="s">
        <v>4574</v>
      </c>
      <c r="I547" s="2351" t="s">
        <v>5670</v>
      </c>
      <c r="J547" s="1203"/>
      <c r="K547" s="1204"/>
      <c r="L547" s="1205" t="s">
        <v>5671</v>
      </c>
      <c r="M547" s="426" t="s">
        <v>4574</v>
      </c>
      <c r="N547" s="427"/>
      <c r="O547" s="427"/>
      <c r="P547" s="2570" cm="1">
        <f t="array" ref="P547">INDEX('5층_부하량'!E3:E3000,MATCH(1,("5-DaHall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3"/>
      <c r="M548" s="405" t="s">
        <v>5218</v>
      </c>
      <c r="N548" s="406">
        <f>SUM(D536:D547,N536:N547)</f>
        <v>17.149999999999999</v>
      </c>
      <c r="O548" s="406">
        <f>SUM(E536:E547,O536:O547)</f>
        <v>17.399999999999999</v>
      </c>
      <c r="P548" s="406">
        <f>SUM(F536:F547,P536:P547)</f>
        <v>10.039999999999999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3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8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2" t="s">
        <v>5740</v>
      </c>
      <c r="I552" s="2353" t="s">
        <v>5741</v>
      </c>
      <c r="J552" s="369" t="s">
        <v>5742</v>
      </c>
      <c r="K552" s="370" t="s">
        <v>3917</v>
      </c>
      <c r="L552" s="581" t="s">
        <v>4444</v>
      </c>
      <c r="M552" s="2348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4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50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51" t="s">
        <v>5751</v>
      </c>
      <c r="J554" s="443" t="s">
        <v>5747</v>
      </c>
      <c r="K554" s="435" t="s">
        <v>5747</v>
      </c>
      <c r="L554" s="1205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3"/>
    </row>
    <row r="556" spans="1:20" s="350" customFormat="1" ht="17.399999999999999">
      <c r="D556" s="350" t="s">
        <v>4542</v>
      </c>
      <c r="E556" s="350" t="s">
        <v>5754</v>
      </c>
      <c r="L556" s="2343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463.50000000000011</v>
      </c>
      <c r="E557" s="449">
        <f t="shared" ref="E557:E564" si="0">D557/$D$564</f>
        <v>0.52975061147050084</v>
      </c>
      <c r="L557" s="2343"/>
      <c r="M557" s="350" t="s">
        <v>6461</v>
      </c>
      <c r="N557" s="406">
        <f>N53</f>
        <v>26.360000000000003</v>
      </c>
      <c r="O557" s="406">
        <f t="shared" ref="O557:P557" si="1">O53</f>
        <v>27.679999999999996</v>
      </c>
      <c r="P557" s="406">
        <f t="shared" si="1"/>
        <v>22.109999999999996</v>
      </c>
    </row>
    <row r="558" spans="1:20" s="350" customFormat="1" ht="17.399999999999999">
      <c r="A558" s="450"/>
      <c r="B558" s="2355" t="s">
        <v>3509</v>
      </c>
      <c r="D558" s="406">
        <f>SUM(N356:P356,N415:P415,D356:F356,D415:F415,D425:F425)</f>
        <v>43.54</v>
      </c>
      <c r="E558" s="449">
        <f t="shared" si="0"/>
        <v>4.9763412348275297E-2</v>
      </c>
      <c r="L558" s="2343"/>
      <c r="M558" s="350" t="s">
        <v>6462</v>
      </c>
      <c r="N558" s="406">
        <f>N83</f>
        <v>26.340000000000003</v>
      </c>
      <c r="O558" s="406">
        <f t="shared" ref="O558:P558" si="2">O83</f>
        <v>26.05</v>
      </c>
      <c r="P558" s="406">
        <f t="shared" si="2"/>
        <v>20.81</v>
      </c>
    </row>
    <row r="559" spans="1:20" s="350" customFormat="1" ht="17.399999999999999">
      <c r="A559" s="450"/>
      <c r="B559" s="2355" t="s">
        <v>5756</v>
      </c>
      <c r="D559" s="406">
        <f>SUM(D553:F554,N553:P554)</f>
        <v>128.30000000000001</v>
      </c>
      <c r="E559" s="449">
        <f t="shared" si="0"/>
        <v>0.14663862664868446</v>
      </c>
      <c r="L559" s="2343"/>
      <c r="M559" s="350" t="s">
        <v>6463</v>
      </c>
      <c r="N559" s="406">
        <f>N113</f>
        <v>26.14</v>
      </c>
      <c r="O559" s="406">
        <f t="shared" ref="O559:P559" si="3">O113</f>
        <v>16.630000000000003</v>
      </c>
      <c r="P559" s="406">
        <f t="shared" si="3"/>
        <v>14.260000000000002</v>
      </c>
    </row>
    <row r="560" spans="1:20" s="350" customFormat="1" ht="17.399999999999999">
      <c r="A560" s="450"/>
      <c r="B560" s="2355" t="s">
        <v>5757</v>
      </c>
      <c r="D560" s="989">
        <f>SUM(N463:P463)</f>
        <v>14.97</v>
      </c>
      <c r="E560" s="990">
        <f t="shared" si="0"/>
        <v>1.7109744668205817E-2</v>
      </c>
      <c r="L560" s="2343"/>
      <c r="M560" s="350" t="s">
        <v>6464</v>
      </c>
      <c r="N560" s="406">
        <f>N143</f>
        <v>23.46</v>
      </c>
      <c r="O560" s="406">
        <f t="shared" ref="O560:P560" si="4">O143</f>
        <v>13.849999999999998</v>
      </c>
      <c r="P560" s="406">
        <f t="shared" si="4"/>
        <v>14.23</v>
      </c>
    </row>
    <row r="561" spans="1:17" s="350" customFormat="1" ht="17.399999999999999">
      <c r="A561" s="450"/>
      <c r="B561" s="2355" t="s">
        <v>5758</v>
      </c>
      <c r="D561" s="989">
        <f>SUM(N484:P484)</f>
        <v>10.77</v>
      </c>
      <c r="E561" s="990">
        <f t="shared" si="0"/>
        <v>1.2309415502777331E-2</v>
      </c>
      <c r="F561" s="2356" t="s">
        <v>5759</v>
      </c>
      <c r="G561" s="991">
        <f>SUM(E560:E561)</f>
        <v>2.9419160170983148E-2</v>
      </c>
      <c r="H561" s="406"/>
      <c r="L561" s="2343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5" t="s">
        <v>5760</v>
      </c>
      <c r="D562" s="989">
        <f>SUM(D362:F362,D367:F367,D370:F370,D421:F424,D426:F429,N426:P426,N429:P429)</f>
        <v>10.820000000000002</v>
      </c>
      <c r="E562" s="990">
        <f t="shared" si="0"/>
        <v>1.2366562278556243E-2</v>
      </c>
      <c r="F562" s="2356"/>
      <c r="G562" s="991"/>
      <c r="L562" s="2343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5761</v>
      </c>
      <c r="C563" s="1211"/>
      <c r="D563" s="1212">
        <f>SUM(N500:P500,N516:P516,N532:P532,N548:P548)</f>
        <v>203.04</v>
      </c>
      <c r="E563" s="1213">
        <f t="shared" si="0"/>
        <v>0.23206162708299993</v>
      </c>
      <c r="F563" s="2343"/>
      <c r="L563" s="2343"/>
      <c r="M563" s="350" t="s">
        <v>6467</v>
      </c>
      <c r="N563" s="406">
        <f>N244</f>
        <v>8.64</v>
      </c>
      <c r="O563" s="406">
        <f t="shared" ref="O563:P563" si="7">O244</f>
        <v>1.19</v>
      </c>
      <c r="P563" s="406">
        <f t="shared" si="7"/>
        <v>0.75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874.94000000000017</v>
      </c>
      <c r="E564" s="451">
        <f t="shared" si="0"/>
        <v>1</v>
      </c>
      <c r="J564" s="406"/>
      <c r="L564" s="2343"/>
      <c r="M564" s="350" t="s">
        <v>6468</v>
      </c>
      <c r="N564" s="406">
        <f>N289</f>
        <v>6.46</v>
      </c>
      <c r="O564" s="406">
        <f t="shared" ref="O564:P564" si="8">O289</f>
        <v>1.25</v>
      </c>
      <c r="P564" s="406">
        <f t="shared" si="8"/>
        <v>1.34</v>
      </c>
    </row>
    <row r="565" spans="1:17" s="350" customFormat="1" ht="17.399999999999999">
      <c r="D565" s="406"/>
      <c r="E565" s="406"/>
      <c r="L565" s="2343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3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3"/>
      <c r="M567" s="350" t="s">
        <v>6471</v>
      </c>
      <c r="N567" s="406">
        <f>N332</f>
        <v>15.1</v>
      </c>
      <c r="O567" s="406">
        <f t="shared" ref="O567:P567" si="11">O332</f>
        <v>9.06</v>
      </c>
      <c r="P567" s="406">
        <f t="shared" si="11"/>
        <v>10.23</v>
      </c>
    </row>
    <row r="568" spans="1:17" s="350" customFormat="1" ht="18" thickBot="1">
      <c r="L568" s="2343"/>
      <c r="M568" s="350" t="s">
        <v>6472</v>
      </c>
      <c r="N568" s="406">
        <f>N391</f>
        <v>20.25</v>
      </c>
      <c r="O568" s="406">
        <f t="shared" ref="O568:P568" si="12">O391</f>
        <v>13.370000000000001</v>
      </c>
      <c r="P568" s="406">
        <f t="shared" si="12"/>
        <v>13.16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6473</v>
      </c>
      <c r="N569" s="406">
        <f>N352</f>
        <v>12.17</v>
      </c>
      <c r="O569" s="406">
        <f t="shared" ref="O569:P569" si="13">O352</f>
        <v>15.91</v>
      </c>
      <c r="P569" s="406">
        <f t="shared" si="13"/>
        <v>14.100000000000001</v>
      </c>
    </row>
    <row r="570" spans="1:17" s="350" customFormat="1" ht="17.399999999999999">
      <c r="B570" s="3826" t="s">
        <v>5746</v>
      </c>
      <c r="C570" s="3827"/>
      <c r="J570" s="455"/>
      <c r="L570" s="2343"/>
      <c r="M570" s="350" t="s">
        <v>5964</v>
      </c>
      <c r="N570" s="406">
        <f>N411</f>
        <v>13.280000000000001</v>
      </c>
      <c r="O570" s="406">
        <f t="shared" ref="O570:P570" si="14">O411</f>
        <v>10.3</v>
      </c>
      <c r="P570" s="406">
        <f t="shared" si="14"/>
        <v>7.39</v>
      </c>
    </row>
    <row r="571" spans="1:17" s="350" customFormat="1" ht="18" thickBot="1">
      <c r="B571" s="456"/>
      <c r="C571" s="457"/>
      <c r="J571" s="455"/>
      <c r="L571" s="2343"/>
      <c r="M571" s="350" t="s">
        <v>5966</v>
      </c>
      <c r="N571" s="406">
        <f>N371</f>
        <v>19.569999999999997</v>
      </c>
      <c r="O571" s="406">
        <f t="shared" ref="O571:P571" si="15">O371</f>
        <v>13.14</v>
      </c>
      <c r="P571" s="406">
        <f t="shared" si="15"/>
        <v>14.739999999999998</v>
      </c>
    </row>
    <row r="572" spans="1:17" s="350" customFormat="1" ht="17.399999999999999">
      <c r="B572" s="458"/>
      <c r="J572" s="455"/>
      <c r="L572" s="2343"/>
      <c r="M572" s="350" t="s">
        <v>5968</v>
      </c>
      <c r="N572" s="406">
        <f>N430</f>
        <v>20.830000000000002</v>
      </c>
      <c r="O572" s="406">
        <f t="shared" ref="O572:P572" si="16">O430</f>
        <v>10.280000000000001</v>
      </c>
      <c r="P572" s="406">
        <f t="shared" si="16"/>
        <v>14.12</v>
      </c>
    </row>
    <row r="573" spans="1:17" s="350" customFormat="1" ht="17.399999999999999">
      <c r="B573" s="458"/>
      <c r="E573" s="459"/>
      <c r="J573" s="455"/>
      <c r="L573" s="2343"/>
      <c r="M573" s="350" t="s">
        <v>6474</v>
      </c>
      <c r="N573" s="406">
        <f>N463</f>
        <v>5.43</v>
      </c>
      <c r="O573" s="406">
        <f t="shared" ref="O573:P573" si="17">O463</f>
        <v>7.15</v>
      </c>
      <c r="P573" s="406">
        <f t="shared" si="17"/>
        <v>2.39</v>
      </c>
      <c r="Q573" s="406">
        <f>SUM(N573:P573)</f>
        <v>14.97</v>
      </c>
    </row>
    <row r="574" spans="1:17" s="350" customFormat="1" ht="17.399999999999999">
      <c r="B574" s="458"/>
      <c r="E574" s="460"/>
      <c r="J574" s="455"/>
      <c r="L574" s="2343"/>
      <c r="M574" s="350" t="s">
        <v>6475</v>
      </c>
      <c r="N574" s="406">
        <f>N484</f>
        <v>4.62</v>
      </c>
      <c r="O574" s="406">
        <f t="shared" ref="O574:P574" si="18">O484</f>
        <v>4.9399999999999995</v>
      </c>
      <c r="P574" s="406">
        <f t="shared" si="18"/>
        <v>1.21</v>
      </c>
      <c r="Q574" s="406">
        <f>SUM(N574:P574)</f>
        <v>10.77</v>
      </c>
    </row>
    <row r="575" spans="1:17" s="350" customFormat="1" ht="17.399999999999999">
      <c r="B575" s="458"/>
      <c r="E575" s="460"/>
      <c r="J575" s="455"/>
      <c r="L575" s="2343"/>
      <c r="M575" s="350" t="s">
        <v>6476</v>
      </c>
      <c r="N575" s="406">
        <f>N500</f>
        <v>18.260000000000002</v>
      </c>
      <c r="O575" s="406">
        <f t="shared" ref="O575:P575" si="19">O500</f>
        <v>22.290000000000003</v>
      </c>
      <c r="P575" s="406">
        <f t="shared" si="19"/>
        <v>17</v>
      </c>
    </row>
    <row r="576" spans="1:17" s="350" customFormat="1" ht="17.399999999999999">
      <c r="B576" s="458"/>
      <c r="E576" s="461" t="s">
        <v>5763</v>
      </c>
      <c r="J576" s="455"/>
      <c r="L576" s="2343"/>
      <c r="M576" s="350" t="s">
        <v>6477</v>
      </c>
      <c r="N576" s="406">
        <f>N516</f>
        <v>14.42</v>
      </c>
      <c r="O576" s="406">
        <f t="shared" ref="O576:P576" si="20">O516</f>
        <v>17.729999999999997</v>
      </c>
      <c r="P576" s="406">
        <f t="shared" si="20"/>
        <v>15.5</v>
      </c>
    </row>
    <row r="577" spans="2:18" s="350" customFormat="1" ht="17.399999999999999">
      <c r="B577" s="458"/>
      <c r="E577" s="460"/>
      <c r="J577" s="455"/>
      <c r="L577" s="2343"/>
      <c r="M577" s="350" t="s">
        <v>6478</v>
      </c>
      <c r="N577" s="406">
        <f>N532</f>
        <v>20.83</v>
      </c>
      <c r="O577" s="406">
        <f t="shared" ref="O577:P577" si="21">O532</f>
        <v>20.759999999999998</v>
      </c>
      <c r="P577" s="406">
        <f t="shared" si="21"/>
        <v>11.66</v>
      </c>
    </row>
    <row r="578" spans="2:18" s="350" customFormat="1" ht="17.399999999999999">
      <c r="B578" s="458"/>
      <c r="E578" s="460"/>
      <c r="J578" s="455"/>
      <c r="L578" s="2343"/>
      <c r="M578" s="350" t="s">
        <v>6479</v>
      </c>
      <c r="N578" s="406">
        <f>N548</f>
        <v>17.149999999999999</v>
      </c>
      <c r="O578" s="406">
        <f t="shared" ref="O578:P578" si="22">O548</f>
        <v>17.399999999999999</v>
      </c>
      <c r="P578" s="406">
        <f t="shared" si="22"/>
        <v>10.039999999999999</v>
      </c>
      <c r="R578" s="406">
        <f>SUM(N575:P578)</f>
        <v>203.04</v>
      </c>
    </row>
    <row r="579" spans="2:18" s="350" customFormat="1" ht="18" thickBot="1">
      <c r="B579" s="458"/>
      <c r="E579" s="462" t="s">
        <v>5764</v>
      </c>
      <c r="J579" s="455"/>
      <c r="L579" s="2343"/>
      <c r="N579" s="406">
        <f>SUM(N557:N578)</f>
        <v>299.30999999999995</v>
      </c>
      <c r="O579" s="406">
        <f t="shared" ref="O579:P579" si="23">SUM(O557:O578)</f>
        <v>248.98</v>
      </c>
      <c r="P579" s="406">
        <f t="shared" si="23"/>
        <v>205.04</v>
      </c>
      <c r="Q579" s="406">
        <f>SUM(N579:P579)</f>
        <v>753.32999999999993</v>
      </c>
    </row>
    <row r="580" spans="2:18" s="350" customFormat="1" ht="17.399999999999999">
      <c r="B580" s="458"/>
      <c r="J580" s="455"/>
      <c r="L580" s="2343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43"/>
      <c r="Q581" s="406">
        <f>SUM(Q579:Q580)</f>
        <v>881.62999999999988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>
      <c r="B583" s="458"/>
      <c r="F583" s="3826" t="s">
        <v>5765</v>
      </c>
      <c r="G583" s="3827"/>
      <c r="H583" s="464" t="s">
        <v>5766</v>
      </c>
      <c r="I583" s="464"/>
      <c r="J583" s="464" t="s">
        <v>5767</v>
      </c>
      <c r="L583" s="2343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>
      <c r="L586" s="2343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815" t="s">
        <v>6635</v>
      </c>
      <c r="B1" s="3815" t="s">
        <v>8496</v>
      </c>
    </row>
    <row r="2" spans="1:4">
      <c r="A2" s="3815"/>
      <c r="B2" s="3815"/>
    </row>
    <row r="3" spans="1:4">
      <c r="A3" s="2542" t="s">
        <v>6726</v>
      </c>
      <c r="B3" s="2541" t="s">
        <v>8621</v>
      </c>
      <c r="C3" s="2567" t="s">
        <v>8623</v>
      </c>
      <c r="D3" s="2567" t="s">
        <v>8625</v>
      </c>
    </row>
    <row r="4" spans="1:4">
      <c r="A4" t="s">
        <v>6727</v>
      </c>
      <c r="B4" s="2541" t="s">
        <v>8594</v>
      </c>
    </row>
    <row r="5" spans="1:4">
      <c r="A5" t="s">
        <v>6728</v>
      </c>
      <c r="B5" s="2541" t="s">
        <v>8499</v>
      </c>
    </row>
    <row r="6" spans="1:4">
      <c r="A6" t="s">
        <v>6729</v>
      </c>
      <c r="B6" s="2541" t="s">
        <v>8595</v>
      </c>
    </row>
    <row r="7" spans="1:4">
      <c r="A7" t="s">
        <v>6730</v>
      </c>
      <c r="B7" s="2541" t="s">
        <v>8500</v>
      </c>
    </row>
    <row r="8" spans="1:4">
      <c r="A8" t="s">
        <v>6731</v>
      </c>
      <c r="B8" s="2541" t="s">
        <v>8596</v>
      </c>
    </row>
    <row r="9" spans="1:4">
      <c r="A9" t="s">
        <v>6732</v>
      </c>
      <c r="B9" s="2541" t="s">
        <v>8501</v>
      </c>
    </row>
    <row r="10" spans="1:4">
      <c r="A10" t="s">
        <v>6733</v>
      </c>
      <c r="B10" s="2541" t="s">
        <v>8597</v>
      </c>
    </row>
    <row r="11" spans="1:4">
      <c r="A11" t="s">
        <v>6734</v>
      </c>
      <c r="B11" s="2541" t="s">
        <v>8502</v>
      </c>
    </row>
    <row r="12" spans="1:4">
      <c r="A12" t="s">
        <v>6735</v>
      </c>
      <c r="B12" s="2541" t="s">
        <v>8598</v>
      </c>
    </row>
    <row r="13" spans="1:4">
      <c r="A13" t="s">
        <v>6736</v>
      </c>
      <c r="B13" s="2541" t="s">
        <v>8503</v>
      </c>
    </row>
    <row r="14" spans="1:4">
      <c r="A14" t="s">
        <v>6737</v>
      </c>
      <c r="B14" s="2541" t="s">
        <v>8599</v>
      </c>
    </row>
    <row r="15" spans="1:4">
      <c r="A15" t="s">
        <v>6738</v>
      </c>
      <c r="B15" s="2541" t="s">
        <v>8504</v>
      </c>
    </row>
    <row r="16" spans="1:4">
      <c r="A16" t="s">
        <v>6739</v>
      </c>
      <c r="B16" s="2541" t="s">
        <v>8600</v>
      </c>
    </row>
    <row r="17" spans="1:2">
      <c r="A17" t="s">
        <v>6740</v>
      </c>
      <c r="B17" s="2541" t="s">
        <v>8505</v>
      </c>
    </row>
    <row r="18" spans="1:2">
      <c r="A18" t="s">
        <v>6741</v>
      </c>
      <c r="B18" s="2541" t="s">
        <v>8601</v>
      </c>
    </row>
    <row r="19" spans="1:2">
      <c r="A19" t="s">
        <v>6742</v>
      </c>
      <c r="B19" s="2541" t="s">
        <v>8506</v>
      </c>
    </row>
    <row r="20" spans="1:2">
      <c r="A20" t="s">
        <v>6743</v>
      </c>
      <c r="B20" s="2541" t="s">
        <v>8602</v>
      </c>
    </row>
    <row r="21" spans="1:2">
      <c r="A21" t="s">
        <v>6744</v>
      </c>
      <c r="B21" s="2541" t="s">
        <v>8507</v>
      </c>
    </row>
    <row r="22" spans="1:2">
      <c r="A22" t="s">
        <v>6745</v>
      </c>
      <c r="B22" s="2541" t="s">
        <v>8603</v>
      </c>
    </row>
    <row r="23" spans="1:2">
      <c r="A23" t="s">
        <v>6746</v>
      </c>
      <c r="B23" s="2541" t="s">
        <v>8508</v>
      </c>
    </row>
    <row r="24" spans="1:2">
      <c r="A24" t="s">
        <v>6747</v>
      </c>
      <c r="B24" s="2541" t="s">
        <v>8604</v>
      </c>
    </row>
    <row r="25" spans="1:2">
      <c r="A25" t="s">
        <v>6748</v>
      </c>
      <c r="B25" s="2541" t="s">
        <v>8509</v>
      </c>
    </row>
    <row r="26" spans="1:2">
      <c r="A26" t="s">
        <v>6749</v>
      </c>
      <c r="B26" s="2541" t="s">
        <v>8605</v>
      </c>
    </row>
    <row r="27" spans="1:2">
      <c r="A27" t="s">
        <v>6750</v>
      </c>
      <c r="B27" s="2541" t="s">
        <v>8510</v>
      </c>
    </row>
    <row r="28" spans="1:2">
      <c r="A28" t="s">
        <v>6751</v>
      </c>
      <c r="B28" s="2541" t="s">
        <v>8606</v>
      </c>
    </row>
    <row r="29" spans="1:2">
      <c r="A29" t="s">
        <v>6752</v>
      </c>
      <c r="B29" s="2541" t="s">
        <v>8511</v>
      </c>
    </row>
    <row r="30" spans="1:2">
      <c r="A30" t="s">
        <v>6753</v>
      </c>
      <c r="B30" s="2541" t="s">
        <v>8607</v>
      </c>
    </row>
    <row r="31" spans="1:2">
      <c r="A31" t="s">
        <v>6754</v>
      </c>
      <c r="B31" s="2541" t="s">
        <v>8512</v>
      </c>
    </row>
    <row r="32" spans="1:2">
      <c r="A32" t="s">
        <v>6755</v>
      </c>
      <c r="B32" s="2541" t="s">
        <v>8608</v>
      </c>
    </row>
    <row r="33" spans="1:2">
      <c r="A33" t="s">
        <v>6756</v>
      </c>
      <c r="B33" s="2541" t="s">
        <v>8513</v>
      </c>
    </row>
    <row r="34" spans="1:2">
      <c r="A34" t="s">
        <v>6757</v>
      </c>
      <c r="B34" s="2541" t="s">
        <v>8609</v>
      </c>
    </row>
    <row r="35" spans="1:2">
      <c r="A35" t="s">
        <v>6758</v>
      </c>
      <c r="B35" s="2541" t="s">
        <v>8514</v>
      </c>
    </row>
    <row r="36" spans="1:2">
      <c r="A36" t="s">
        <v>6759</v>
      </c>
      <c r="B36" s="2541" t="s">
        <v>8610</v>
      </c>
    </row>
    <row r="37" spans="1:2">
      <c r="A37" t="s">
        <v>6760</v>
      </c>
      <c r="B37" s="2541" t="s">
        <v>8515</v>
      </c>
    </row>
    <row r="38" spans="1:2">
      <c r="A38" t="s">
        <v>6761</v>
      </c>
      <c r="B38" s="2541" t="s">
        <v>8611</v>
      </c>
    </row>
    <row r="39" spans="1:2">
      <c r="A39" t="s">
        <v>6762</v>
      </c>
      <c r="B39" s="2541" t="s">
        <v>8516</v>
      </c>
    </row>
    <row r="40" spans="1:2">
      <c r="A40" t="s">
        <v>6763</v>
      </c>
      <c r="B40" s="2541" t="s">
        <v>8612</v>
      </c>
    </row>
    <row r="41" spans="1:2">
      <c r="A41" t="s">
        <v>6764</v>
      </c>
      <c r="B41" s="2541" t="s">
        <v>8517</v>
      </c>
    </row>
    <row r="42" spans="1:2">
      <c r="A42" t="s">
        <v>6765</v>
      </c>
      <c r="B42" s="2541" t="s">
        <v>8613</v>
      </c>
    </row>
    <row r="43" spans="1:2">
      <c r="A43" t="s">
        <v>6766</v>
      </c>
      <c r="B43" s="2541" t="s">
        <v>8518</v>
      </c>
    </row>
    <row r="44" spans="1:2">
      <c r="A44" t="s">
        <v>6767</v>
      </c>
      <c r="B44" s="2541" t="s">
        <v>8614</v>
      </c>
    </row>
    <row r="45" spans="1:2">
      <c r="A45" t="s">
        <v>6768</v>
      </c>
      <c r="B45" s="2541" t="s">
        <v>8519</v>
      </c>
    </row>
    <row r="46" spans="1:2">
      <c r="A46" t="s">
        <v>6769</v>
      </c>
      <c r="B46" s="2541" t="s">
        <v>8615</v>
      </c>
    </row>
    <row r="47" spans="1:2">
      <c r="A47" t="s">
        <v>6770</v>
      </c>
      <c r="B47" s="2541" t="s">
        <v>8520</v>
      </c>
    </row>
    <row r="48" spans="1:2">
      <c r="A48" t="s">
        <v>6771</v>
      </c>
      <c r="B48" s="2541" t="s">
        <v>8616</v>
      </c>
    </row>
    <row r="49" spans="1:4">
      <c r="A49" t="s">
        <v>6772</v>
      </c>
      <c r="B49" s="2541" t="s">
        <v>8521</v>
      </c>
    </row>
    <row r="50" spans="1:4">
      <c r="A50" t="s">
        <v>6773</v>
      </c>
      <c r="B50" s="2541" t="s">
        <v>8617</v>
      </c>
    </row>
    <row r="51" spans="1:4">
      <c r="A51" t="s">
        <v>6774</v>
      </c>
      <c r="B51" s="2541" t="s">
        <v>8522</v>
      </c>
    </row>
    <row r="52" spans="1:4">
      <c r="A52" t="s">
        <v>6775</v>
      </c>
      <c r="B52" s="2541" t="s">
        <v>8618</v>
      </c>
    </row>
    <row r="53" spans="1:4">
      <c r="A53" t="s">
        <v>8488</v>
      </c>
      <c r="B53" s="2541" t="s">
        <v>8523</v>
      </c>
    </row>
    <row r="54" spans="1:4">
      <c r="A54" t="s">
        <v>8489</v>
      </c>
      <c r="B54" s="2541" t="s">
        <v>8619</v>
      </c>
    </row>
    <row r="55" spans="1:4">
      <c r="A55" s="2542" t="s">
        <v>6776</v>
      </c>
      <c r="B55" s="2541" t="s">
        <v>8621</v>
      </c>
      <c r="C55" s="2567" t="s">
        <v>8623</v>
      </c>
      <c r="D55" s="2567" t="s">
        <v>8625</v>
      </c>
    </row>
    <row r="56" spans="1:4">
      <c r="A56" t="s">
        <v>6777</v>
      </c>
      <c r="B56" s="2541" t="s">
        <v>8594</v>
      </c>
    </row>
    <row r="57" spans="1:4">
      <c r="A57" t="s">
        <v>6778</v>
      </c>
      <c r="B57" s="2541" t="s">
        <v>8499</v>
      </c>
    </row>
    <row r="58" spans="1:4">
      <c r="A58" t="s">
        <v>6779</v>
      </c>
      <c r="B58" s="2541" t="s">
        <v>8595</v>
      </c>
    </row>
    <row r="59" spans="1:4">
      <c r="A59" t="s">
        <v>6780</v>
      </c>
      <c r="B59" s="2541" t="s">
        <v>8500</v>
      </c>
    </row>
    <row r="60" spans="1:4">
      <c r="A60" t="s">
        <v>6781</v>
      </c>
      <c r="B60" s="2541" t="s">
        <v>8596</v>
      </c>
    </row>
    <row r="61" spans="1:4">
      <c r="A61" t="s">
        <v>6782</v>
      </c>
      <c r="B61" s="2541" t="s">
        <v>8501</v>
      </c>
    </row>
    <row r="62" spans="1:4">
      <c r="A62" t="s">
        <v>6783</v>
      </c>
      <c r="B62" s="2541" t="s">
        <v>8597</v>
      </c>
    </row>
    <row r="63" spans="1:4">
      <c r="A63" t="s">
        <v>6784</v>
      </c>
      <c r="B63" s="2541" t="s">
        <v>8502</v>
      </c>
    </row>
    <row r="64" spans="1:4">
      <c r="A64" t="s">
        <v>6785</v>
      </c>
      <c r="B64" s="2541" t="s">
        <v>8598</v>
      </c>
    </row>
    <row r="65" spans="1:2">
      <c r="A65" t="s">
        <v>6786</v>
      </c>
      <c r="B65" s="2541" t="s">
        <v>8503</v>
      </c>
    </row>
    <row r="66" spans="1:2">
      <c r="A66" t="s">
        <v>6787</v>
      </c>
      <c r="B66" s="2541" t="s">
        <v>8599</v>
      </c>
    </row>
    <row r="67" spans="1:2">
      <c r="A67" t="s">
        <v>6788</v>
      </c>
      <c r="B67" s="2541" t="s">
        <v>8504</v>
      </c>
    </row>
    <row r="68" spans="1:2">
      <c r="A68" t="s">
        <v>6789</v>
      </c>
      <c r="B68" s="2541" t="s">
        <v>8600</v>
      </c>
    </row>
    <row r="69" spans="1:2">
      <c r="A69" t="s">
        <v>6790</v>
      </c>
      <c r="B69" s="2541" t="s">
        <v>8505</v>
      </c>
    </row>
    <row r="70" spans="1:2">
      <c r="A70" t="s">
        <v>6791</v>
      </c>
      <c r="B70" s="2541" t="s">
        <v>8601</v>
      </c>
    </row>
    <row r="71" spans="1:2">
      <c r="A71" t="s">
        <v>6792</v>
      </c>
      <c r="B71" s="2541" t="s">
        <v>8506</v>
      </c>
    </row>
    <row r="72" spans="1:2">
      <c r="A72" t="s">
        <v>6793</v>
      </c>
      <c r="B72" s="2541" t="s">
        <v>8602</v>
      </c>
    </row>
    <row r="73" spans="1:2">
      <c r="A73" t="s">
        <v>6794</v>
      </c>
      <c r="B73" s="2541" t="s">
        <v>8507</v>
      </c>
    </row>
    <row r="74" spans="1:2">
      <c r="A74" t="s">
        <v>6795</v>
      </c>
      <c r="B74" s="2541" t="s">
        <v>8603</v>
      </c>
    </row>
    <row r="75" spans="1:2">
      <c r="A75" t="s">
        <v>6796</v>
      </c>
      <c r="B75" s="2541" t="s">
        <v>8508</v>
      </c>
    </row>
    <row r="76" spans="1:2">
      <c r="A76" t="s">
        <v>6797</v>
      </c>
      <c r="B76" s="2541" t="s">
        <v>8604</v>
      </c>
    </row>
    <row r="77" spans="1:2">
      <c r="A77" t="s">
        <v>6798</v>
      </c>
      <c r="B77" s="2541" t="s">
        <v>8509</v>
      </c>
    </row>
    <row r="78" spans="1:2">
      <c r="A78" t="s">
        <v>6799</v>
      </c>
      <c r="B78" s="2541" t="s">
        <v>8605</v>
      </c>
    </row>
    <row r="79" spans="1:2">
      <c r="A79" t="s">
        <v>6800</v>
      </c>
      <c r="B79" s="2541" t="s">
        <v>8510</v>
      </c>
    </row>
    <row r="80" spans="1:2">
      <c r="A80" t="s">
        <v>6801</v>
      </c>
      <c r="B80" s="2541" t="s">
        <v>8606</v>
      </c>
    </row>
    <row r="81" spans="1:2">
      <c r="A81" t="s">
        <v>6802</v>
      </c>
      <c r="B81" s="2541" t="s">
        <v>8511</v>
      </c>
    </row>
    <row r="82" spans="1:2">
      <c r="A82" t="s">
        <v>6803</v>
      </c>
      <c r="B82" s="2541" t="s">
        <v>8607</v>
      </c>
    </row>
    <row r="83" spans="1:2">
      <c r="A83" t="s">
        <v>6804</v>
      </c>
      <c r="B83" s="2541" t="s">
        <v>8512</v>
      </c>
    </row>
    <row r="84" spans="1:2">
      <c r="A84" t="s">
        <v>6805</v>
      </c>
      <c r="B84" s="2541" t="s">
        <v>8608</v>
      </c>
    </row>
    <row r="85" spans="1:2">
      <c r="A85" t="s">
        <v>6806</v>
      </c>
      <c r="B85" s="2541" t="s">
        <v>8513</v>
      </c>
    </row>
    <row r="86" spans="1:2">
      <c r="A86" t="s">
        <v>6807</v>
      </c>
      <c r="B86" s="2541" t="s">
        <v>8609</v>
      </c>
    </row>
    <row r="87" spans="1:2">
      <c r="A87" t="s">
        <v>6808</v>
      </c>
      <c r="B87" s="2541" t="s">
        <v>8514</v>
      </c>
    </row>
    <row r="88" spans="1:2">
      <c r="A88" t="s">
        <v>6809</v>
      </c>
      <c r="B88" s="2541" t="s">
        <v>8610</v>
      </c>
    </row>
    <row r="89" spans="1:2">
      <c r="A89" t="s">
        <v>6810</v>
      </c>
      <c r="B89" s="2541" t="s">
        <v>8515</v>
      </c>
    </row>
    <row r="90" spans="1:2">
      <c r="A90" t="s">
        <v>6811</v>
      </c>
      <c r="B90" s="2541" t="s">
        <v>8611</v>
      </c>
    </row>
    <row r="91" spans="1:2">
      <c r="A91" t="s">
        <v>6812</v>
      </c>
      <c r="B91" s="2541" t="s">
        <v>8516</v>
      </c>
    </row>
    <row r="92" spans="1:2">
      <c r="A92" t="s">
        <v>6813</v>
      </c>
      <c r="B92" s="2541" t="s">
        <v>8612</v>
      </c>
    </row>
    <row r="93" spans="1:2">
      <c r="A93" t="s">
        <v>6814</v>
      </c>
      <c r="B93" s="2541" t="s">
        <v>8517</v>
      </c>
    </row>
    <row r="94" spans="1:2">
      <c r="A94" t="s">
        <v>6815</v>
      </c>
      <c r="B94" s="2541" t="s">
        <v>8613</v>
      </c>
    </row>
    <row r="95" spans="1:2">
      <c r="A95" t="s">
        <v>6816</v>
      </c>
      <c r="B95" s="2541" t="s">
        <v>8518</v>
      </c>
    </row>
    <row r="96" spans="1:2">
      <c r="A96" t="s">
        <v>6817</v>
      </c>
      <c r="B96" s="2541" t="s">
        <v>8614</v>
      </c>
    </row>
    <row r="97" spans="1:4">
      <c r="A97" t="s">
        <v>6818</v>
      </c>
      <c r="B97" s="2541" t="s">
        <v>8519</v>
      </c>
    </row>
    <row r="98" spans="1:4">
      <c r="A98" t="s">
        <v>6819</v>
      </c>
      <c r="B98" s="2541" t="s">
        <v>8615</v>
      </c>
    </row>
    <row r="99" spans="1:4">
      <c r="A99" t="s">
        <v>6820</v>
      </c>
      <c r="B99" s="2541" t="s">
        <v>8520</v>
      </c>
    </row>
    <row r="100" spans="1:4">
      <c r="A100" t="s">
        <v>6821</v>
      </c>
      <c r="B100" s="2541" t="s">
        <v>8616</v>
      </c>
    </row>
    <row r="101" spans="1:4">
      <c r="A101" t="s">
        <v>6822</v>
      </c>
      <c r="B101" s="2541" t="s">
        <v>8521</v>
      </c>
    </row>
    <row r="102" spans="1:4">
      <c r="A102" t="s">
        <v>6823</v>
      </c>
      <c r="B102" s="2541" t="s">
        <v>8617</v>
      </c>
    </row>
    <row r="103" spans="1:4">
      <c r="A103" t="s">
        <v>6824</v>
      </c>
      <c r="B103" s="2541" t="s">
        <v>8522</v>
      </c>
    </row>
    <row r="104" spans="1:4">
      <c r="A104" t="s">
        <v>6825</v>
      </c>
      <c r="B104" s="2541" t="s">
        <v>8618</v>
      </c>
    </row>
    <row r="105" spans="1:4">
      <c r="A105" t="s">
        <v>8494</v>
      </c>
      <c r="B105" s="2541" t="s">
        <v>8523</v>
      </c>
    </row>
    <row r="106" spans="1:4">
      <c r="A106" t="s">
        <v>8495</v>
      </c>
      <c r="B106" s="2541" t="s">
        <v>8619</v>
      </c>
    </row>
    <row r="107" spans="1:4">
      <c r="A107" s="2542" t="s">
        <v>6826</v>
      </c>
      <c r="B107" s="2541" t="s">
        <v>8621</v>
      </c>
      <c r="C107" s="2567" t="s">
        <v>8623</v>
      </c>
      <c r="D107" s="2567" t="s">
        <v>8625</v>
      </c>
    </row>
    <row r="108" spans="1:4">
      <c r="A108" t="s">
        <v>6827</v>
      </c>
      <c r="B108" s="2541" t="s">
        <v>8594</v>
      </c>
    </row>
    <row r="109" spans="1:4">
      <c r="A109" t="s">
        <v>6828</v>
      </c>
      <c r="B109" s="2541" t="s">
        <v>8499</v>
      </c>
    </row>
    <row r="110" spans="1:4">
      <c r="A110" t="s">
        <v>6829</v>
      </c>
      <c r="B110" s="2541" t="s">
        <v>8595</v>
      </c>
    </row>
    <row r="111" spans="1:4">
      <c r="A111" t="s">
        <v>6830</v>
      </c>
      <c r="B111" s="2541" t="s">
        <v>8500</v>
      </c>
    </row>
    <row r="112" spans="1:4">
      <c r="A112" t="s">
        <v>6831</v>
      </c>
      <c r="B112" s="2541" t="s">
        <v>8596</v>
      </c>
    </row>
    <row r="113" spans="1:2">
      <c r="A113" t="s">
        <v>6832</v>
      </c>
      <c r="B113" s="2541" t="s">
        <v>8501</v>
      </c>
    </row>
    <row r="114" spans="1:2">
      <c r="A114" t="s">
        <v>6833</v>
      </c>
      <c r="B114" s="2541" t="s">
        <v>8597</v>
      </c>
    </row>
    <row r="115" spans="1:2">
      <c r="A115" t="s">
        <v>6834</v>
      </c>
      <c r="B115" s="2541" t="s">
        <v>8502</v>
      </c>
    </row>
    <row r="116" spans="1:2">
      <c r="A116" t="s">
        <v>6835</v>
      </c>
      <c r="B116" s="2541" t="s">
        <v>8598</v>
      </c>
    </row>
    <row r="117" spans="1:2">
      <c r="A117" t="s">
        <v>6836</v>
      </c>
      <c r="B117" s="2541" t="s">
        <v>8503</v>
      </c>
    </row>
    <row r="118" spans="1:2">
      <c r="A118" t="s">
        <v>6837</v>
      </c>
      <c r="B118" s="2541" t="s">
        <v>8599</v>
      </c>
    </row>
    <row r="119" spans="1:2">
      <c r="A119" t="s">
        <v>6838</v>
      </c>
      <c r="B119" s="2541" t="s">
        <v>8504</v>
      </c>
    </row>
    <row r="120" spans="1:2">
      <c r="A120" t="s">
        <v>6839</v>
      </c>
      <c r="B120" s="2541" t="s">
        <v>8600</v>
      </c>
    </row>
    <row r="121" spans="1:2">
      <c r="A121" t="s">
        <v>6840</v>
      </c>
      <c r="B121" s="2541" t="s">
        <v>8505</v>
      </c>
    </row>
    <row r="122" spans="1:2">
      <c r="A122" t="s">
        <v>6841</v>
      </c>
      <c r="B122" s="2541" t="s">
        <v>8601</v>
      </c>
    </row>
    <row r="123" spans="1:2">
      <c r="A123" t="s">
        <v>6842</v>
      </c>
      <c r="B123" s="2541" t="s">
        <v>8506</v>
      </c>
    </row>
    <row r="124" spans="1:2">
      <c r="A124" t="s">
        <v>6843</v>
      </c>
      <c r="B124" s="2541" t="s">
        <v>8602</v>
      </c>
    </row>
    <row r="125" spans="1:2">
      <c r="A125" t="s">
        <v>6844</v>
      </c>
      <c r="B125" s="2541" t="s">
        <v>8507</v>
      </c>
    </row>
    <row r="126" spans="1:2">
      <c r="A126" t="s">
        <v>6845</v>
      </c>
      <c r="B126" s="2541" t="s">
        <v>8603</v>
      </c>
    </row>
    <row r="127" spans="1:2">
      <c r="A127" t="s">
        <v>6846</v>
      </c>
      <c r="B127" s="2541" t="s">
        <v>8508</v>
      </c>
    </row>
    <row r="128" spans="1:2">
      <c r="A128" t="s">
        <v>6847</v>
      </c>
      <c r="B128" s="2541" t="s">
        <v>8604</v>
      </c>
    </row>
    <row r="129" spans="1:2">
      <c r="A129" t="s">
        <v>6848</v>
      </c>
      <c r="B129" s="2541" t="s">
        <v>8509</v>
      </c>
    </row>
    <row r="130" spans="1:2">
      <c r="A130" t="s">
        <v>6849</v>
      </c>
      <c r="B130" s="2541" t="s">
        <v>8605</v>
      </c>
    </row>
    <row r="131" spans="1:2">
      <c r="A131" t="s">
        <v>6850</v>
      </c>
      <c r="B131" s="2541" t="s">
        <v>8510</v>
      </c>
    </row>
    <row r="132" spans="1:2">
      <c r="A132" t="s">
        <v>6851</v>
      </c>
      <c r="B132" s="2541" t="s">
        <v>8606</v>
      </c>
    </row>
    <row r="133" spans="1:2">
      <c r="A133" t="s">
        <v>6852</v>
      </c>
      <c r="B133" s="2541" t="s">
        <v>8511</v>
      </c>
    </row>
    <row r="134" spans="1:2">
      <c r="A134" t="s">
        <v>6853</v>
      </c>
      <c r="B134" s="2541" t="s">
        <v>8607</v>
      </c>
    </row>
    <row r="135" spans="1:2">
      <c r="A135" t="s">
        <v>6854</v>
      </c>
      <c r="B135" s="2541" t="s">
        <v>8512</v>
      </c>
    </row>
    <row r="136" spans="1:2">
      <c r="A136" t="s">
        <v>6855</v>
      </c>
      <c r="B136" s="2541" t="s">
        <v>8608</v>
      </c>
    </row>
    <row r="137" spans="1:2">
      <c r="A137" t="s">
        <v>6856</v>
      </c>
      <c r="B137" s="2541" t="s">
        <v>8513</v>
      </c>
    </row>
    <row r="138" spans="1:2">
      <c r="A138" t="s">
        <v>6857</v>
      </c>
      <c r="B138" s="2541" t="s">
        <v>8609</v>
      </c>
    </row>
    <row r="139" spans="1:2">
      <c r="A139" t="s">
        <v>6858</v>
      </c>
      <c r="B139" s="2541" t="s">
        <v>8514</v>
      </c>
    </row>
    <row r="140" spans="1:2">
      <c r="A140" t="s">
        <v>6859</v>
      </c>
      <c r="B140" s="2541" t="s">
        <v>8610</v>
      </c>
    </row>
    <row r="141" spans="1:2">
      <c r="A141" t="s">
        <v>6860</v>
      </c>
      <c r="B141" s="2541" t="s">
        <v>8515</v>
      </c>
    </row>
    <row r="142" spans="1:2">
      <c r="A142" t="s">
        <v>6861</v>
      </c>
      <c r="B142" s="2541" t="s">
        <v>8611</v>
      </c>
    </row>
    <row r="143" spans="1:2">
      <c r="A143" t="s">
        <v>6862</v>
      </c>
      <c r="B143" s="2541" t="s">
        <v>8516</v>
      </c>
    </row>
    <row r="144" spans="1:2">
      <c r="A144" t="s">
        <v>6863</v>
      </c>
      <c r="B144" s="2541" t="s">
        <v>8612</v>
      </c>
    </row>
    <row r="145" spans="1:4">
      <c r="A145" t="s">
        <v>6864</v>
      </c>
      <c r="B145" s="2541" t="s">
        <v>8517</v>
      </c>
    </row>
    <row r="146" spans="1:4">
      <c r="A146" t="s">
        <v>6865</v>
      </c>
      <c r="B146" s="2541" t="s">
        <v>8613</v>
      </c>
    </row>
    <row r="147" spans="1:4">
      <c r="A147" t="s">
        <v>6866</v>
      </c>
      <c r="B147" s="2541" t="s">
        <v>8518</v>
      </c>
    </row>
    <row r="148" spans="1:4">
      <c r="A148" t="s">
        <v>6867</v>
      </c>
      <c r="B148" s="2541" t="s">
        <v>8614</v>
      </c>
    </row>
    <row r="149" spans="1:4">
      <c r="A149" t="s">
        <v>6868</v>
      </c>
      <c r="B149" s="2541" t="s">
        <v>8519</v>
      </c>
    </row>
    <row r="150" spans="1:4">
      <c r="A150" t="s">
        <v>6869</v>
      </c>
      <c r="B150" s="2541" t="s">
        <v>8615</v>
      </c>
    </row>
    <row r="151" spans="1:4">
      <c r="A151" t="s">
        <v>6870</v>
      </c>
      <c r="B151" s="2541" t="s">
        <v>8520</v>
      </c>
    </row>
    <row r="152" spans="1:4">
      <c r="A152" t="s">
        <v>6871</v>
      </c>
      <c r="B152" s="2541" t="s">
        <v>8616</v>
      </c>
    </row>
    <row r="153" spans="1:4">
      <c r="A153" t="s">
        <v>6872</v>
      </c>
      <c r="B153" s="2541" t="s">
        <v>8521</v>
      </c>
    </row>
    <row r="154" spans="1:4">
      <c r="A154" t="s">
        <v>6873</v>
      </c>
      <c r="B154" s="2541" t="s">
        <v>8617</v>
      </c>
    </row>
    <row r="155" spans="1:4">
      <c r="A155" t="s">
        <v>6874</v>
      </c>
      <c r="B155" s="2541" t="s">
        <v>8522</v>
      </c>
    </row>
    <row r="156" spans="1:4">
      <c r="A156" t="s">
        <v>6875</v>
      </c>
      <c r="B156" s="2541" t="s">
        <v>8618</v>
      </c>
    </row>
    <row r="157" spans="1:4">
      <c r="A157" t="s">
        <v>8492</v>
      </c>
      <c r="B157" s="2541" t="s">
        <v>8523</v>
      </c>
    </row>
    <row r="158" spans="1:4">
      <c r="A158" t="s">
        <v>8493</v>
      </c>
      <c r="B158" s="2541" t="s">
        <v>8619</v>
      </c>
    </row>
    <row r="159" spans="1:4">
      <c r="A159" s="2542" t="s">
        <v>6876</v>
      </c>
      <c r="B159" s="2541" t="s">
        <v>8621</v>
      </c>
      <c r="C159" s="2567" t="s">
        <v>8623</v>
      </c>
      <c r="D159" s="2567" t="s">
        <v>8625</v>
      </c>
    </row>
    <row r="160" spans="1:4">
      <c r="A160" t="s">
        <v>6877</v>
      </c>
      <c r="B160" s="2541" t="s">
        <v>8594</v>
      </c>
    </row>
    <row r="161" spans="1:2">
      <c r="A161" t="s">
        <v>6878</v>
      </c>
      <c r="B161" s="2541" t="s">
        <v>8499</v>
      </c>
    </row>
    <row r="162" spans="1:2">
      <c r="A162" t="s">
        <v>6879</v>
      </c>
      <c r="B162" s="2541" t="s">
        <v>8595</v>
      </c>
    </row>
    <row r="163" spans="1:2">
      <c r="A163" t="s">
        <v>6880</v>
      </c>
      <c r="B163" s="2541" t="s">
        <v>8500</v>
      </c>
    </row>
    <row r="164" spans="1:2">
      <c r="A164" t="s">
        <v>6881</v>
      </c>
      <c r="B164" s="2541" t="s">
        <v>8596</v>
      </c>
    </row>
    <row r="165" spans="1:2">
      <c r="A165" t="s">
        <v>6882</v>
      </c>
      <c r="B165" s="2541" t="s">
        <v>8501</v>
      </c>
    </row>
    <row r="166" spans="1:2">
      <c r="A166" t="s">
        <v>6883</v>
      </c>
      <c r="B166" s="2541" t="s">
        <v>8597</v>
      </c>
    </row>
    <row r="167" spans="1:2">
      <c r="A167" t="s">
        <v>6884</v>
      </c>
      <c r="B167" s="2541" t="s">
        <v>8502</v>
      </c>
    </row>
    <row r="168" spans="1:2">
      <c r="A168" t="s">
        <v>6885</v>
      </c>
      <c r="B168" s="2541" t="s">
        <v>8598</v>
      </c>
    </row>
    <row r="169" spans="1:2">
      <c r="A169" t="s">
        <v>6886</v>
      </c>
      <c r="B169" s="2541" t="s">
        <v>8503</v>
      </c>
    </row>
    <row r="170" spans="1:2">
      <c r="A170" t="s">
        <v>6887</v>
      </c>
      <c r="B170" s="2541" t="s">
        <v>8599</v>
      </c>
    </row>
    <row r="171" spans="1:2">
      <c r="A171" t="s">
        <v>6888</v>
      </c>
      <c r="B171" s="2541" t="s">
        <v>8504</v>
      </c>
    </row>
    <row r="172" spans="1:2">
      <c r="A172" t="s">
        <v>6889</v>
      </c>
      <c r="B172" s="2541" t="s">
        <v>8600</v>
      </c>
    </row>
    <row r="173" spans="1:2">
      <c r="A173" t="s">
        <v>6890</v>
      </c>
      <c r="B173" s="2541" t="s">
        <v>8505</v>
      </c>
    </row>
    <row r="174" spans="1:2">
      <c r="A174" t="s">
        <v>6891</v>
      </c>
      <c r="B174" s="2541" t="s">
        <v>8601</v>
      </c>
    </row>
    <row r="175" spans="1:2">
      <c r="A175" t="s">
        <v>6892</v>
      </c>
      <c r="B175" s="2541" t="s">
        <v>8506</v>
      </c>
    </row>
    <row r="176" spans="1:2">
      <c r="A176" t="s">
        <v>6893</v>
      </c>
      <c r="B176" s="2541" t="s">
        <v>8602</v>
      </c>
    </row>
    <row r="177" spans="1:2">
      <c r="A177" t="s">
        <v>6894</v>
      </c>
      <c r="B177" s="2541" t="s">
        <v>8507</v>
      </c>
    </row>
    <row r="178" spans="1:2">
      <c r="A178" t="s">
        <v>6895</v>
      </c>
      <c r="B178" s="2541" t="s">
        <v>8603</v>
      </c>
    </row>
    <row r="179" spans="1:2">
      <c r="A179" t="s">
        <v>6896</v>
      </c>
      <c r="B179" s="2541" t="s">
        <v>8508</v>
      </c>
    </row>
    <row r="180" spans="1:2">
      <c r="A180" t="s">
        <v>6897</v>
      </c>
      <c r="B180" s="2541" t="s">
        <v>8604</v>
      </c>
    </row>
    <row r="181" spans="1:2">
      <c r="A181" t="s">
        <v>6898</v>
      </c>
      <c r="B181" s="2541" t="s">
        <v>8509</v>
      </c>
    </row>
    <row r="182" spans="1:2">
      <c r="A182" t="s">
        <v>6899</v>
      </c>
      <c r="B182" s="2541" t="s">
        <v>8605</v>
      </c>
    </row>
    <row r="183" spans="1:2">
      <c r="A183" t="s">
        <v>6900</v>
      </c>
      <c r="B183" s="2541" t="s">
        <v>8510</v>
      </c>
    </row>
    <row r="184" spans="1:2">
      <c r="A184" t="s">
        <v>6901</v>
      </c>
      <c r="B184" s="2541" t="s">
        <v>8606</v>
      </c>
    </row>
    <row r="185" spans="1:2">
      <c r="A185" t="s">
        <v>6902</v>
      </c>
      <c r="B185" s="2541" t="s">
        <v>8511</v>
      </c>
    </row>
    <row r="186" spans="1:2">
      <c r="A186" t="s">
        <v>6903</v>
      </c>
      <c r="B186" s="2541" t="s">
        <v>8607</v>
      </c>
    </row>
    <row r="187" spans="1:2">
      <c r="A187" t="s">
        <v>6904</v>
      </c>
      <c r="B187" s="2541" t="s">
        <v>8512</v>
      </c>
    </row>
    <row r="188" spans="1:2">
      <c r="A188" t="s">
        <v>6905</v>
      </c>
      <c r="B188" s="2541" t="s">
        <v>8608</v>
      </c>
    </row>
    <row r="189" spans="1:2">
      <c r="A189" t="s">
        <v>6906</v>
      </c>
      <c r="B189" s="2541" t="s">
        <v>8513</v>
      </c>
    </row>
    <row r="190" spans="1:2">
      <c r="A190" t="s">
        <v>6907</v>
      </c>
      <c r="B190" s="2541" t="s">
        <v>8609</v>
      </c>
    </row>
    <row r="191" spans="1:2">
      <c r="A191" t="s">
        <v>6908</v>
      </c>
      <c r="B191" s="2541" t="s">
        <v>8514</v>
      </c>
    </row>
    <row r="192" spans="1:2">
      <c r="A192" t="s">
        <v>6909</v>
      </c>
      <c r="B192" s="2541" t="s">
        <v>8610</v>
      </c>
    </row>
    <row r="193" spans="1:2">
      <c r="A193" t="s">
        <v>6910</v>
      </c>
      <c r="B193" s="2541" t="s">
        <v>8515</v>
      </c>
    </row>
    <row r="194" spans="1:2">
      <c r="A194" t="s">
        <v>6911</v>
      </c>
      <c r="B194" s="2541" t="s">
        <v>8611</v>
      </c>
    </row>
    <row r="195" spans="1:2">
      <c r="A195" t="s">
        <v>6912</v>
      </c>
      <c r="B195" s="2541" t="s">
        <v>8516</v>
      </c>
    </row>
    <row r="196" spans="1:2">
      <c r="A196" t="s">
        <v>6913</v>
      </c>
      <c r="B196" s="2541" t="s">
        <v>8612</v>
      </c>
    </row>
    <row r="197" spans="1:2">
      <c r="A197" t="s">
        <v>6914</v>
      </c>
      <c r="B197" s="2541" t="s">
        <v>8517</v>
      </c>
    </row>
    <row r="198" spans="1:2">
      <c r="A198" t="s">
        <v>6915</v>
      </c>
      <c r="B198" s="2541" t="s">
        <v>8613</v>
      </c>
    </row>
    <row r="199" spans="1:2">
      <c r="A199" t="s">
        <v>6916</v>
      </c>
      <c r="B199" s="2541" t="s">
        <v>8518</v>
      </c>
    </row>
    <row r="200" spans="1:2">
      <c r="A200" t="s">
        <v>6917</v>
      </c>
      <c r="B200" s="2541" t="s">
        <v>8614</v>
      </c>
    </row>
    <row r="201" spans="1:2">
      <c r="A201" t="s">
        <v>6918</v>
      </c>
      <c r="B201" s="2541" t="s">
        <v>8519</v>
      </c>
    </row>
    <row r="202" spans="1:2">
      <c r="A202" t="s">
        <v>6919</v>
      </c>
      <c r="B202" s="2541" t="s">
        <v>8615</v>
      </c>
    </row>
    <row r="203" spans="1:2">
      <c r="A203" t="s">
        <v>6920</v>
      </c>
      <c r="B203" s="2541" t="s">
        <v>8520</v>
      </c>
    </row>
    <row r="204" spans="1:2">
      <c r="A204" t="s">
        <v>6921</v>
      </c>
      <c r="B204" s="2541" t="s">
        <v>8616</v>
      </c>
    </row>
    <row r="205" spans="1:2">
      <c r="A205" t="s">
        <v>6922</v>
      </c>
      <c r="B205" s="2541" t="s">
        <v>8521</v>
      </c>
    </row>
    <row r="206" spans="1:2">
      <c r="A206" t="s">
        <v>6923</v>
      </c>
      <c r="B206" s="2541" t="s">
        <v>8617</v>
      </c>
    </row>
    <row r="207" spans="1:2">
      <c r="A207" t="s">
        <v>6924</v>
      </c>
      <c r="B207" s="2541" t="s">
        <v>8522</v>
      </c>
    </row>
    <row r="208" spans="1:2">
      <c r="A208" t="s">
        <v>6925</v>
      </c>
      <c r="B208" s="2541" t="s">
        <v>8618</v>
      </c>
    </row>
    <row r="209" spans="1:2">
      <c r="A209" t="s">
        <v>8490</v>
      </c>
      <c r="B209" s="2541" t="s">
        <v>8523</v>
      </c>
    </row>
    <row r="210" spans="1:2">
      <c r="A210" t="s">
        <v>8491</v>
      </c>
      <c r="B210" s="2541" t="s">
        <v>8619</v>
      </c>
    </row>
    <row r="211" spans="1:2">
      <c r="A211" s="2542" t="s">
        <v>6926</v>
      </c>
      <c r="B211" s="2541" t="s">
        <v>8497</v>
      </c>
    </row>
    <row r="212" spans="1:2">
      <c r="A212" t="s">
        <v>6927</v>
      </c>
      <c r="B212" s="2541" t="s">
        <v>8499</v>
      </c>
    </row>
    <row r="213" spans="1:2">
      <c r="A213" t="s">
        <v>6928</v>
      </c>
      <c r="B213" s="2541" t="s">
        <v>8500</v>
      </c>
    </row>
    <row r="214" spans="1:2">
      <c r="A214" t="s">
        <v>6929</v>
      </c>
      <c r="B214" s="2541" t="s">
        <v>8501</v>
      </c>
    </row>
    <row r="215" spans="1:2">
      <c r="A215" t="s">
        <v>6930</v>
      </c>
      <c r="B215" s="2541" t="s">
        <v>8502</v>
      </c>
    </row>
    <row r="216" spans="1:2">
      <c r="A216" t="s">
        <v>6931</v>
      </c>
      <c r="B216" s="2541" t="s">
        <v>8503</v>
      </c>
    </row>
    <row r="217" spans="1:2">
      <c r="A217" t="s">
        <v>6932</v>
      </c>
      <c r="B217" s="2541" t="s">
        <v>8504</v>
      </c>
    </row>
    <row r="218" spans="1:2">
      <c r="A218" t="s">
        <v>6933</v>
      </c>
      <c r="B218" s="2541" t="s">
        <v>8505</v>
      </c>
    </row>
    <row r="219" spans="1:2">
      <c r="A219" t="s">
        <v>6934</v>
      </c>
      <c r="B219" s="2541" t="s">
        <v>8506</v>
      </c>
    </row>
    <row r="220" spans="1:2">
      <c r="A220" t="s">
        <v>6935</v>
      </c>
      <c r="B220" s="2541" t="s">
        <v>8507</v>
      </c>
    </row>
    <row r="221" spans="1:2">
      <c r="A221" t="s">
        <v>6936</v>
      </c>
      <c r="B221" s="2541" t="s">
        <v>8508</v>
      </c>
    </row>
    <row r="222" spans="1:2">
      <c r="A222" t="s">
        <v>6937</v>
      </c>
      <c r="B222" s="2541" t="s">
        <v>8509</v>
      </c>
    </row>
    <row r="223" spans="1:2">
      <c r="A223" t="s">
        <v>6938</v>
      </c>
      <c r="B223" s="2541" t="s">
        <v>8510</v>
      </c>
    </row>
    <row r="224" spans="1:2">
      <c r="A224" t="s">
        <v>6939</v>
      </c>
      <c r="B224" s="2541" t="s">
        <v>8511</v>
      </c>
    </row>
    <row r="225" spans="1:2">
      <c r="A225" t="s">
        <v>6940</v>
      </c>
      <c r="B225" s="2541" t="s">
        <v>8512</v>
      </c>
    </row>
    <row r="226" spans="1:2">
      <c r="A226" t="s">
        <v>6941</v>
      </c>
      <c r="B226" s="2541" t="s">
        <v>8513</v>
      </c>
    </row>
    <row r="227" spans="1:2">
      <c r="A227" t="s">
        <v>6942</v>
      </c>
      <c r="B227" s="2541" t="s">
        <v>8514</v>
      </c>
    </row>
    <row r="228" spans="1:2">
      <c r="A228" t="s">
        <v>6943</v>
      </c>
      <c r="B228" s="2541" t="s">
        <v>8515</v>
      </c>
    </row>
    <row r="229" spans="1:2">
      <c r="A229" t="s">
        <v>6944</v>
      </c>
      <c r="B229" s="2541" t="s">
        <v>8516</v>
      </c>
    </row>
    <row r="230" spans="1:2">
      <c r="A230" t="s">
        <v>6945</v>
      </c>
      <c r="B230" s="2541" t="s">
        <v>8517</v>
      </c>
    </row>
    <row r="231" spans="1:2">
      <c r="A231" t="s">
        <v>6946</v>
      </c>
      <c r="B231" s="2541" t="s">
        <v>8518</v>
      </c>
    </row>
    <row r="232" spans="1:2">
      <c r="A232" t="s">
        <v>6947</v>
      </c>
      <c r="B232" s="2541" t="s">
        <v>8519</v>
      </c>
    </row>
    <row r="233" spans="1:2">
      <c r="A233" t="s">
        <v>6948</v>
      </c>
      <c r="B233" s="2541" t="s">
        <v>8520</v>
      </c>
    </row>
    <row r="234" spans="1:2">
      <c r="A234" t="s">
        <v>6949</v>
      </c>
      <c r="B234" s="2541" t="s">
        <v>8521</v>
      </c>
    </row>
    <row r="235" spans="1:2">
      <c r="A235" t="s">
        <v>6950</v>
      </c>
      <c r="B235" s="2541" t="s">
        <v>8522</v>
      </c>
    </row>
    <row r="236" spans="1:2">
      <c r="A236" t="s">
        <v>6951</v>
      </c>
      <c r="B236" s="2541" t="s">
        <v>8523</v>
      </c>
    </row>
    <row r="237" spans="1:2">
      <c r="A237" t="s">
        <v>6952</v>
      </c>
      <c r="B237" s="2541" t="s">
        <v>8524</v>
      </c>
    </row>
    <row r="238" spans="1:2">
      <c r="A238" t="s">
        <v>6953</v>
      </c>
      <c r="B238" s="2541" t="s">
        <v>8525</v>
      </c>
    </row>
    <row r="239" spans="1:2">
      <c r="A239" t="s">
        <v>6954</v>
      </c>
      <c r="B239" s="2541" t="s">
        <v>8526</v>
      </c>
    </row>
    <row r="240" spans="1:2">
      <c r="A240" t="s">
        <v>6955</v>
      </c>
      <c r="B240" s="2541" t="s">
        <v>8527</v>
      </c>
    </row>
    <row r="241" spans="1:2">
      <c r="A241" t="s">
        <v>6956</v>
      </c>
      <c r="B241" s="2541" t="s">
        <v>8528</v>
      </c>
    </row>
    <row r="242" spans="1:2">
      <c r="A242" t="s">
        <v>6957</v>
      </c>
      <c r="B242" s="2541" t="s">
        <v>8529</v>
      </c>
    </row>
    <row r="243" spans="1:2">
      <c r="A243" t="s">
        <v>6958</v>
      </c>
      <c r="B243" s="2541" t="s">
        <v>8530</v>
      </c>
    </row>
    <row r="244" spans="1:2">
      <c r="A244" t="s">
        <v>6959</v>
      </c>
      <c r="B244" s="2541" t="s">
        <v>8531</v>
      </c>
    </row>
    <row r="245" spans="1:2">
      <c r="A245" t="s">
        <v>6960</v>
      </c>
      <c r="B245" s="2541" t="s">
        <v>8532</v>
      </c>
    </row>
    <row r="246" spans="1:2">
      <c r="A246" t="s">
        <v>6961</v>
      </c>
      <c r="B246" s="2541" t="s">
        <v>8533</v>
      </c>
    </row>
    <row r="247" spans="1:2">
      <c r="A247" t="s">
        <v>6962</v>
      </c>
      <c r="B247" s="2541" t="s">
        <v>8534</v>
      </c>
    </row>
    <row r="248" spans="1:2">
      <c r="A248" t="s">
        <v>6963</v>
      </c>
      <c r="B248" s="2541" t="s">
        <v>8535</v>
      </c>
    </row>
    <row r="249" spans="1:2">
      <c r="A249" t="s">
        <v>6964</v>
      </c>
      <c r="B249" s="2541" t="s">
        <v>8536</v>
      </c>
    </row>
    <row r="250" spans="1:2">
      <c r="A250" t="s">
        <v>6965</v>
      </c>
      <c r="B250" s="2541" t="s">
        <v>8537</v>
      </c>
    </row>
    <row r="251" spans="1:2">
      <c r="A251" t="s">
        <v>6966</v>
      </c>
      <c r="B251" s="2541" t="s">
        <v>8538</v>
      </c>
    </row>
    <row r="252" spans="1:2">
      <c r="A252" t="s">
        <v>6967</v>
      </c>
      <c r="B252" s="2541" t="s">
        <v>8539</v>
      </c>
    </row>
    <row r="253" spans="1:2">
      <c r="A253" t="s">
        <v>6968</v>
      </c>
      <c r="B253" s="2541" t="s">
        <v>8540</v>
      </c>
    </row>
    <row r="254" spans="1:2">
      <c r="A254" t="s">
        <v>6969</v>
      </c>
      <c r="B254" s="2541" t="s">
        <v>8541</v>
      </c>
    </row>
    <row r="255" spans="1:2">
      <c r="A255" t="s">
        <v>6970</v>
      </c>
      <c r="B255" s="2541" t="s">
        <v>8542</v>
      </c>
    </row>
    <row r="256" spans="1:2">
      <c r="A256" t="s">
        <v>6971</v>
      </c>
      <c r="B256" s="2541" t="s">
        <v>8543</v>
      </c>
    </row>
    <row r="257" spans="1:2">
      <c r="A257" t="s">
        <v>6972</v>
      </c>
      <c r="B257" s="2541" t="s">
        <v>8544</v>
      </c>
    </row>
    <row r="258" spans="1:2">
      <c r="A258" t="s">
        <v>6973</v>
      </c>
      <c r="B258" s="2541" t="s">
        <v>8545</v>
      </c>
    </row>
    <row r="259" spans="1:2">
      <c r="A259" t="s">
        <v>6974</v>
      </c>
      <c r="B259" s="2541" t="s">
        <v>8546</v>
      </c>
    </row>
    <row r="260" spans="1:2">
      <c r="A260" t="s">
        <v>6975</v>
      </c>
      <c r="B260" s="2541" t="s">
        <v>8547</v>
      </c>
    </row>
    <row r="261" spans="1:2">
      <c r="A261" t="s">
        <v>6976</v>
      </c>
      <c r="B261" s="2541" t="s">
        <v>8548</v>
      </c>
    </row>
    <row r="262" spans="1:2">
      <c r="A262" t="s">
        <v>6977</v>
      </c>
      <c r="B262" s="2541" t="s">
        <v>8549</v>
      </c>
    </row>
    <row r="263" spans="1:2">
      <c r="A263" t="s">
        <v>6978</v>
      </c>
      <c r="B263" s="2541" t="s">
        <v>8550</v>
      </c>
    </row>
    <row r="264" spans="1:2">
      <c r="A264" t="s">
        <v>6979</v>
      </c>
      <c r="B264" s="2541" t="s">
        <v>8551</v>
      </c>
    </row>
    <row r="265" spans="1:2">
      <c r="A265" s="2542" t="s">
        <v>6980</v>
      </c>
      <c r="B265" s="2541" t="s">
        <v>8497</v>
      </c>
    </row>
    <row r="266" spans="1:2">
      <c r="A266" t="s">
        <v>6981</v>
      </c>
      <c r="B266" s="2541" t="s">
        <v>8499</v>
      </c>
    </row>
    <row r="267" spans="1:2">
      <c r="A267" t="s">
        <v>6982</v>
      </c>
      <c r="B267" s="2541" t="s">
        <v>8500</v>
      </c>
    </row>
    <row r="268" spans="1:2">
      <c r="A268" t="s">
        <v>6983</v>
      </c>
      <c r="B268" s="2541" t="s">
        <v>8501</v>
      </c>
    </row>
    <row r="269" spans="1:2">
      <c r="A269" t="s">
        <v>6984</v>
      </c>
      <c r="B269" s="2541" t="s">
        <v>8502</v>
      </c>
    </row>
    <row r="270" spans="1:2">
      <c r="A270" t="s">
        <v>6985</v>
      </c>
      <c r="B270" s="2541" t="s">
        <v>8503</v>
      </c>
    </row>
    <row r="271" spans="1:2">
      <c r="A271" t="s">
        <v>6986</v>
      </c>
      <c r="B271" s="2541" t="s">
        <v>8504</v>
      </c>
    </row>
    <row r="272" spans="1:2">
      <c r="A272" t="s">
        <v>6987</v>
      </c>
      <c r="B272" s="2541" t="s">
        <v>8505</v>
      </c>
    </row>
    <row r="273" spans="1:2">
      <c r="A273" t="s">
        <v>6988</v>
      </c>
      <c r="B273" s="2541" t="s">
        <v>8506</v>
      </c>
    </row>
    <row r="274" spans="1:2">
      <c r="A274" t="s">
        <v>6989</v>
      </c>
      <c r="B274" s="2541" t="s">
        <v>8507</v>
      </c>
    </row>
    <row r="275" spans="1:2">
      <c r="A275" t="s">
        <v>6990</v>
      </c>
      <c r="B275" s="2541" t="s">
        <v>8508</v>
      </c>
    </row>
    <row r="276" spans="1:2">
      <c r="A276" t="s">
        <v>6991</v>
      </c>
      <c r="B276" s="2541" t="s">
        <v>8509</v>
      </c>
    </row>
    <row r="277" spans="1:2">
      <c r="A277" t="s">
        <v>6992</v>
      </c>
      <c r="B277" s="2541" t="s">
        <v>8510</v>
      </c>
    </row>
    <row r="278" spans="1:2">
      <c r="A278" t="s">
        <v>6993</v>
      </c>
      <c r="B278" s="2541" t="s">
        <v>8511</v>
      </c>
    </row>
    <row r="279" spans="1:2">
      <c r="A279" t="s">
        <v>6994</v>
      </c>
      <c r="B279" s="2541" t="s">
        <v>8512</v>
      </c>
    </row>
    <row r="280" spans="1:2">
      <c r="A280" t="s">
        <v>6995</v>
      </c>
      <c r="B280" s="2541" t="s">
        <v>8513</v>
      </c>
    </row>
    <row r="281" spans="1:2">
      <c r="A281" t="s">
        <v>6996</v>
      </c>
      <c r="B281" s="2541" t="s">
        <v>8514</v>
      </c>
    </row>
    <row r="282" spans="1:2">
      <c r="A282" t="s">
        <v>6997</v>
      </c>
      <c r="B282" s="2541" t="s">
        <v>8515</v>
      </c>
    </row>
    <row r="283" spans="1:2">
      <c r="A283" t="s">
        <v>6998</v>
      </c>
      <c r="B283" s="2541" t="s">
        <v>8516</v>
      </c>
    </row>
    <row r="284" spans="1:2">
      <c r="A284" t="s">
        <v>6999</v>
      </c>
      <c r="B284" s="2541" t="s">
        <v>8517</v>
      </c>
    </row>
    <row r="285" spans="1:2">
      <c r="A285" t="s">
        <v>7000</v>
      </c>
      <c r="B285" s="2541" t="s">
        <v>8518</v>
      </c>
    </row>
    <row r="286" spans="1:2">
      <c r="A286" t="s">
        <v>7001</v>
      </c>
      <c r="B286" s="2541" t="s">
        <v>8519</v>
      </c>
    </row>
    <row r="287" spans="1:2">
      <c r="A287" t="s">
        <v>7002</v>
      </c>
      <c r="B287" s="2541" t="s">
        <v>8520</v>
      </c>
    </row>
    <row r="288" spans="1:2">
      <c r="A288" t="s">
        <v>7003</v>
      </c>
      <c r="B288" s="2541" t="s">
        <v>8521</v>
      </c>
    </row>
    <row r="289" spans="1:2">
      <c r="A289" t="s">
        <v>7004</v>
      </c>
      <c r="B289" s="2541" t="s">
        <v>8522</v>
      </c>
    </row>
    <row r="290" spans="1:2">
      <c r="A290" t="s">
        <v>7005</v>
      </c>
      <c r="B290" s="2541" t="s">
        <v>8523</v>
      </c>
    </row>
    <row r="291" spans="1:2">
      <c r="A291" t="s">
        <v>7006</v>
      </c>
      <c r="B291" s="2541" t="s">
        <v>8524</v>
      </c>
    </row>
    <row r="292" spans="1:2">
      <c r="A292" t="s">
        <v>7007</v>
      </c>
      <c r="B292" s="2541" t="s">
        <v>8525</v>
      </c>
    </row>
    <row r="293" spans="1:2">
      <c r="A293" t="s">
        <v>7008</v>
      </c>
      <c r="B293" s="2541" t="s">
        <v>8526</v>
      </c>
    </row>
    <row r="294" spans="1:2">
      <c r="A294" t="s">
        <v>7009</v>
      </c>
      <c r="B294" s="2541" t="s">
        <v>8527</v>
      </c>
    </row>
    <row r="295" spans="1:2">
      <c r="A295" t="s">
        <v>7010</v>
      </c>
      <c r="B295" s="2541" t="s">
        <v>8528</v>
      </c>
    </row>
    <row r="296" spans="1:2">
      <c r="A296" t="s">
        <v>7011</v>
      </c>
      <c r="B296" s="2541" t="s">
        <v>8529</v>
      </c>
    </row>
    <row r="297" spans="1:2">
      <c r="A297" t="s">
        <v>7012</v>
      </c>
      <c r="B297" s="2541" t="s">
        <v>8530</v>
      </c>
    </row>
    <row r="298" spans="1:2">
      <c r="A298" t="s">
        <v>7013</v>
      </c>
      <c r="B298" s="2541" t="s">
        <v>8531</v>
      </c>
    </row>
    <row r="299" spans="1:2">
      <c r="A299" t="s">
        <v>7014</v>
      </c>
      <c r="B299" s="2541" t="s">
        <v>8532</v>
      </c>
    </row>
    <row r="300" spans="1:2">
      <c r="A300" t="s">
        <v>7015</v>
      </c>
      <c r="B300" s="2541" t="s">
        <v>8533</v>
      </c>
    </row>
    <row r="301" spans="1:2">
      <c r="A301" t="s">
        <v>7016</v>
      </c>
      <c r="B301" s="2541" t="s">
        <v>8534</v>
      </c>
    </row>
    <row r="302" spans="1:2">
      <c r="A302" t="s">
        <v>7017</v>
      </c>
      <c r="B302" s="2541" t="s">
        <v>8535</v>
      </c>
    </row>
    <row r="303" spans="1:2">
      <c r="A303" t="s">
        <v>7018</v>
      </c>
      <c r="B303" s="2541" t="s">
        <v>8536</v>
      </c>
    </row>
    <row r="304" spans="1:2">
      <c r="A304" t="s">
        <v>7019</v>
      </c>
      <c r="B304" s="2541" t="s">
        <v>8537</v>
      </c>
    </row>
    <row r="305" spans="1:2">
      <c r="A305" t="s">
        <v>7020</v>
      </c>
      <c r="B305" s="2541" t="s">
        <v>8538</v>
      </c>
    </row>
    <row r="306" spans="1:2">
      <c r="A306" t="s">
        <v>7021</v>
      </c>
      <c r="B306" s="2541" t="s">
        <v>8539</v>
      </c>
    </row>
    <row r="307" spans="1:2">
      <c r="A307" t="s">
        <v>7022</v>
      </c>
      <c r="B307" s="2541" t="s">
        <v>8540</v>
      </c>
    </row>
    <row r="308" spans="1:2">
      <c r="A308" t="s">
        <v>7023</v>
      </c>
      <c r="B308" s="2541" t="s">
        <v>8541</v>
      </c>
    </row>
    <row r="309" spans="1:2">
      <c r="A309" t="s">
        <v>7024</v>
      </c>
      <c r="B309" s="2541" t="s">
        <v>8542</v>
      </c>
    </row>
    <row r="310" spans="1:2">
      <c r="A310" t="s">
        <v>7025</v>
      </c>
      <c r="B310" s="2541" t="s">
        <v>8543</v>
      </c>
    </row>
    <row r="311" spans="1:2">
      <c r="A311" t="s">
        <v>7026</v>
      </c>
      <c r="B311" s="2541" t="s">
        <v>8544</v>
      </c>
    </row>
    <row r="312" spans="1:2">
      <c r="A312" t="s">
        <v>7027</v>
      </c>
      <c r="B312" s="2541" t="s">
        <v>8545</v>
      </c>
    </row>
    <row r="313" spans="1:2">
      <c r="A313" t="s">
        <v>7028</v>
      </c>
      <c r="B313" s="2541" t="s">
        <v>8546</v>
      </c>
    </row>
    <row r="314" spans="1:2">
      <c r="A314" t="s">
        <v>7029</v>
      </c>
      <c r="B314" s="2541" t="s">
        <v>8547</v>
      </c>
    </row>
    <row r="315" spans="1:2">
      <c r="A315" t="s">
        <v>7030</v>
      </c>
      <c r="B315" s="2541" t="s">
        <v>8548</v>
      </c>
    </row>
    <row r="316" spans="1:2">
      <c r="A316" t="s">
        <v>7031</v>
      </c>
      <c r="B316" s="2541" t="s">
        <v>8549</v>
      </c>
    </row>
    <row r="317" spans="1:2">
      <c r="A317" t="s">
        <v>7032</v>
      </c>
      <c r="B317" s="2541" t="s">
        <v>8550</v>
      </c>
    </row>
    <row r="318" spans="1:2">
      <c r="A318" t="s">
        <v>7033</v>
      </c>
      <c r="B318" s="2541" t="s">
        <v>8551</v>
      </c>
    </row>
    <row r="319" spans="1:2">
      <c r="A319" s="2542" t="s">
        <v>7034</v>
      </c>
      <c r="B319" s="2541" t="s">
        <v>8497</v>
      </c>
    </row>
    <row r="320" spans="1:2">
      <c r="A320" t="s">
        <v>7035</v>
      </c>
      <c r="B320" s="2541" t="s">
        <v>8499</v>
      </c>
    </row>
    <row r="321" spans="1:2">
      <c r="A321" t="s">
        <v>7036</v>
      </c>
      <c r="B321" s="2541" t="s">
        <v>8500</v>
      </c>
    </row>
    <row r="322" spans="1:2">
      <c r="A322" t="s">
        <v>7037</v>
      </c>
      <c r="B322" s="2541" t="s">
        <v>8501</v>
      </c>
    </row>
    <row r="323" spans="1:2">
      <c r="A323" t="s">
        <v>7038</v>
      </c>
      <c r="B323" s="2541" t="s">
        <v>8502</v>
      </c>
    </row>
    <row r="324" spans="1:2">
      <c r="A324" t="s">
        <v>7039</v>
      </c>
      <c r="B324" s="2541" t="s">
        <v>8503</v>
      </c>
    </row>
    <row r="325" spans="1:2">
      <c r="A325" t="s">
        <v>7040</v>
      </c>
      <c r="B325" s="2541" t="s">
        <v>8504</v>
      </c>
    </row>
    <row r="326" spans="1:2">
      <c r="A326" t="s">
        <v>7041</v>
      </c>
      <c r="B326" s="2541" t="s">
        <v>8505</v>
      </c>
    </row>
    <row r="327" spans="1:2">
      <c r="A327" t="s">
        <v>7042</v>
      </c>
      <c r="B327" s="2541" t="s">
        <v>8506</v>
      </c>
    </row>
    <row r="328" spans="1:2">
      <c r="A328" t="s">
        <v>7043</v>
      </c>
      <c r="B328" s="2541" t="s">
        <v>8507</v>
      </c>
    </row>
    <row r="329" spans="1:2">
      <c r="A329" t="s">
        <v>7044</v>
      </c>
      <c r="B329" s="2541" t="s">
        <v>8508</v>
      </c>
    </row>
    <row r="330" spans="1:2">
      <c r="A330" t="s">
        <v>7045</v>
      </c>
      <c r="B330" s="2541" t="s">
        <v>8509</v>
      </c>
    </row>
    <row r="331" spans="1:2">
      <c r="A331" t="s">
        <v>7046</v>
      </c>
      <c r="B331" s="2541" t="s">
        <v>8510</v>
      </c>
    </row>
    <row r="332" spans="1:2">
      <c r="A332" t="s">
        <v>7047</v>
      </c>
      <c r="B332" s="2541" t="s">
        <v>8511</v>
      </c>
    </row>
    <row r="333" spans="1:2">
      <c r="A333" t="s">
        <v>7048</v>
      </c>
      <c r="B333" s="2541" t="s">
        <v>8512</v>
      </c>
    </row>
    <row r="334" spans="1:2">
      <c r="A334" t="s">
        <v>7049</v>
      </c>
      <c r="B334" s="2541" t="s">
        <v>8513</v>
      </c>
    </row>
    <row r="335" spans="1:2">
      <c r="A335" t="s">
        <v>7050</v>
      </c>
      <c r="B335" s="2541" t="s">
        <v>8514</v>
      </c>
    </row>
    <row r="336" spans="1:2">
      <c r="A336" t="s">
        <v>7051</v>
      </c>
      <c r="B336" s="2541" t="s">
        <v>8515</v>
      </c>
    </row>
    <row r="337" spans="1:2">
      <c r="A337" t="s">
        <v>7052</v>
      </c>
      <c r="B337" s="2541" t="s">
        <v>8516</v>
      </c>
    </row>
    <row r="338" spans="1:2">
      <c r="A338" t="s">
        <v>7053</v>
      </c>
      <c r="B338" s="2541" t="s">
        <v>8517</v>
      </c>
    </row>
    <row r="339" spans="1:2">
      <c r="A339" t="s">
        <v>7054</v>
      </c>
      <c r="B339" s="2541" t="s">
        <v>8518</v>
      </c>
    </row>
    <row r="340" spans="1:2">
      <c r="A340" t="s">
        <v>7055</v>
      </c>
      <c r="B340" s="2541" t="s">
        <v>8519</v>
      </c>
    </row>
    <row r="341" spans="1:2">
      <c r="A341" t="s">
        <v>7056</v>
      </c>
      <c r="B341" s="2541" t="s">
        <v>8520</v>
      </c>
    </row>
    <row r="342" spans="1:2">
      <c r="A342" t="s">
        <v>7057</v>
      </c>
      <c r="B342" s="2541" t="s">
        <v>8521</v>
      </c>
    </row>
    <row r="343" spans="1:2">
      <c r="A343" t="s">
        <v>7058</v>
      </c>
      <c r="B343" s="2541" t="s">
        <v>8522</v>
      </c>
    </row>
    <row r="344" spans="1:2">
      <c r="A344" t="s">
        <v>7059</v>
      </c>
      <c r="B344" s="2541" t="s">
        <v>8523</v>
      </c>
    </row>
    <row r="345" spans="1:2">
      <c r="A345" t="s">
        <v>7060</v>
      </c>
      <c r="B345" s="2541" t="s">
        <v>8524</v>
      </c>
    </row>
    <row r="346" spans="1:2">
      <c r="A346" t="s">
        <v>7061</v>
      </c>
      <c r="B346" s="2541" t="s">
        <v>8525</v>
      </c>
    </row>
    <row r="347" spans="1:2">
      <c r="A347" t="s">
        <v>7062</v>
      </c>
      <c r="B347" s="2541" t="s">
        <v>8526</v>
      </c>
    </row>
    <row r="348" spans="1:2">
      <c r="A348" t="s">
        <v>7063</v>
      </c>
      <c r="B348" s="2541" t="s">
        <v>8527</v>
      </c>
    </row>
    <row r="349" spans="1:2">
      <c r="A349" t="s">
        <v>7064</v>
      </c>
      <c r="B349" s="2541" t="s">
        <v>8528</v>
      </c>
    </row>
    <row r="350" spans="1:2">
      <c r="A350" t="s">
        <v>7065</v>
      </c>
      <c r="B350" s="2541" t="s">
        <v>8529</v>
      </c>
    </row>
    <row r="351" spans="1:2">
      <c r="A351" t="s">
        <v>7066</v>
      </c>
      <c r="B351" s="2541" t="s">
        <v>8530</v>
      </c>
    </row>
    <row r="352" spans="1:2">
      <c r="A352" t="s">
        <v>7067</v>
      </c>
      <c r="B352" s="2541" t="s">
        <v>8531</v>
      </c>
    </row>
    <row r="353" spans="1:2">
      <c r="A353" t="s">
        <v>7068</v>
      </c>
      <c r="B353" s="2541" t="s">
        <v>8532</v>
      </c>
    </row>
    <row r="354" spans="1:2">
      <c r="A354" t="s">
        <v>7069</v>
      </c>
      <c r="B354" s="2541" t="s">
        <v>8533</v>
      </c>
    </row>
    <row r="355" spans="1:2">
      <c r="A355" s="2542" t="s">
        <v>7070</v>
      </c>
      <c r="B355" s="2541" t="s">
        <v>8497</v>
      </c>
    </row>
    <row r="356" spans="1:2">
      <c r="A356" t="s">
        <v>7071</v>
      </c>
      <c r="B356" s="2541" t="s">
        <v>8499</v>
      </c>
    </row>
    <row r="357" spans="1:2">
      <c r="A357" t="s">
        <v>7072</v>
      </c>
      <c r="B357" s="2541" t="s">
        <v>8500</v>
      </c>
    </row>
    <row r="358" spans="1:2">
      <c r="A358" t="s">
        <v>7073</v>
      </c>
      <c r="B358" s="2541" t="s">
        <v>8501</v>
      </c>
    </row>
    <row r="359" spans="1:2">
      <c r="A359" t="s">
        <v>7074</v>
      </c>
      <c r="B359" s="2541" t="s">
        <v>8502</v>
      </c>
    </row>
    <row r="360" spans="1:2">
      <c r="A360" t="s">
        <v>7075</v>
      </c>
      <c r="B360" s="2541" t="s">
        <v>8503</v>
      </c>
    </row>
    <row r="361" spans="1:2">
      <c r="A361" t="s">
        <v>7076</v>
      </c>
      <c r="B361" s="2541" t="s">
        <v>8504</v>
      </c>
    </row>
    <row r="362" spans="1:2">
      <c r="A362" t="s">
        <v>7077</v>
      </c>
      <c r="B362" s="2541" t="s">
        <v>8505</v>
      </c>
    </row>
    <row r="363" spans="1:2">
      <c r="A363" t="s">
        <v>7078</v>
      </c>
      <c r="B363" s="2541" t="s">
        <v>8506</v>
      </c>
    </row>
    <row r="364" spans="1:2">
      <c r="A364" t="s">
        <v>7079</v>
      </c>
      <c r="B364" s="2541" t="s">
        <v>8507</v>
      </c>
    </row>
    <row r="365" spans="1:2">
      <c r="A365" t="s">
        <v>7080</v>
      </c>
      <c r="B365" s="2541" t="s">
        <v>8508</v>
      </c>
    </row>
    <row r="366" spans="1:2">
      <c r="A366" t="s">
        <v>7081</v>
      </c>
      <c r="B366" s="2541" t="s">
        <v>8509</v>
      </c>
    </row>
    <row r="367" spans="1:2">
      <c r="A367" t="s">
        <v>7082</v>
      </c>
      <c r="B367" s="2541" t="s">
        <v>8510</v>
      </c>
    </row>
    <row r="368" spans="1:2">
      <c r="A368" t="s">
        <v>7083</v>
      </c>
      <c r="B368" s="2541" t="s">
        <v>8511</v>
      </c>
    </row>
    <row r="369" spans="1:2">
      <c r="A369" t="s">
        <v>7084</v>
      </c>
      <c r="B369" s="2541" t="s">
        <v>8512</v>
      </c>
    </row>
    <row r="370" spans="1:2">
      <c r="A370" t="s">
        <v>7085</v>
      </c>
      <c r="B370" s="2541" t="s">
        <v>8513</v>
      </c>
    </row>
    <row r="371" spans="1:2">
      <c r="A371" t="s">
        <v>7086</v>
      </c>
      <c r="B371" s="2541" t="s">
        <v>8514</v>
      </c>
    </row>
    <row r="372" spans="1:2">
      <c r="A372" t="s">
        <v>7087</v>
      </c>
      <c r="B372" s="2541" t="s">
        <v>8515</v>
      </c>
    </row>
    <row r="373" spans="1:2">
      <c r="A373" t="s">
        <v>7088</v>
      </c>
      <c r="B373" s="2541" t="s">
        <v>8516</v>
      </c>
    </row>
    <row r="374" spans="1:2">
      <c r="A374" t="s">
        <v>7089</v>
      </c>
      <c r="B374" s="2541" t="s">
        <v>8517</v>
      </c>
    </row>
    <row r="375" spans="1:2">
      <c r="A375" t="s">
        <v>7090</v>
      </c>
      <c r="B375" s="2541" t="s">
        <v>8518</v>
      </c>
    </row>
    <row r="376" spans="1:2">
      <c r="A376" t="s">
        <v>7091</v>
      </c>
      <c r="B376" s="2541" t="s">
        <v>8519</v>
      </c>
    </row>
    <row r="377" spans="1:2">
      <c r="A377" t="s">
        <v>7092</v>
      </c>
      <c r="B377" s="2541" t="s">
        <v>8520</v>
      </c>
    </row>
    <row r="378" spans="1:2">
      <c r="A378" t="s">
        <v>7093</v>
      </c>
      <c r="B378" s="2541" t="s">
        <v>8521</v>
      </c>
    </row>
    <row r="379" spans="1:2">
      <c r="A379" t="s">
        <v>7094</v>
      </c>
      <c r="B379" s="2541" t="s">
        <v>8522</v>
      </c>
    </row>
    <row r="380" spans="1:2">
      <c r="A380" t="s">
        <v>7095</v>
      </c>
      <c r="B380" s="2541" t="s">
        <v>8523</v>
      </c>
    </row>
    <row r="381" spans="1:2">
      <c r="A381" t="s">
        <v>7096</v>
      </c>
      <c r="B381" s="2541" t="s">
        <v>8524</v>
      </c>
    </row>
    <row r="382" spans="1:2">
      <c r="A382" t="s">
        <v>7097</v>
      </c>
      <c r="B382" s="2541" t="s">
        <v>8525</v>
      </c>
    </row>
    <row r="383" spans="1:2">
      <c r="A383" t="s">
        <v>7098</v>
      </c>
      <c r="B383" s="2541" t="s">
        <v>8526</v>
      </c>
    </row>
    <row r="384" spans="1:2">
      <c r="A384" t="s">
        <v>7099</v>
      </c>
      <c r="B384" s="2541" t="s">
        <v>8527</v>
      </c>
    </row>
    <row r="385" spans="1:2">
      <c r="A385" t="s">
        <v>7100</v>
      </c>
      <c r="B385" s="2541" t="s">
        <v>8528</v>
      </c>
    </row>
    <row r="386" spans="1:2">
      <c r="A386" t="s">
        <v>7101</v>
      </c>
      <c r="B386" s="2541" t="s">
        <v>8529</v>
      </c>
    </row>
    <row r="387" spans="1:2">
      <c r="A387" t="s">
        <v>7102</v>
      </c>
      <c r="B387" s="2541" t="s">
        <v>8530</v>
      </c>
    </row>
    <row r="388" spans="1:2">
      <c r="A388" t="s">
        <v>7103</v>
      </c>
      <c r="B388" s="2541" t="s">
        <v>8531</v>
      </c>
    </row>
    <row r="389" spans="1:2">
      <c r="A389" t="s">
        <v>7104</v>
      </c>
      <c r="B389" s="2541" t="s">
        <v>8532</v>
      </c>
    </row>
    <row r="390" spans="1:2">
      <c r="A390" t="s">
        <v>7105</v>
      </c>
      <c r="B390" s="2541" t="s">
        <v>8533</v>
      </c>
    </row>
    <row r="391" spans="1:2">
      <c r="A391" s="2542" t="s">
        <v>7106</v>
      </c>
      <c r="B391" s="2541" t="s">
        <v>8497</v>
      </c>
    </row>
    <row r="392" spans="1:2">
      <c r="A392" t="s">
        <v>7107</v>
      </c>
      <c r="B392" s="2541" t="s">
        <v>8499</v>
      </c>
    </row>
    <row r="393" spans="1:2">
      <c r="A393" t="s">
        <v>7108</v>
      </c>
      <c r="B393" s="2541" t="s">
        <v>8500</v>
      </c>
    </row>
    <row r="394" spans="1:2">
      <c r="A394" t="s">
        <v>7109</v>
      </c>
      <c r="B394" s="2541" t="s">
        <v>8501</v>
      </c>
    </row>
    <row r="395" spans="1:2">
      <c r="A395" t="s">
        <v>7110</v>
      </c>
      <c r="B395" s="2541" t="s">
        <v>8502</v>
      </c>
    </row>
    <row r="396" spans="1:2">
      <c r="A396" t="s">
        <v>7111</v>
      </c>
      <c r="B396" s="2541" t="s">
        <v>8503</v>
      </c>
    </row>
    <row r="397" spans="1:2">
      <c r="A397" t="s">
        <v>7112</v>
      </c>
      <c r="B397" s="2541" t="s">
        <v>8504</v>
      </c>
    </row>
    <row r="398" spans="1:2">
      <c r="A398" t="s">
        <v>7113</v>
      </c>
      <c r="B398" s="2541" t="s">
        <v>8505</v>
      </c>
    </row>
    <row r="399" spans="1:2">
      <c r="A399" t="s">
        <v>7114</v>
      </c>
      <c r="B399" s="2541" t="s">
        <v>8506</v>
      </c>
    </row>
    <row r="400" spans="1:2">
      <c r="A400" t="s">
        <v>7115</v>
      </c>
      <c r="B400" s="2541" t="s">
        <v>8507</v>
      </c>
    </row>
    <row r="401" spans="1:2">
      <c r="A401" t="s">
        <v>7116</v>
      </c>
      <c r="B401" s="2541" t="s">
        <v>8508</v>
      </c>
    </row>
    <row r="402" spans="1:2">
      <c r="A402" t="s">
        <v>7117</v>
      </c>
      <c r="B402" s="2541" t="s">
        <v>8509</v>
      </c>
    </row>
    <row r="403" spans="1:2">
      <c r="A403" t="s">
        <v>7118</v>
      </c>
      <c r="B403" s="2541" t="s">
        <v>8510</v>
      </c>
    </row>
    <row r="404" spans="1:2">
      <c r="A404" t="s">
        <v>7119</v>
      </c>
      <c r="B404" s="2541" t="s">
        <v>8511</v>
      </c>
    </row>
    <row r="405" spans="1:2">
      <c r="A405" t="s">
        <v>7120</v>
      </c>
      <c r="B405" s="2541" t="s">
        <v>8512</v>
      </c>
    </row>
    <row r="406" spans="1:2">
      <c r="A406" t="s">
        <v>7121</v>
      </c>
      <c r="B406" s="2541" t="s">
        <v>8513</v>
      </c>
    </row>
    <row r="407" spans="1:2">
      <c r="A407" t="s">
        <v>7122</v>
      </c>
      <c r="B407" s="2541" t="s">
        <v>8514</v>
      </c>
    </row>
    <row r="408" spans="1:2">
      <c r="A408" t="s">
        <v>7123</v>
      </c>
      <c r="B408" s="2541" t="s">
        <v>8515</v>
      </c>
    </row>
    <row r="409" spans="1:2">
      <c r="A409" t="s">
        <v>7124</v>
      </c>
      <c r="B409" s="2541" t="s">
        <v>8516</v>
      </c>
    </row>
    <row r="410" spans="1:2">
      <c r="A410" t="s">
        <v>7125</v>
      </c>
      <c r="B410" s="2541" t="s">
        <v>8517</v>
      </c>
    </row>
    <row r="411" spans="1:2">
      <c r="A411" t="s">
        <v>7126</v>
      </c>
      <c r="B411" s="2541" t="s">
        <v>8518</v>
      </c>
    </row>
    <row r="412" spans="1:2">
      <c r="A412" t="s">
        <v>7127</v>
      </c>
      <c r="B412" s="2541" t="s">
        <v>8519</v>
      </c>
    </row>
    <row r="413" spans="1:2">
      <c r="A413" t="s">
        <v>7128</v>
      </c>
      <c r="B413" s="2541" t="s">
        <v>8520</v>
      </c>
    </row>
    <row r="414" spans="1:2">
      <c r="A414" t="s">
        <v>7129</v>
      </c>
      <c r="B414" s="2541" t="s">
        <v>8521</v>
      </c>
    </row>
    <row r="415" spans="1:2">
      <c r="A415" t="s">
        <v>7130</v>
      </c>
      <c r="B415" s="2541" t="s">
        <v>8522</v>
      </c>
    </row>
    <row r="416" spans="1:2">
      <c r="A416" t="s">
        <v>7131</v>
      </c>
      <c r="B416" s="2541" t="s">
        <v>8523</v>
      </c>
    </row>
    <row r="417" spans="1:2">
      <c r="A417" t="s">
        <v>7132</v>
      </c>
      <c r="B417" s="2541" t="s">
        <v>8524</v>
      </c>
    </row>
    <row r="418" spans="1:2">
      <c r="A418" t="s">
        <v>7133</v>
      </c>
      <c r="B418" s="2541" t="s">
        <v>8525</v>
      </c>
    </row>
    <row r="419" spans="1:2">
      <c r="A419" t="s">
        <v>7134</v>
      </c>
      <c r="B419" s="2541" t="s">
        <v>8526</v>
      </c>
    </row>
    <row r="420" spans="1:2">
      <c r="A420" t="s">
        <v>7135</v>
      </c>
      <c r="B420" s="2541" t="s">
        <v>8527</v>
      </c>
    </row>
    <row r="421" spans="1:2">
      <c r="A421" t="s">
        <v>7136</v>
      </c>
      <c r="B421" s="2541" t="s">
        <v>8528</v>
      </c>
    </row>
    <row r="422" spans="1:2">
      <c r="A422" t="s">
        <v>7137</v>
      </c>
      <c r="B422" s="2541" t="s">
        <v>8529</v>
      </c>
    </row>
    <row r="423" spans="1:2">
      <c r="A423" t="s">
        <v>7138</v>
      </c>
      <c r="B423" s="2541" t="s">
        <v>8530</v>
      </c>
    </row>
    <row r="424" spans="1:2">
      <c r="A424" t="s">
        <v>7139</v>
      </c>
      <c r="B424" s="2541" t="s">
        <v>8531</v>
      </c>
    </row>
    <row r="425" spans="1:2">
      <c r="A425" t="s">
        <v>7140</v>
      </c>
      <c r="B425" s="2541" t="s">
        <v>8532</v>
      </c>
    </row>
    <row r="426" spans="1:2">
      <c r="A426" t="s">
        <v>7141</v>
      </c>
      <c r="B426" s="2541" t="s">
        <v>8533</v>
      </c>
    </row>
    <row r="427" spans="1:2">
      <c r="A427" t="s">
        <v>7142</v>
      </c>
      <c r="B427" s="2541" t="s">
        <v>8534</v>
      </c>
    </row>
    <row r="428" spans="1:2">
      <c r="A428" t="s">
        <v>7143</v>
      </c>
      <c r="B428" s="2541" t="s">
        <v>8535</v>
      </c>
    </row>
    <row r="429" spans="1:2">
      <c r="A429" s="2542" t="s">
        <v>7144</v>
      </c>
      <c r="B429" s="2541" t="s">
        <v>8497</v>
      </c>
    </row>
    <row r="430" spans="1:2">
      <c r="A430" t="s">
        <v>7145</v>
      </c>
      <c r="B430" s="2541" t="s">
        <v>8499</v>
      </c>
    </row>
    <row r="431" spans="1:2">
      <c r="A431" t="s">
        <v>7146</v>
      </c>
      <c r="B431" s="2541" t="s">
        <v>8500</v>
      </c>
    </row>
    <row r="432" spans="1:2">
      <c r="A432" t="s">
        <v>7147</v>
      </c>
      <c r="B432" s="2541" t="s">
        <v>8501</v>
      </c>
    </row>
    <row r="433" spans="1:2">
      <c r="A433" t="s">
        <v>7148</v>
      </c>
      <c r="B433" s="2541" t="s">
        <v>8502</v>
      </c>
    </row>
    <row r="434" spans="1:2">
      <c r="A434" t="s">
        <v>7149</v>
      </c>
      <c r="B434" s="2541" t="s">
        <v>8503</v>
      </c>
    </row>
    <row r="435" spans="1:2">
      <c r="A435" t="s">
        <v>7150</v>
      </c>
      <c r="B435" s="2541" t="s">
        <v>8504</v>
      </c>
    </row>
    <row r="436" spans="1:2">
      <c r="A436" t="s">
        <v>7151</v>
      </c>
      <c r="B436" s="2541" t="s">
        <v>8505</v>
      </c>
    </row>
    <row r="437" spans="1:2">
      <c r="A437" t="s">
        <v>7152</v>
      </c>
      <c r="B437" s="2541" t="s">
        <v>8506</v>
      </c>
    </row>
    <row r="438" spans="1:2">
      <c r="A438" t="s">
        <v>7153</v>
      </c>
      <c r="B438" s="2541" t="s">
        <v>8507</v>
      </c>
    </row>
    <row r="439" spans="1:2">
      <c r="A439" t="s">
        <v>7154</v>
      </c>
      <c r="B439" s="2541" t="s">
        <v>8508</v>
      </c>
    </row>
    <row r="440" spans="1:2">
      <c r="A440" t="s">
        <v>7155</v>
      </c>
      <c r="B440" s="2541" t="s">
        <v>8509</v>
      </c>
    </row>
    <row r="441" spans="1:2">
      <c r="A441" t="s">
        <v>7156</v>
      </c>
      <c r="B441" s="2541" t="s">
        <v>8510</v>
      </c>
    </row>
    <row r="442" spans="1:2">
      <c r="A442" t="s">
        <v>7157</v>
      </c>
      <c r="B442" s="2541" t="s">
        <v>8511</v>
      </c>
    </row>
    <row r="443" spans="1:2">
      <c r="A443" t="s">
        <v>7158</v>
      </c>
      <c r="B443" s="2541" t="s">
        <v>8512</v>
      </c>
    </row>
    <row r="444" spans="1:2">
      <c r="A444" t="s">
        <v>7159</v>
      </c>
      <c r="B444" s="2541" t="s">
        <v>8513</v>
      </c>
    </row>
    <row r="445" spans="1:2">
      <c r="A445" t="s">
        <v>7160</v>
      </c>
      <c r="B445" s="2541" t="s">
        <v>8514</v>
      </c>
    </row>
    <row r="446" spans="1:2">
      <c r="A446" t="s">
        <v>7161</v>
      </c>
      <c r="B446" s="2541" t="s">
        <v>8515</v>
      </c>
    </row>
    <row r="447" spans="1:2">
      <c r="A447" t="s">
        <v>7162</v>
      </c>
      <c r="B447" s="2541" t="s">
        <v>8516</v>
      </c>
    </row>
    <row r="448" spans="1:2">
      <c r="A448" t="s">
        <v>7163</v>
      </c>
      <c r="B448" s="2541" t="s">
        <v>8517</v>
      </c>
    </row>
    <row r="449" spans="1:2">
      <c r="A449" t="s">
        <v>7164</v>
      </c>
      <c r="B449" s="2541" t="s">
        <v>8518</v>
      </c>
    </row>
    <row r="450" spans="1:2">
      <c r="A450" t="s">
        <v>7165</v>
      </c>
      <c r="B450" s="2541" t="s">
        <v>8519</v>
      </c>
    </row>
    <row r="451" spans="1:2">
      <c r="A451" t="s">
        <v>7166</v>
      </c>
      <c r="B451" s="2541" t="s">
        <v>8520</v>
      </c>
    </row>
    <row r="452" spans="1:2">
      <c r="A452" t="s">
        <v>7167</v>
      </c>
      <c r="B452" s="2541" t="s">
        <v>8521</v>
      </c>
    </row>
    <row r="453" spans="1:2">
      <c r="A453" t="s">
        <v>7168</v>
      </c>
      <c r="B453" s="2541" t="s">
        <v>8522</v>
      </c>
    </row>
    <row r="454" spans="1:2">
      <c r="A454" t="s">
        <v>7169</v>
      </c>
      <c r="B454" s="2541" t="s">
        <v>8523</v>
      </c>
    </row>
    <row r="455" spans="1:2">
      <c r="A455" t="s">
        <v>7170</v>
      </c>
      <c r="B455" s="2541" t="s">
        <v>8524</v>
      </c>
    </row>
    <row r="456" spans="1:2">
      <c r="A456" t="s">
        <v>7171</v>
      </c>
      <c r="B456" s="2541" t="s">
        <v>8525</v>
      </c>
    </row>
    <row r="457" spans="1:2">
      <c r="A457" t="s">
        <v>7172</v>
      </c>
      <c r="B457" s="2541" t="s">
        <v>8526</v>
      </c>
    </row>
    <row r="458" spans="1:2">
      <c r="A458" t="s">
        <v>7173</v>
      </c>
      <c r="B458" s="2541" t="s">
        <v>8527</v>
      </c>
    </row>
    <row r="459" spans="1:2">
      <c r="A459" t="s">
        <v>7174</v>
      </c>
      <c r="B459" s="2541" t="s">
        <v>8528</v>
      </c>
    </row>
    <row r="460" spans="1:2">
      <c r="A460" t="s">
        <v>7175</v>
      </c>
      <c r="B460" s="2541" t="s">
        <v>8529</v>
      </c>
    </row>
    <row r="461" spans="1:2">
      <c r="A461" t="s">
        <v>7176</v>
      </c>
      <c r="B461" s="2541" t="s">
        <v>8530</v>
      </c>
    </row>
    <row r="462" spans="1:2">
      <c r="A462" t="s">
        <v>7177</v>
      </c>
      <c r="B462" s="2541" t="s">
        <v>8531</v>
      </c>
    </row>
    <row r="463" spans="1:2">
      <c r="A463" t="s">
        <v>7178</v>
      </c>
      <c r="B463" s="2541" t="s">
        <v>8532</v>
      </c>
    </row>
    <row r="464" spans="1:2">
      <c r="A464" t="s">
        <v>7179</v>
      </c>
      <c r="B464" s="2541" t="s">
        <v>8533</v>
      </c>
    </row>
    <row r="465" spans="1:4">
      <c r="A465" t="s">
        <v>7180</v>
      </c>
      <c r="B465" s="2541" t="s">
        <v>8534</v>
      </c>
    </row>
    <row r="466" spans="1:4">
      <c r="A466" t="s">
        <v>7181</v>
      </c>
      <c r="B466" s="2541" t="s">
        <v>8535</v>
      </c>
    </row>
    <row r="467" spans="1:4">
      <c r="A467" s="2542" t="s">
        <v>7182</v>
      </c>
      <c r="B467" s="2541" t="s">
        <v>8621</v>
      </c>
      <c r="C467" s="2567" t="s">
        <v>8623</v>
      </c>
      <c r="D467" s="2567" t="s">
        <v>8625</v>
      </c>
    </row>
    <row r="468" spans="1:4">
      <c r="A468" t="s">
        <v>7183</v>
      </c>
      <c r="B468" s="2541" t="s">
        <v>8499</v>
      </c>
    </row>
    <row r="469" spans="1:4">
      <c r="A469" t="s">
        <v>7184</v>
      </c>
      <c r="B469" s="2541" t="s">
        <v>8500</v>
      </c>
    </row>
    <row r="470" spans="1:4">
      <c r="A470" t="s">
        <v>7185</v>
      </c>
      <c r="B470" s="2541" t="s">
        <v>8501</v>
      </c>
    </row>
    <row r="471" spans="1:4">
      <c r="A471" t="s">
        <v>7186</v>
      </c>
      <c r="B471" s="2541" t="s">
        <v>8502</v>
      </c>
    </row>
    <row r="472" spans="1:4">
      <c r="A472" t="s">
        <v>7187</v>
      </c>
      <c r="B472" s="2541" t="s">
        <v>8503</v>
      </c>
    </row>
    <row r="473" spans="1:4">
      <c r="A473" t="s">
        <v>7188</v>
      </c>
      <c r="B473" s="2541" t="s">
        <v>8504</v>
      </c>
    </row>
    <row r="474" spans="1:4">
      <c r="A474" t="s">
        <v>7189</v>
      </c>
      <c r="B474" s="2541" t="s">
        <v>8505</v>
      </c>
    </row>
    <row r="475" spans="1:4">
      <c r="A475" t="s">
        <v>7190</v>
      </c>
      <c r="B475" s="2541" t="s">
        <v>8506</v>
      </c>
    </row>
    <row r="476" spans="1:4">
      <c r="A476" t="s">
        <v>7191</v>
      </c>
      <c r="B476" s="2541" t="s">
        <v>8507</v>
      </c>
    </row>
    <row r="477" spans="1:4">
      <c r="A477" t="s">
        <v>7192</v>
      </c>
      <c r="B477" s="2541" t="s">
        <v>8508</v>
      </c>
    </row>
    <row r="478" spans="1:4">
      <c r="A478" t="s">
        <v>7193</v>
      </c>
      <c r="B478" s="2541" t="s">
        <v>8509</v>
      </c>
    </row>
    <row r="479" spans="1:4">
      <c r="A479" t="s">
        <v>7194</v>
      </c>
      <c r="B479" s="2541" t="s">
        <v>8510</v>
      </c>
    </row>
    <row r="480" spans="1:4">
      <c r="A480" t="s">
        <v>7195</v>
      </c>
      <c r="B480" s="2541" t="s">
        <v>8511</v>
      </c>
    </row>
    <row r="481" spans="1:2">
      <c r="A481" t="s">
        <v>7196</v>
      </c>
      <c r="B481" s="2541" t="s">
        <v>8512</v>
      </c>
    </row>
    <row r="482" spans="1:2">
      <c r="A482" t="s">
        <v>7197</v>
      </c>
      <c r="B482" s="2541" t="s">
        <v>8513</v>
      </c>
    </row>
    <row r="483" spans="1:2">
      <c r="A483" t="s">
        <v>7198</v>
      </c>
      <c r="B483" s="2541" t="s">
        <v>8514</v>
      </c>
    </row>
    <row r="484" spans="1:2">
      <c r="A484" t="s">
        <v>7199</v>
      </c>
      <c r="B484" s="2541" t="s">
        <v>8515</v>
      </c>
    </row>
    <row r="485" spans="1:2">
      <c r="A485" t="s">
        <v>7200</v>
      </c>
      <c r="B485" s="2541" t="s">
        <v>8516</v>
      </c>
    </row>
    <row r="486" spans="1:2">
      <c r="A486" t="s">
        <v>7201</v>
      </c>
      <c r="B486" s="2541" t="s">
        <v>8517</v>
      </c>
    </row>
    <row r="487" spans="1:2">
      <c r="A487" t="s">
        <v>7202</v>
      </c>
      <c r="B487" s="2541" t="s">
        <v>8518</v>
      </c>
    </row>
    <row r="488" spans="1:2">
      <c r="A488" t="s">
        <v>7203</v>
      </c>
      <c r="B488" s="2541" t="s">
        <v>8519</v>
      </c>
    </row>
    <row r="489" spans="1:2">
      <c r="A489" t="s">
        <v>7204</v>
      </c>
      <c r="B489" s="2541" t="s">
        <v>8520</v>
      </c>
    </row>
    <row r="490" spans="1:2">
      <c r="A490" t="s">
        <v>7205</v>
      </c>
      <c r="B490" s="2541" t="s">
        <v>8521</v>
      </c>
    </row>
    <row r="491" spans="1:2">
      <c r="A491" t="s">
        <v>7206</v>
      </c>
      <c r="B491" s="2541" t="s">
        <v>8522</v>
      </c>
    </row>
    <row r="492" spans="1:2">
      <c r="A492" t="s">
        <v>7207</v>
      </c>
      <c r="B492" s="2541" t="s">
        <v>8523</v>
      </c>
    </row>
    <row r="493" spans="1:2">
      <c r="A493" t="s">
        <v>7208</v>
      </c>
      <c r="B493" s="2541" t="s">
        <v>8524</v>
      </c>
    </row>
    <row r="494" spans="1:2">
      <c r="A494" t="s">
        <v>7209</v>
      </c>
      <c r="B494" s="2541" t="s">
        <v>8525</v>
      </c>
    </row>
    <row r="495" spans="1:2">
      <c r="A495" t="s">
        <v>7210</v>
      </c>
      <c r="B495" s="2541" t="s">
        <v>8526</v>
      </c>
    </row>
    <row r="496" spans="1:2">
      <c r="A496" t="s">
        <v>7211</v>
      </c>
      <c r="B496" s="2541" t="s">
        <v>8527</v>
      </c>
    </row>
    <row r="497" spans="1:4">
      <c r="A497" t="s">
        <v>7212</v>
      </c>
      <c r="B497" s="2541" t="s">
        <v>8528</v>
      </c>
    </row>
    <row r="498" spans="1:4">
      <c r="A498" t="s">
        <v>7213</v>
      </c>
      <c r="B498" s="2541" t="s">
        <v>8529</v>
      </c>
    </row>
    <row r="499" spans="1:4">
      <c r="A499" s="2542" t="s">
        <v>7214</v>
      </c>
      <c r="B499" s="2541" t="s">
        <v>8621</v>
      </c>
      <c r="C499" s="2567" t="s">
        <v>8623</v>
      </c>
      <c r="D499" s="2567" t="s">
        <v>8625</v>
      </c>
    </row>
    <row r="500" spans="1:4">
      <c r="A500" t="s">
        <v>7215</v>
      </c>
      <c r="B500" s="2541" t="s">
        <v>8499</v>
      </c>
    </row>
    <row r="501" spans="1:4">
      <c r="A501" t="s">
        <v>7216</v>
      </c>
      <c r="B501" s="2541" t="s">
        <v>8500</v>
      </c>
    </row>
    <row r="502" spans="1:4">
      <c r="A502" t="s">
        <v>7217</v>
      </c>
      <c r="B502" s="2541" t="s">
        <v>8501</v>
      </c>
    </row>
    <row r="503" spans="1:4">
      <c r="A503" t="s">
        <v>7218</v>
      </c>
      <c r="B503" s="2541" t="s">
        <v>8502</v>
      </c>
    </row>
    <row r="504" spans="1:4">
      <c r="A504" t="s">
        <v>7219</v>
      </c>
      <c r="B504" s="2541" t="s">
        <v>8503</v>
      </c>
    </row>
    <row r="505" spans="1:4">
      <c r="A505" t="s">
        <v>7220</v>
      </c>
      <c r="B505" s="2541" t="s">
        <v>8504</v>
      </c>
    </row>
    <row r="506" spans="1:4">
      <c r="A506" t="s">
        <v>7221</v>
      </c>
      <c r="B506" s="2541" t="s">
        <v>8505</v>
      </c>
    </row>
    <row r="507" spans="1:4">
      <c r="A507" t="s">
        <v>7222</v>
      </c>
      <c r="B507" s="2541" t="s">
        <v>8506</v>
      </c>
    </row>
    <row r="508" spans="1:4">
      <c r="A508" t="s">
        <v>7223</v>
      </c>
      <c r="B508" s="2541" t="s">
        <v>8507</v>
      </c>
    </row>
    <row r="509" spans="1:4">
      <c r="A509" t="s">
        <v>7224</v>
      </c>
      <c r="B509" s="2541" t="s">
        <v>8508</v>
      </c>
    </row>
    <row r="510" spans="1:4">
      <c r="A510" t="s">
        <v>7225</v>
      </c>
      <c r="B510" s="2541" t="s">
        <v>8509</v>
      </c>
    </row>
    <row r="511" spans="1:4">
      <c r="A511" t="s">
        <v>7226</v>
      </c>
      <c r="B511" s="2541" t="s">
        <v>8510</v>
      </c>
    </row>
    <row r="512" spans="1:4">
      <c r="A512" t="s">
        <v>7227</v>
      </c>
      <c r="B512" s="2541" t="s">
        <v>8511</v>
      </c>
    </row>
    <row r="513" spans="1:2">
      <c r="A513" t="s">
        <v>7228</v>
      </c>
      <c r="B513" s="2541" t="s">
        <v>8512</v>
      </c>
    </row>
    <row r="514" spans="1:2">
      <c r="A514" t="s">
        <v>7229</v>
      </c>
      <c r="B514" s="2541" t="s">
        <v>8513</v>
      </c>
    </row>
    <row r="515" spans="1:2">
      <c r="A515" t="s">
        <v>7230</v>
      </c>
      <c r="B515" s="2541" t="s">
        <v>8514</v>
      </c>
    </row>
    <row r="516" spans="1:2">
      <c r="A516" t="s">
        <v>7231</v>
      </c>
      <c r="B516" s="2541" t="s">
        <v>8515</v>
      </c>
    </row>
    <row r="517" spans="1:2">
      <c r="A517" t="s">
        <v>7232</v>
      </c>
      <c r="B517" s="2541" t="s">
        <v>8516</v>
      </c>
    </row>
    <row r="518" spans="1:2">
      <c r="A518" t="s">
        <v>7233</v>
      </c>
      <c r="B518" s="2541" t="s">
        <v>8517</v>
      </c>
    </row>
    <row r="519" spans="1:2">
      <c r="A519" t="s">
        <v>7234</v>
      </c>
      <c r="B519" s="2541" t="s">
        <v>8518</v>
      </c>
    </row>
    <row r="520" spans="1:2">
      <c r="A520" t="s">
        <v>7235</v>
      </c>
      <c r="B520" s="2541" t="s">
        <v>8519</v>
      </c>
    </row>
    <row r="521" spans="1:2">
      <c r="A521" t="s">
        <v>7236</v>
      </c>
      <c r="B521" s="2541" t="s">
        <v>8520</v>
      </c>
    </row>
    <row r="522" spans="1:2">
      <c r="A522" t="s">
        <v>7237</v>
      </c>
      <c r="B522" s="2541" t="s">
        <v>8521</v>
      </c>
    </row>
    <row r="523" spans="1:2">
      <c r="A523" t="s">
        <v>7238</v>
      </c>
      <c r="B523" s="2541" t="s">
        <v>8522</v>
      </c>
    </row>
    <row r="524" spans="1:2">
      <c r="A524" t="s">
        <v>7239</v>
      </c>
      <c r="B524" s="2541" t="s">
        <v>8523</v>
      </c>
    </row>
    <row r="525" spans="1:2">
      <c r="A525" t="s">
        <v>7240</v>
      </c>
      <c r="B525" s="2541" t="s">
        <v>8524</v>
      </c>
    </row>
    <row r="526" spans="1:2">
      <c r="A526" t="s">
        <v>7241</v>
      </c>
      <c r="B526" s="2541" t="s">
        <v>8525</v>
      </c>
    </row>
    <row r="527" spans="1:2">
      <c r="A527" t="s">
        <v>7242</v>
      </c>
      <c r="B527" s="2541" t="s">
        <v>8526</v>
      </c>
    </row>
    <row r="528" spans="1:2">
      <c r="A528" t="s">
        <v>7243</v>
      </c>
      <c r="B528" s="2541" t="s">
        <v>8527</v>
      </c>
    </row>
    <row r="529" spans="1:4">
      <c r="A529" t="s">
        <v>7244</v>
      </c>
      <c r="B529" s="2541" t="s">
        <v>8528</v>
      </c>
    </row>
    <row r="530" spans="1:4">
      <c r="A530" t="s">
        <v>7245</v>
      </c>
      <c r="B530" s="2541" t="s">
        <v>8529</v>
      </c>
    </row>
    <row r="531" spans="1:4">
      <c r="A531" s="2542" t="s">
        <v>7246</v>
      </c>
      <c r="B531" s="2541" t="s">
        <v>8621</v>
      </c>
      <c r="C531" s="2567" t="s">
        <v>8623</v>
      </c>
      <c r="D531" s="2567" t="s">
        <v>8625</v>
      </c>
    </row>
    <row r="532" spans="1:4">
      <c r="A532" t="s">
        <v>7247</v>
      </c>
      <c r="B532" s="2541" t="s">
        <v>8499</v>
      </c>
    </row>
    <row r="533" spans="1:4">
      <c r="A533" t="s">
        <v>7248</v>
      </c>
      <c r="B533" s="2541" t="s">
        <v>8500</v>
      </c>
    </row>
    <row r="534" spans="1:4">
      <c r="A534" t="s">
        <v>7249</v>
      </c>
      <c r="B534" s="2541" t="s">
        <v>8501</v>
      </c>
    </row>
    <row r="535" spans="1:4">
      <c r="A535" t="s">
        <v>7250</v>
      </c>
      <c r="B535" s="2541" t="s">
        <v>8502</v>
      </c>
    </row>
    <row r="536" spans="1:4">
      <c r="A536" t="s">
        <v>7251</v>
      </c>
      <c r="B536" s="2541" t="s">
        <v>8503</v>
      </c>
    </row>
    <row r="537" spans="1:4">
      <c r="A537" t="s">
        <v>7252</v>
      </c>
      <c r="B537" s="2541" t="s">
        <v>8504</v>
      </c>
    </row>
    <row r="538" spans="1:4">
      <c r="A538" t="s">
        <v>7253</v>
      </c>
      <c r="B538" s="2541" t="s">
        <v>8505</v>
      </c>
    </row>
    <row r="539" spans="1:4">
      <c r="A539" t="s">
        <v>7254</v>
      </c>
      <c r="B539" s="2541" t="s">
        <v>8506</v>
      </c>
    </row>
    <row r="540" spans="1:4">
      <c r="A540" t="s">
        <v>7255</v>
      </c>
      <c r="B540" s="2541" t="s">
        <v>8507</v>
      </c>
    </row>
    <row r="541" spans="1:4">
      <c r="A541" t="s">
        <v>7256</v>
      </c>
      <c r="B541" s="2541" t="s">
        <v>8508</v>
      </c>
    </row>
    <row r="542" spans="1:4">
      <c r="A542" t="s">
        <v>7257</v>
      </c>
      <c r="B542" s="2541" t="s">
        <v>8509</v>
      </c>
    </row>
    <row r="543" spans="1:4">
      <c r="A543" t="s">
        <v>7258</v>
      </c>
      <c r="B543" s="2541" t="s">
        <v>8510</v>
      </c>
    </row>
    <row r="544" spans="1:4">
      <c r="A544" t="s">
        <v>7259</v>
      </c>
      <c r="B544" s="2541" t="s">
        <v>8511</v>
      </c>
    </row>
    <row r="545" spans="1:2">
      <c r="A545" t="s">
        <v>7260</v>
      </c>
      <c r="B545" s="2541" t="s">
        <v>8512</v>
      </c>
    </row>
    <row r="546" spans="1:2">
      <c r="A546" t="s">
        <v>7261</v>
      </c>
      <c r="B546" s="2541" t="s">
        <v>8513</v>
      </c>
    </row>
    <row r="547" spans="1:2">
      <c r="A547" t="s">
        <v>7262</v>
      </c>
      <c r="B547" s="2541" t="s">
        <v>8514</v>
      </c>
    </row>
    <row r="548" spans="1:2">
      <c r="A548" t="s">
        <v>7263</v>
      </c>
      <c r="B548" s="2541" t="s">
        <v>8515</v>
      </c>
    </row>
    <row r="549" spans="1:2">
      <c r="A549" t="s">
        <v>7264</v>
      </c>
      <c r="B549" s="2541" t="s">
        <v>8516</v>
      </c>
    </row>
    <row r="550" spans="1:2">
      <c r="A550" t="s">
        <v>7265</v>
      </c>
      <c r="B550" s="2541" t="s">
        <v>8517</v>
      </c>
    </row>
    <row r="551" spans="1:2">
      <c r="A551" t="s">
        <v>7266</v>
      </c>
      <c r="B551" s="2541" t="s">
        <v>8518</v>
      </c>
    </row>
    <row r="552" spans="1:2">
      <c r="A552" t="s">
        <v>7267</v>
      </c>
      <c r="B552" s="2541" t="s">
        <v>8519</v>
      </c>
    </row>
    <row r="553" spans="1:2">
      <c r="A553" t="s">
        <v>7268</v>
      </c>
      <c r="B553" s="2541" t="s">
        <v>8520</v>
      </c>
    </row>
    <row r="554" spans="1:2">
      <c r="A554" t="s">
        <v>7269</v>
      </c>
      <c r="B554" s="2541" t="s">
        <v>8521</v>
      </c>
    </row>
    <row r="555" spans="1:2">
      <c r="A555" t="s">
        <v>7270</v>
      </c>
      <c r="B555" s="2541" t="s">
        <v>8522</v>
      </c>
    </row>
    <row r="556" spans="1:2">
      <c r="A556" t="s">
        <v>7271</v>
      </c>
      <c r="B556" s="2541" t="s">
        <v>8523</v>
      </c>
    </row>
    <row r="557" spans="1:2">
      <c r="A557" t="s">
        <v>7272</v>
      </c>
      <c r="B557" s="2541" t="s">
        <v>8524</v>
      </c>
    </row>
    <row r="558" spans="1:2">
      <c r="A558" t="s">
        <v>7273</v>
      </c>
      <c r="B558" s="2541" t="s">
        <v>8525</v>
      </c>
    </row>
    <row r="559" spans="1:2">
      <c r="A559" t="s">
        <v>7274</v>
      </c>
      <c r="B559" s="2541" t="s">
        <v>8526</v>
      </c>
    </row>
    <row r="560" spans="1:2">
      <c r="A560" t="s">
        <v>7275</v>
      </c>
      <c r="B560" s="2541" t="s">
        <v>8527</v>
      </c>
    </row>
    <row r="561" spans="1:4">
      <c r="A561" t="s">
        <v>7276</v>
      </c>
      <c r="B561" s="2541" t="s">
        <v>8528</v>
      </c>
    </row>
    <row r="562" spans="1:4">
      <c r="A562" t="s">
        <v>7277</v>
      </c>
      <c r="B562" s="2541" t="s">
        <v>8529</v>
      </c>
    </row>
    <row r="563" spans="1:4">
      <c r="A563" s="2542" t="s">
        <v>7278</v>
      </c>
      <c r="B563" s="2541" t="s">
        <v>8621</v>
      </c>
      <c r="C563" s="2567" t="s">
        <v>8623</v>
      </c>
      <c r="D563" s="2567" t="s">
        <v>8625</v>
      </c>
    </row>
    <row r="564" spans="1:4">
      <c r="A564" t="s">
        <v>7279</v>
      </c>
      <c r="B564" s="2541" t="s">
        <v>8499</v>
      </c>
    </row>
    <row r="565" spans="1:4">
      <c r="A565" t="s">
        <v>7280</v>
      </c>
      <c r="B565" s="2541" t="s">
        <v>8500</v>
      </c>
    </row>
    <row r="566" spans="1:4">
      <c r="A566" t="s">
        <v>7281</v>
      </c>
      <c r="B566" s="2541" t="s">
        <v>8501</v>
      </c>
    </row>
    <row r="567" spans="1:4">
      <c r="A567" t="s">
        <v>7282</v>
      </c>
      <c r="B567" s="2541" t="s">
        <v>8502</v>
      </c>
    </row>
    <row r="568" spans="1:4">
      <c r="A568" t="s">
        <v>7283</v>
      </c>
      <c r="B568" s="2541" t="s">
        <v>8503</v>
      </c>
    </row>
    <row r="569" spans="1:4">
      <c r="A569" t="s">
        <v>7284</v>
      </c>
      <c r="B569" s="2541" t="s">
        <v>8504</v>
      </c>
    </row>
    <row r="570" spans="1:4">
      <c r="A570" t="s">
        <v>7285</v>
      </c>
      <c r="B570" s="2541" t="s">
        <v>8505</v>
      </c>
    </row>
    <row r="571" spans="1:4">
      <c r="A571" t="s">
        <v>7286</v>
      </c>
      <c r="B571" s="2541" t="s">
        <v>8506</v>
      </c>
    </row>
    <row r="572" spans="1:4">
      <c r="A572" t="s">
        <v>7287</v>
      </c>
      <c r="B572" s="2541" t="s">
        <v>8507</v>
      </c>
    </row>
    <row r="573" spans="1:4">
      <c r="A573" t="s">
        <v>7288</v>
      </c>
      <c r="B573" s="2541" t="s">
        <v>8508</v>
      </c>
    </row>
    <row r="574" spans="1:4">
      <c r="A574" t="s">
        <v>7289</v>
      </c>
      <c r="B574" s="2541" t="s">
        <v>8509</v>
      </c>
    </row>
    <row r="575" spans="1:4">
      <c r="A575" t="s">
        <v>7290</v>
      </c>
      <c r="B575" s="2541" t="s">
        <v>8510</v>
      </c>
    </row>
    <row r="576" spans="1:4">
      <c r="A576" t="s">
        <v>7291</v>
      </c>
      <c r="B576" s="2541" t="s">
        <v>8511</v>
      </c>
    </row>
    <row r="577" spans="1:2">
      <c r="A577" t="s">
        <v>7292</v>
      </c>
      <c r="B577" s="2541" t="s">
        <v>8512</v>
      </c>
    </row>
    <row r="578" spans="1:2">
      <c r="A578" t="s">
        <v>7293</v>
      </c>
      <c r="B578" s="2541" t="s">
        <v>8513</v>
      </c>
    </row>
    <row r="579" spans="1:2">
      <c r="A579" t="s">
        <v>7294</v>
      </c>
      <c r="B579" s="2541" t="s">
        <v>8514</v>
      </c>
    </row>
    <row r="580" spans="1:2">
      <c r="A580" t="s">
        <v>7295</v>
      </c>
      <c r="B580" s="2541" t="s">
        <v>8515</v>
      </c>
    </row>
    <row r="581" spans="1:2">
      <c r="A581" t="s">
        <v>7296</v>
      </c>
      <c r="B581" s="2541" t="s">
        <v>8516</v>
      </c>
    </row>
    <row r="582" spans="1:2">
      <c r="A582" t="s">
        <v>7297</v>
      </c>
      <c r="B582" s="2541" t="s">
        <v>8517</v>
      </c>
    </row>
    <row r="583" spans="1:2">
      <c r="A583" t="s">
        <v>7298</v>
      </c>
      <c r="B583" s="2541" t="s">
        <v>8518</v>
      </c>
    </row>
    <row r="584" spans="1:2">
      <c r="A584" t="s">
        <v>7299</v>
      </c>
      <c r="B584" s="2541" t="s">
        <v>8519</v>
      </c>
    </row>
    <row r="585" spans="1:2">
      <c r="A585" t="s">
        <v>7300</v>
      </c>
      <c r="B585" s="2541" t="s">
        <v>8520</v>
      </c>
    </row>
    <row r="586" spans="1:2">
      <c r="A586" t="s">
        <v>7301</v>
      </c>
      <c r="B586" s="2541" t="s">
        <v>8521</v>
      </c>
    </row>
    <row r="587" spans="1:2">
      <c r="A587" t="s">
        <v>7302</v>
      </c>
      <c r="B587" s="2541" t="s">
        <v>8522</v>
      </c>
    </row>
    <row r="588" spans="1:2">
      <c r="A588" t="s">
        <v>7303</v>
      </c>
      <c r="B588" s="2541" t="s">
        <v>8523</v>
      </c>
    </row>
    <row r="589" spans="1:2">
      <c r="A589" t="s">
        <v>7304</v>
      </c>
      <c r="B589" s="2541" t="s">
        <v>8524</v>
      </c>
    </row>
    <row r="590" spans="1:2">
      <c r="A590" t="s">
        <v>7305</v>
      </c>
      <c r="B590" s="2541" t="s">
        <v>8525</v>
      </c>
    </row>
    <row r="591" spans="1:2">
      <c r="A591" t="s">
        <v>7306</v>
      </c>
      <c r="B591" s="2541" t="s">
        <v>8526</v>
      </c>
    </row>
    <row r="592" spans="1:2">
      <c r="A592" t="s">
        <v>7307</v>
      </c>
      <c r="B592" s="2541" t="s">
        <v>8527</v>
      </c>
    </row>
    <row r="593" spans="1:4">
      <c r="A593" t="s">
        <v>7308</v>
      </c>
      <c r="B593" s="2541" t="s">
        <v>8528</v>
      </c>
    </row>
    <row r="594" spans="1:4">
      <c r="A594" t="s">
        <v>7309</v>
      </c>
      <c r="B594" s="2541" t="s">
        <v>8529</v>
      </c>
    </row>
    <row r="595" spans="1:4">
      <c r="A595" s="2542" t="s">
        <v>7310</v>
      </c>
      <c r="B595" s="2541" t="s">
        <v>8621</v>
      </c>
      <c r="C595" s="2567" t="s">
        <v>8623</v>
      </c>
      <c r="D595" s="2567" t="s">
        <v>8625</v>
      </c>
    </row>
    <row r="596" spans="1:4">
      <c r="A596" t="s">
        <v>7311</v>
      </c>
      <c r="B596" s="2541" t="s">
        <v>8626</v>
      </c>
      <c r="C596" s="2541" t="s">
        <v>8635</v>
      </c>
      <c r="D596" s="2541" t="s">
        <v>8644</v>
      </c>
    </row>
    <row r="597" spans="1:4">
      <c r="A597" t="s">
        <v>7312</v>
      </c>
      <c r="B597" s="2541" t="s">
        <v>8627</v>
      </c>
      <c r="C597" s="2541" t="s">
        <v>8636</v>
      </c>
      <c r="D597" s="2541" t="s">
        <v>8645</v>
      </c>
    </row>
    <row r="598" spans="1:4">
      <c r="A598" t="s">
        <v>7313</v>
      </c>
      <c r="B598" s="2541" t="s">
        <v>8628</v>
      </c>
      <c r="C598" s="2541" t="s">
        <v>8637</v>
      </c>
      <c r="D598" s="2541" t="s">
        <v>8646</v>
      </c>
    </row>
    <row r="599" spans="1:4">
      <c r="A599" t="s">
        <v>7314</v>
      </c>
      <c r="B599" s="2541" t="s">
        <v>8629</v>
      </c>
      <c r="C599" s="2541" t="s">
        <v>8638</v>
      </c>
      <c r="D599" s="2541" t="s">
        <v>8647</v>
      </c>
    </row>
    <row r="600" spans="1:4">
      <c r="A600" t="s">
        <v>7315</v>
      </c>
      <c r="B600" s="2541" t="s">
        <v>8630</v>
      </c>
      <c r="C600" s="2541" t="s">
        <v>8639</v>
      </c>
      <c r="D600" s="2541" t="s">
        <v>8648</v>
      </c>
    </row>
    <row r="601" spans="1:4">
      <c r="A601" t="s">
        <v>7316</v>
      </c>
      <c r="B601" s="2541" t="s">
        <v>8504</v>
      </c>
    </row>
    <row r="602" spans="1:4">
      <c r="A602" t="s">
        <v>7317</v>
      </c>
      <c r="B602" s="2541" t="s">
        <v>8505</v>
      </c>
    </row>
    <row r="603" spans="1:4">
      <c r="A603" t="s">
        <v>7318</v>
      </c>
      <c r="B603" s="2541" t="s">
        <v>8506</v>
      </c>
    </row>
    <row r="604" spans="1:4">
      <c r="A604" t="s">
        <v>7319</v>
      </c>
      <c r="B604" s="2541" t="s">
        <v>8507</v>
      </c>
    </row>
    <row r="605" spans="1:4">
      <c r="A605" t="s">
        <v>7320</v>
      </c>
      <c r="B605" s="2541" t="s">
        <v>8508</v>
      </c>
    </row>
    <row r="606" spans="1:4">
      <c r="A606" t="s">
        <v>7321</v>
      </c>
      <c r="B606" s="2541" t="s">
        <v>8509</v>
      </c>
    </row>
    <row r="607" spans="1:4">
      <c r="A607" t="s">
        <v>7322</v>
      </c>
      <c r="B607" s="2541" t="s">
        <v>8510</v>
      </c>
    </row>
    <row r="608" spans="1:4">
      <c r="A608" t="s">
        <v>7323</v>
      </c>
      <c r="B608" s="2541" t="s">
        <v>8511</v>
      </c>
    </row>
    <row r="609" spans="1:2">
      <c r="A609" t="s">
        <v>7324</v>
      </c>
      <c r="B609" s="2541" t="s">
        <v>8512</v>
      </c>
    </row>
    <row r="610" spans="1:2">
      <c r="A610" t="s">
        <v>7325</v>
      </c>
      <c r="B610" s="2541" t="s">
        <v>8513</v>
      </c>
    </row>
    <row r="611" spans="1:2">
      <c r="A611" t="s">
        <v>7326</v>
      </c>
      <c r="B611" s="2541" t="s">
        <v>8514</v>
      </c>
    </row>
    <row r="612" spans="1:2">
      <c r="A612" t="s">
        <v>7327</v>
      </c>
      <c r="B612" s="2541" t="s">
        <v>8515</v>
      </c>
    </row>
    <row r="613" spans="1:2">
      <c r="A613" t="s">
        <v>7328</v>
      </c>
      <c r="B613" s="2541" t="s">
        <v>8516</v>
      </c>
    </row>
    <row r="614" spans="1:2">
      <c r="A614" t="s">
        <v>7329</v>
      </c>
      <c r="B614" s="2541" t="s">
        <v>8517</v>
      </c>
    </row>
    <row r="615" spans="1:2">
      <c r="A615" t="s">
        <v>7330</v>
      </c>
      <c r="B615" s="2541" t="s">
        <v>8518</v>
      </c>
    </row>
    <row r="616" spans="1:2">
      <c r="A616" t="s">
        <v>7331</v>
      </c>
      <c r="B616" s="2541" t="s">
        <v>8519</v>
      </c>
    </row>
    <row r="617" spans="1:2">
      <c r="A617" t="s">
        <v>7332</v>
      </c>
      <c r="B617" s="2541" t="s">
        <v>8520</v>
      </c>
    </row>
    <row r="618" spans="1:2">
      <c r="A618" t="s">
        <v>7333</v>
      </c>
      <c r="B618" s="2541" t="s">
        <v>8521</v>
      </c>
    </row>
    <row r="619" spans="1:2">
      <c r="A619" t="s">
        <v>7334</v>
      </c>
      <c r="B619" s="2541" t="s">
        <v>8522</v>
      </c>
    </row>
    <row r="620" spans="1:2">
      <c r="A620" t="s">
        <v>7335</v>
      </c>
      <c r="B620" s="2541" t="s">
        <v>8523</v>
      </c>
    </row>
    <row r="621" spans="1:2">
      <c r="A621" t="s">
        <v>7336</v>
      </c>
      <c r="B621" s="2541" t="s">
        <v>8524</v>
      </c>
    </row>
    <row r="622" spans="1:2">
      <c r="A622" t="s">
        <v>7337</v>
      </c>
      <c r="B622" s="2541" t="s">
        <v>8525</v>
      </c>
    </row>
    <row r="623" spans="1:2">
      <c r="A623" t="s">
        <v>7338</v>
      </c>
      <c r="B623" s="2541" t="s">
        <v>8526</v>
      </c>
    </row>
    <row r="624" spans="1:2">
      <c r="A624" t="s">
        <v>7339</v>
      </c>
      <c r="B624" s="2541" t="s">
        <v>8527</v>
      </c>
    </row>
    <row r="625" spans="1:4">
      <c r="A625" s="2542" t="s">
        <v>7340</v>
      </c>
      <c r="B625" s="2541" t="s">
        <v>8621</v>
      </c>
      <c r="C625" s="2567" t="s">
        <v>8623</v>
      </c>
      <c r="D625" s="2567" t="s">
        <v>8625</v>
      </c>
    </row>
    <row r="626" spans="1:4">
      <c r="A626" t="s">
        <v>7341</v>
      </c>
      <c r="B626" s="2541" t="s">
        <v>8626</v>
      </c>
      <c r="C626" s="2541" t="s">
        <v>8635</v>
      </c>
      <c r="D626" s="2541" t="s">
        <v>8644</v>
      </c>
    </row>
    <row r="627" spans="1:4">
      <c r="A627" t="s">
        <v>7342</v>
      </c>
      <c r="B627" s="2541" t="s">
        <v>8627</v>
      </c>
      <c r="C627" s="2541" t="s">
        <v>8636</v>
      </c>
      <c r="D627" s="2541" t="s">
        <v>8645</v>
      </c>
    </row>
    <row r="628" spans="1:4">
      <c r="A628" t="s">
        <v>7343</v>
      </c>
      <c r="B628" s="2541" t="s">
        <v>8628</v>
      </c>
      <c r="C628" s="2541" t="s">
        <v>8637</v>
      </c>
      <c r="D628" s="2541" t="s">
        <v>8646</v>
      </c>
    </row>
    <row r="629" spans="1:4">
      <c r="A629" t="s">
        <v>7344</v>
      </c>
      <c r="B629" s="2541" t="s">
        <v>8629</v>
      </c>
      <c r="C629" s="2541" t="s">
        <v>8638</v>
      </c>
      <c r="D629" s="2541" t="s">
        <v>8647</v>
      </c>
    </row>
    <row r="630" spans="1:4">
      <c r="A630" t="s">
        <v>7345</v>
      </c>
      <c r="B630" s="2541" t="s">
        <v>8630</v>
      </c>
      <c r="C630" s="2541" t="s">
        <v>8639</v>
      </c>
      <c r="D630" s="2541" t="s">
        <v>8648</v>
      </c>
    </row>
    <row r="631" spans="1:4">
      <c r="A631" t="s">
        <v>7346</v>
      </c>
      <c r="B631" s="2541" t="s">
        <v>8504</v>
      </c>
    </row>
    <row r="632" spans="1:4">
      <c r="A632" t="s">
        <v>7347</v>
      </c>
      <c r="B632" s="2541" t="s">
        <v>8505</v>
      </c>
    </row>
    <row r="633" spans="1:4">
      <c r="A633" t="s">
        <v>7348</v>
      </c>
      <c r="B633" s="2541" t="s">
        <v>8506</v>
      </c>
    </row>
    <row r="634" spans="1:4">
      <c r="A634" t="s">
        <v>7349</v>
      </c>
      <c r="B634" s="2541" t="s">
        <v>8507</v>
      </c>
    </row>
    <row r="635" spans="1:4">
      <c r="A635" t="s">
        <v>7350</v>
      </c>
      <c r="B635" s="2541" t="s">
        <v>8508</v>
      </c>
    </row>
    <row r="636" spans="1:4">
      <c r="A636" t="s">
        <v>7351</v>
      </c>
      <c r="B636" s="2541" t="s">
        <v>8509</v>
      </c>
    </row>
    <row r="637" spans="1:4">
      <c r="A637" t="s">
        <v>7352</v>
      </c>
      <c r="B637" s="2541" t="s">
        <v>8510</v>
      </c>
    </row>
    <row r="638" spans="1:4">
      <c r="A638" t="s">
        <v>7353</v>
      </c>
      <c r="B638" s="2541" t="s">
        <v>8511</v>
      </c>
    </row>
    <row r="639" spans="1:4">
      <c r="A639" t="s">
        <v>7354</v>
      </c>
      <c r="B639" s="2541" t="s">
        <v>8512</v>
      </c>
    </row>
    <row r="640" spans="1:4">
      <c r="A640" t="s">
        <v>7355</v>
      </c>
      <c r="B640" s="2541" t="s">
        <v>8513</v>
      </c>
    </row>
    <row r="641" spans="1:2">
      <c r="A641" t="s">
        <v>7356</v>
      </c>
      <c r="B641" s="2541" t="s">
        <v>8514</v>
      </c>
    </row>
    <row r="642" spans="1:2">
      <c r="A642" t="s">
        <v>7357</v>
      </c>
      <c r="B642" s="2541" t="s">
        <v>8515</v>
      </c>
    </row>
    <row r="643" spans="1:2">
      <c r="A643" t="s">
        <v>7358</v>
      </c>
      <c r="B643" s="2541" t="s">
        <v>8516</v>
      </c>
    </row>
    <row r="644" spans="1:2">
      <c r="A644" t="s">
        <v>7359</v>
      </c>
      <c r="B644" s="2541" t="s">
        <v>8517</v>
      </c>
    </row>
    <row r="645" spans="1:2">
      <c r="A645" t="s">
        <v>7360</v>
      </c>
      <c r="B645" s="2541" t="s">
        <v>8518</v>
      </c>
    </row>
    <row r="646" spans="1:2">
      <c r="A646" t="s">
        <v>7361</v>
      </c>
      <c r="B646" s="2541" t="s">
        <v>8519</v>
      </c>
    </row>
    <row r="647" spans="1:2">
      <c r="A647" t="s">
        <v>7362</v>
      </c>
      <c r="B647" s="2541" t="s">
        <v>8520</v>
      </c>
    </row>
    <row r="648" spans="1:2">
      <c r="A648" t="s">
        <v>7363</v>
      </c>
      <c r="B648" s="2541" t="s">
        <v>8521</v>
      </c>
    </row>
    <row r="649" spans="1:2">
      <c r="A649" t="s">
        <v>7364</v>
      </c>
      <c r="B649" s="2541" t="s">
        <v>8522</v>
      </c>
    </row>
    <row r="650" spans="1:2">
      <c r="A650" t="s">
        <v>7365</v>
      </c>
      <c r="B650" s="2541" t="s">
        <v>8523</v>
      </c>
    </row>
    <row r="651" spans="1:2">
      <c r="A651" t="s">
        <v>7366</v>
      </c>
      <c r="B651" s="2541" t="s">
        <v>8524</v>
      </c>
    </row>
    <row r="652" spans="1:2">
      <c r="A652" t="s">
        <v>7367</v>
      </c>
      <c r="B652" s="2541" t="s">
        <v>8525</v>
      </c>
    </row>
    <row r="653" spans="1:2">
      <c r="A653" t="s">
        <v>7368</v>
      </c>
      <c r="B653" s="2541" t="s">
        <v>8526</v>
      </c>
    </row>
    <row r="654" spans="1:2">
      <c r="A654" t="s">
        <v>7369</v>
      </c>
      <c r="B654" s="2541" t="s">
        <v>8527</v>
      </c>
    </row>
    <row r="655" spans="1:2">
      <c r="A655" s="2542" t="s">
        <v>7370</v>
      </c>
      <c r="B655" s="2541" t="s">
        <v>8560</v>
      </c>
    </row>
    <row r="656" spans="1:2">
      <c r="A656" t="s">
        <v>7371</v>
      </c>
      <c r="B656" s="2541" t="s">
        <v>8561</v>
      </c>
    </row>
    <row r="657" spans="1:2">
      <c r="A657" t="s">
        <v>7372</v>
      </c>
      <c r="B657" s="2541" t="s">
        <v>8562</v>
      </c>
    </row>
    <row r="658" spans="1:2">
      <c r="A658" t="s">
        <v>7373</v>
      </c>
      <c r="B658" s="2541" t="s">
        <v>8563</v>
      </c>
    </row>
    <row r="659" spans="1:2">
      <c r="A659" t="s">
        <v>7374</v>
      </c>
      <c r="B659" s="2541" t="s">
        <v>8564</v>
      </c>
    </row>
    <row r="660" spans="1:2">
      <c r="A660" t="s">
        <v>7375</v>
      </c>
      <c r="B660" s="2541" t="s">
        <v>8565</v>
      </c>
    </row>
    <row r="661" spans="1:2">
      <c r="A661" t="s">
        <v>7376</v>
      </c>
      <c r="B661" s="2541" t="s">
        <v>8566</v>
      </c>
    </row>
    <row r="662" spans="1:2">
      <c r="A662" t="s">
        <v>7377</v>
      </c>
      <c r="B662" s="2541" t="s">
        <v>8567</v>
      </c>
    </row>
    <row r="663" spans="1:2">
      <c r="A663" t="s">
        <v>7378</v>
      </c>
      <c r="B663" s="2541" t="s">
        <v>8568</v>
      </c>
    </row>
    <row r="664" spans="1:2">
      <c r="A664" t="s">
        <v>7379</v>
      </c>
      <c r="B664" s="2541" t="s">
        <v>8569</v>
      </c>
    </row>
    <row r="665" spans="1:2">
      <c r="A665" t="s">
        <v>7380</v>
      </c>
      <c r="B665" s="2541" t="s">
        <v>8570</v>
      </c>
    </row>
    <row r="666" spans="1:2">
      <c r="A666" t="s">
        <v>7381</v>
      </c>
      <c r="B666" s="2541" t="s">
        <v>8571</v>
      </c>
    </row>
    <row r="667" spans="1:2">
      <c r="A667" t="s">
        <v>7382</v>
      </c>
      <c r="B667" s="2541" t="s">
        <v>8572</v>
      </c>
    </row>
    <row r="668" spans="1:2">
      <c r="A668" t="s">
        <v>7383</v>
      </c>
      <c r="B668" s="2541" t="s">
        <v>8573</v>
      </c>
    </row>
    <row r="669" spans="1:2">
      <c r="A669" t="s">
        <v>7384</v>
      </c>
      <c r="B669" s="2541" t="s">
        <v>8574</v>
      </c>
    </row>
    <row r="670" spans="1:2">
      <c r="A670" t="s">
        <v>7385</v>
      </c>
      <c r="B670" s="2541" t="s">
        <v>8575</v>
      </c>
    </row>
    <row r="671" spans="1:2">
      <c r="A671" t="s">
        <v>7386</v>
      </c>
      <c r="B671" s="2541" t="s">
        <v>8576</v>
      </c>
    </row>
    <row r="672" spans="1:2">
      <c r="A672" t="s">
        <v>7387</v>
      </c>
      <c r="B672" s="2541" t="s">
        <v>8577</v>
      </c>
    </row>
    <row r="673" spans="1:2">
      <c r="A673" t="s">
        <v>7388</v>
      </c>
      <c r="B673" s="2541" t="s">
        <v>8578</v>
      </c>
    </row>
    <row r="674" spans="1:2">
      <c r="A674" t="s">
        <v>7389</v>
      </c>
      <c r="B674" s="2541" t="s">
        <v>8579</v>
      </c>
    </row>
    <row r="675" spans="1:2">
      <c r="A675" t="s">
        <v>7390</v>
      </c>
      <c r="B675" s="2541" t="s">
        <v>8580</v>
      </c>
    </row>
    <row r="676" spans="1:2">
      <c r="A676" t="s">
        <v>7391</v>
      </c>
      <c r="B676" s="2541" t="s">
        <v>8581</v>
      </c>
    </row>
    <row r="677" spans="1:2">
      <c r="A677" t="s">
        <v>7392</v>
      </c>
      <c r="B677" s="2541" t="s">
        <v>8582</v>
      </c>
    </row>
    <row r="678" spans="1:2">
      <c r="A678" t="s">
        <v>7393</v>
      </c>
      <c r="B678" s="2541" t="s">
        <v>8583</v>
      </c>
    </row>
    <row r="679" spans="1:2">
      <c r="A679" t="s">
        <v>7394</v>
      </c>
      <c r="B679" s="2541" t="s">
        <v>8584</v>
      </c>
    </row>
    <row r="680" spans="1:2">
      <c r="A680" t="s">
        <v>7395</v>
      </c>
      <c r="B680" s="2541" t="s">
        <v>8585</v>
      </c>
    </row>
    <row r="681" spans="1:2">
      <c r="A681" t="s">
        <v>7396</v>
      </c>
      <c r="B681" s="2541" t="s">
        <v>8586</v>
      </c>
    </row>
    <row r="682" spans="1:2">
      <c r="A682" t="s">
        <v>7397</v>
      </c>
      <c r="B682" s="2541" t="s">
        <v>8587</v>
      </c>
    </row>
    <row r="683" spans="1:2">
      <c r="A683" t="s">
        <v>7398</v>
      </c>
      <c r="B683" s="2541" t="s">
        <v>8588</v>
      </c>
    </row>
    <row r="684" spans="1:2">
      <c r="A684" t="s">
        <v>7399</v>
      </c>
      <c r="B684" s="2541" t="s">
        <v>8589</v>
      </c>
    </row>
    <row r="685" spans="1:2">
      <c r="A685" t="s">
        <v>7400</v>
      </c>
      <c r="B685" s="2541" t="s">
        <v>8590</v>
      </c>
    </row>
    <row r="686" spans="1:2">
      <c r="A686" t="s">
        <v>7401</v>
      </c>
      <c r="B686" s="2541" t="s">
        <v>8591</v>
      </c>
    </row>
    <row r="687" spans="1:2">
      <c r="A687" t="s">
        <v>7402</v>
      </c>
      <c r="B687" s="2541" t="s">
        <v>8592</v>
      </c>
    </row>
    <row r="688" spans="1:2">
      <c r="A688" t="s">
        <v>7403</v>
      </c>
      <c r="B688" s="2541" t="s">
        <v>8593</v>
      </c>
    </row>
    <row r="689" spans="1:2">
      <c r="A689" s="2542" t="s">
        <v>7404</v>
      </c>
      <c r="B689" s="2541" t="s">
        <v>8560</v>
      </c>
    </row>
    <row r="690" spans="1:2">
      <c r="A690" t="s">
        <v>7405</v>
      </c>
      <c r="B690" s="2541" t="s">
        <v>8561</v>
      </c>
    </row>
    <row r="691" spans="1:2">
      <c r="A691" t="s">
        <v>7406</v>
      </c>
      <c r="B691" s="2541" t="s">
        <v>8562</v>
      </c>
    </row>
    <row r="692" spans="1:2">
      <c r="A692" t="s">
        <v>7407</v>
      </c>
      <c r="B692" s="2541" t="s">
        <v>8563</v>
      </c>
    </row>
    <row r="693" spans="1:2">
      <c r="A693" t="s">
        <v>7408</v>
      </c>
      <c r="B693" s="2541" t="s">
        <v>8564</v>
      </c>
    </row>
    <row r="694" spans="1:2">
      <c r="A694" t="s">
        <v>7409</v>
      </c>
      <c r="B694" s="2541" t="s">
        <v>8565</v>
      </c>
    </row>
    <row r="695" spans="1:2">
      <c r="A695" t="s">
        <v>7410</v>
      </c>
      <c r="B695" s="2541" t="s">
        <v>8566</v>
      </c>
    </row>
    <row r="696" spans="1:2">
      <c r="A696" t="s">
        <v>7411</v>
      </c>
      <c r="B696" s="2541" t="s">
        <v>8567</v>
      </c>
    </row>
    <row r="697" spans="1:2">
      <c r="A697" t="s">
        <v>7412</v>
      </c>
      <c r="B697" s="2541" t="s">
        <v>8568</v>
      </c>
    </row>
    <row r="698" spans="1:2">
      <c r="A698" t="s">
        <v>7413</v>
      </c>
      <c r="B698" s="2541" t="s">
        <v>8569</v>
      </c>
    </row>
    <row r="699" spans="1:2">
      <c r="A699" t="s">
        <v>7414</v>
      </c>
      <c r="B699" s="2541" t="s">
        <v>8570</v>
      </c>
    </row>
    <row r="700" spans="1:2">
      <c r="A700" t="s">
        <v>7415</v>
      </c>
      <c r="B700" s="2541" t="s">
        <v>8571</v>
      </c>
    </row>
    <row r="701" spans="1:2">
      <c r="A701" t="s">
        <v>7416</v>
      </c>
      <c r="B701" s="2541" t="s">
        <v>8572</v>
      </c>
    </row>
    <row r="702" spans="1:2">
      <c r="A702" t="s">
        <v>7417</v>
      </c>
      <c r="B702" s="2541" t="s">
        <v>8573</v>
      </c>
    </row>
    <row r="703" spans="1:2">
      <c r="A703" t="s">
        <v>7418</v>
      </c>
      <c r="B703" s="2541" t="s">
        <v>8574</v>
      </c>
    </row>
    <row r="704" spans="1:2">
      <c r="A704" t="s">
        <v>7419</v>
      </c>
      <c r="B704" s="2541" t="s">
        <v>8575</v>
      </c>
    </row>
    <row r="705" spans="1:2">
      <c r="A705" t="s">
        <v>7420</v>
      </c>
      <c r="B705" s="2541" t="s">
        <v>8576</v>
      </c>
    </row>
    <row r="706" spans="1:2">
      <c r="A706" t="s">
        <v>7421</v>
      </c>
      <c r="B706" s="2541" t="s">
        <v>8577</v>
      </c>
    </row>
    <row r="707" spans="1:2">
      <c r="A707" t="s">
        <v>7422</v>
      </c>
      <c r="B707" s="2541" t="s">
        <v>8578</v>
      </c>
    </row>
    <row r="708" spans="1:2">
      <c r="A708" t="s">
        <v>7423</v>
      </c>
      <c r="B708" s="2541" t="s">
        <v>8579</v>
      </c>
    </row>
    <row r="709" spans="1:2">
      <c r="A709" t="s">
        <v>7424</v>
      </c>
      <c r="B709" s="2541" t="s">
        <v>8580</v>
      </c>
    </row>
    <row r="710" spans="1:2">
      <c r="A710" t="s">
        <v>7425</v>
      </c>
      <c r="B710" s="2541" t="s">
        <v>8581</v>
      </c>
    </row>
    <row r="711" spans="1:2">
      <c r="A711" t="s">
        <v>7426</v>
      </c>
      <c r="B711" s="2541" t="s">
        <v>8582</v>
      </c>
    </row>
    <row r="712" spans="1:2">
      <c r="A712" t="s">
        <v>7427</v>
      </c>
      <c r="B712" s="2541" t="s">
        <v>8583</v>
      </c>
    </row>
    <row r="713" spans="1:2">
      <c r="A713" t="s">
        <v>7428</v>
      </c>
      <c r="B713" s="2541" t="s">
        <v>8584</v>
      </c>
    </row>
    <row r="714" spans="1:2">
      <c r="A714" t="s">
        <v>7429</v>
      </c>
      <c r="B714" s="2541" t="s">
        <v>8585</v>
      </c>
    </row>
    <row r="715" spans="1:2">
      <c r="A715" t="s">
        <v>7430</v>
      </c>
      <c r="B715" s="2541" t="s">
        <v>8586</v>
      </c>
    </row>
    <row r="716" spans="1:2">
      <c r="A716" t="s">
        <v>7431</v>
      </c>
      <c r="B716" s="2541" t="s">
        <v>8587</v>
      </c>
    </row>
    <row r="717" spans="1:2">
      <c r="A717" t="s">
        <v>7432</v>
      </c>
      <c r="B717" s="2541" t="s">
        <v>8588</v>
      </c>
    </row>
    <row r="718" spans="1:2">
      <c r="A718" t="s">
        <v>7433</v>
      </c>
      <c r="B718" s="2541" t="s">
        <v>8589</v>
      </c>
    </row>
    <row r="719" spans="1:2">
      <c r="A719" t="s">
        <v>7434</v>
      </c>
      <c r="B719" s="2541" t="s">
        <v>8590</v>
      </c>
    </row>
    <row r="720" spans="1:2">
      <c r="A720" t="s">
        <v>7435</v>
      </c>
      <c r="B720" s="2541" t="s">
        <v>8591</v>
      </c>
    </row>
    <row r="721" spans="1:2">
      <c r="A721" t="s">
        <v>7436</v>
      </c>
      <c r="B721" s="2541" t="s">
        <v>8592</v>
      </c>
    </row>
    <row r="722" spans="1:2">
      <c r="A722" t="s">
        <v>7437</v>
      </c>
      <c r="B722" s="2541" t="s">
        <v>8593</v>
      </c>
    </row>
    <row r="723" spans="1:2">
      <c r="A723" s="2542" t="s">
        <v>7438</v>
      </c>
      <c r="B723" s="2541" t="s">
        <v>8560</v>
      </c>
    </row>
    <row r="724" spans="1:2">
      <c r="A724" t="s">
        <v>7439</v>
      </c>
      <c r="B724" s="2541" t="s">
        <v>8561</v>
      </c>
    </row>
    <row r="725" spans="1:2">
      <c r="A725" t="s">
        <v>7440</v>
      </c>
      <c r="B725" s="2541" t="s">
        <v>8562</v>
      </c>
    </row>
    <row r="726" spans="1:2">
      <c r="A726" t="s">
        <v>7441</v>
      </c>
      <c r="B726" s="2541" t="s">
        <v>8563</v>
      </c>
    </row>
    <row r="727" spans="1:2">
      <c r="A727" t="s">
        <v>7442</v>
      </c>
      <c r="B727" s="2541" t="s">
        <v>8564</v>
      </c>
    </row>
    <row r="728" spans="1:2">
      <c r="A728" t="s">
        <v>7443</v>
      </c>
      <c r="B728" s="2541" t="s">
        <v>8565</v>
      </c>
    </row>
    <row r="729" spans="1:2">
      <c r="A729" t="s">
        <v>7444</v>
      </c>
      <c r="B729" s="2541" t="s">
        <v>8566</v>
      </c>
    </row>
    <row r="730" spans="1:2">
      <c r="A730" t="s">
        <v>7445</v>
      </c>
      <c r="B730" s="2541" t="s">
        <v>8567</v>
      </c>
    </row>
    <row r="731" spans="1:2">
      <c r="A731" t="s">
        <v>7446</v>
      </c>
      <c r="B731" s="2541" t="s">
        <v>8568</v>
      </c>
    </row>
    <row r="732" spans="1:2">
      <c r="A732" t="s">
        <v>7447</v>
      </c>
      <c r="B732" s="2541" t="s">
        <v>8569</v>
      </c>
    </row>
    <row r="733" spans="1:2">
      <c r="A733" t="s">
        <v>7448</v>
      </c>
      <c r="B733" s="2541" t="s">
        <v>8570</v>
      </c>
    </row>
    <row r="734" spans="1:2">
      <c r="A734" t="s">
        <v>7449</v>
      </c>
      <c r="B734" s="2541" t="s">
        <v>8571</v>
      </c>
    </row>
    <row r="735" spans="1:2">
      <c r="A735" t="s">
        <v>7450</v>
      </c>
      <c r="B735" s="2541" t="s">
        <v>8572</v>
      </c>
    </row>
    <row r="736" spans="1:2">
      <c r="A736" t="s">
        <v>7451</v>
      </c>
      <c r="B736" s="2541" t="s">
        <v>8573</v>
      </c>
    </row>
    <row r="737" spans="1:2">
      <c r="A737" t="s">
        <v>7452</v>
      </c>
      <c r="B737" s="2541" t="s">
        <v>8574</v>
      </c>
    </row>
    <row r="738" spans="1:2">
      <c r="A738" t="s">
        <v>7453</v>
      </c>
      <c r="B738" s="2541" t="s">
        <v>8575</v>
      </c>
    </row>
    <row r="739" spans="1:2">
      <c r="A739" t="s">
        <v>7454</v>
      </c>
      <c r="B739" s="2541" t="s">
        <v>8576</v>
      </c>
    </row>
    <row r="740" spans="1:2">
      <c r="A740" t="s">
        <v>7455</v>
      </c>
      <c r="B740" s="2541" t="s">
        <v>8577</v>
      </c>
    </row>
    <row r="741" spans="1:2">
      <c r="A741" t="s">
        <v>7456</v>
      </c>
      <c r="B741" s="2541" t="s">
        <v>8578</v>
      </c>
    </row>
    <row r="742" spans="1:2">
      <c r="A742" t="s">
        <v>7457</v>
      </c>
      <c r="B742" s="2541" t="s">
        <v>8579</v>
      </c>
    </row>
    <row r="743" spans="1:2">
      <c r="A743" t="s">
        <v>7458</v>
      </c>
      <c r="B743" s="2541" t="s">
        <v>8580</v>
      </c>
    </row>
    <row r="744" spans="1:2">
      <c r="A744" t="s">
        <v>7459</v>
      </c>
      <c r="B744" s="2541" t="s">
        <v>8581</v>
      </c>
    </row>
    <row r="745" spans="1:2">
      <c r="A745" t="s">
        <v>7460</v>
      </c>
      <c r="B745" s="2541" t="s">
        <v>8582</v>
      </c>
    </row>
    <row r="746" spans="1:2">
      <c r="A746" t="s">
        <v>7461</v>
      </c>
      <c r="B746" s="2541" t="s">
        <v>8583</v>
      </c>
    </row>
    <row r="747" spans="1:2">
      <c r="A747" s="2542" t="s">
        <v>7462</v>
      </c>
      <c r="B747" s="2541" t="s">
        <v>8560</v>
      </c>
    </row>
    <row r="748" spans="1:2">
      <c r="A748" t="s">
        <v>7463</v>
      </c>
      <c r="B748" s="2541" t="s">
        <v>8561</v>
      </c>
    </row>
    <row r="749" spans="1:2">
      <c r="A749" t="s">
        <v>7464</v>
      </c>
      <c r="B749" s="2541" t="s">
        <v>8562</v>
      </c>
    </row>
    <row r="750" spans="1:2">
      <c r="A750" t="s">
        <v>7465</v>
      </c>
      <c r="B750" s="2541" t="s">
        <v>8563</v>
      </c>
    </row>
    <row r="751" spans="1:2">
      <c r="A751" t="s">
        <v>7466</v>
      </c>
      <c r="B751" s="2541" t="s">
        <v>8564</v>
      </c>
    </row>
    <row r="752" spans="1:2">
      <c r="A752" t="s">
        <v>7467</v>
      </c>
      <c r="B752" s="2541" t="s">
        <v>8565</v>
      </c>
    </row>
    <row r="753" spans="1:2">
      <c r="A753" t="s">
        <v>7468</v>
      </c>
      <c r="B753" s="2541" t="s">
        <v>8566</v>
      </c>
    </row>
    <row r="754" spans="1:2">
      <c r="A754" t="s">
        <v>7469</v>
      </c>
      <c r="B754" s="2541" t="s">
        <v>8567</v>
      </c>
    </row>
    <row r="755" spans="1:2">
      <c r="A755" t="s">
        <v>7470</v>
      </c>
      <c r="B755" s="2541" t="s">
        <v>8568</v>
      </c>
    </row>
    <row r="756" spans="1:2">
      <c r="A756" t="s">
        <v>7471</v>
      </c>
      <c r="B756" s="2541" t="s">
        <v>8569</v>
      </c>
    </row>
    <row r="757" spans="1:2">
      <c r="A757" t="s">
        <v>7472</v>
      </c>
      <c r="B757" s="2541" t="s">
        <v>8570</v>
      </c>
    </row>
    <row r="758" spans="1:2">
      <c r="A758" t="s">
        <v>7473</v>
      </c>
      <c r="B758" s="2541" t="s">
        <v>8571</v>
      </c>
    </row>
    <row r="759" spans="1:2">
      <c r="A759" t="s">
        <v>7474</v>
      </c>
      <c r="B759" s="2541" t="s">
        <v>8572</v>
      </c>
    </row>
    <row r="760" spans="1:2">
      <c r="A760" t="s">
        <v>7475</v>
      </c>
      <c r="B760" s="2541" t="s">
        <v>8573</v>
      </c>
    </row>
    <row r="761" spans="1:2">
      <c r="A761" t="s">
        <v>7476</v>
      </c>
      <c r="B761" s="2541" t="s">
        <v>8574</v>
      </c>
    </row>
    <row r="762" spans="1:2">
      <c r="A762" t="s">
        <v>7477</v>
      </c>
      <c r="B762" s="2541" t="s">
        <v>8575</v>
      </c>
    </row>
    <row r="763" spans="1:2">
      <c r="A763" t="s">
        <v>7478</v>
      </c>
      <c r="B763" s="2541" t="s">
        <v>8576</v>
      </c>
    </row>
    <row r="764" spans="1:2">
      <c r="A764" t="s">
        <v>7479</v>
      </c>
      <c r="B764" s="2541" t="s">
        <v>8577</v>
      </c>
    </row>
    <row r="765" spans="1:2">
      <c r="A765" t="s">
        <v>7480</v>
      </c>
      <c r="B765" s="2541" t="s">
        <v>8578</v>
      </c>
    </row>
    <row r="766" spans="1:2">
      <c r="A766" t="s">
        <v>7481</v>
      </c>
      <c r="B766" s="2541" t="s">
        <v>8579</v>
      </c>
    </row>
    <row r="767" spans="1:2">
      <c r="A767" t="s">
        <v>7482</v>
      </c>
      <c r="B767" s="2541" t="s">
        <v>8580</v>
      </c>
    </row>
    <row r="768" spans="1:2">
      <c r="A768" t="s">
        <v>7483</v>
      </c>
      <c r="B768" s="2541" t="s">
        <v>8581</v>
      </c>
    </row>
    <row r="769" spans="1:2">
      <c r="A769" t="s">
        <v>7484</v>
      </c>
      <c r="B769" s="2541" t="s">
        <v>8582</v>
      </c>
    </row>
    <row r="770" spans="1:2">
      <c r="A770" t="s">
        <v>7485</v>
      </c>
      <c r="B770" s="2541" t="s">
        <v>8583</v>
      </c>
    </row>
    <row r="771" spans="1:2">
      <c r="A771" s="2542" t="s">
        <v>7486</v>
      </c>
      <c r="B771" s="2541" t="s">
        <v>8560</v>
      </c>
    </row>
    <row r="772" spans="1:2">
      <c r="A772" t="s">
        <v>7487</v>
      </c>
      <c r="B772" s="2541" t="s">
        <v>8561</v>
      </c>
    </row>
    <row r="773" spans="1:2">
      <c r="A773" t="s">
        <v>7488</v>
      </c>
      <c r="B773" s="2541" t="s">
        <v>8562</v>
      </c>
    </row>
    <row r="774" spans="1:2">
      <c r="A774" t="s">
        <v>7489</v>
      </c>
      <c r="B774" s="2541" t="s">
        <v>8563</v>
      </c>
    </row>
    <row r="775" spans="1:2">
      <c r="A775" t="s">
        <v>7490</v>
      </c>
      <c r="B775" s="2541" t="s">
        <v>8564</v>
      </c>
    </row>
    <row r="776" spans="1:2">
      <c r="A776" t="s">
        <v>7491</v>
      </c>
      <c r="B776" s="2541" t="s">
        <v>8565</v>
      </c>
    </row>
    <row r="777" spans="1:2">
      <c r="A777" t="s">
        <v>7492</v>
      </c>
      <c r="B777" s="2541" t="s">
        <v>8566</v>
      </c>
    </row>
    <row r="778" spans="1:2">
      <c r="A778" t="s">
        <v>7493</v>
      </c>
      <c r="B778" s="2541" t="s">
        <v>8567</v>
      </c>
    </row>
    <row r="779" spans="1:2">
      <c r="A779" t="s">
        <v>7494</v>
      </c>
      <c r="B779" s="2541" t="s">
        <v>8568</v>
      </c>
    </row>
    <row r="780" spans="1:2">
      <c r="A780" t="s">
        <v>7495</v>
      </c>
      <c r="B780" s="2541" t="s">
        <v>8569</v>
      </c>
    </row>
    <row r="781" spans="1:2">
      <c r="A781" t="s">
        <v>7496</v>
      </c>
      <c r="B781" s="2541" t="s">
        <v>8570</v>
      </c>
    </row>
    <row r="782" spans="1:2">
      <c r="A782" t="s">
        <v>7497</v>
      </c>
      <c r="B782" s="2541" t="s">
        <v>8571</v>
      </c>
    </row>
    <row r="783" spans="1:2">
      <c r="A783" t="s">
        <v>7498</v>
      </c>
      <c r="B783" s="2541" t="s">
        <v>8572</v>
      </c>
    </row>
    <row r="784" spans="1:2">
      <c r="A784" t="s">
        <v>7499</v>
      </c>
      <c r="B784" s="2541" t="s">
        <v>8573</v>
      </c>
    </row>
    <row r="785" spans="1:2">
      <c r="A785" t="s">
        <v>7500</v>
      </c>
      <c r="B785" s="2541" t="s">
        <v>8574</v>
      </c>
    </row>
    <row r="786" spans="1:2">
      <c r="A786" t="s">
        <v>7501</v>
      </c>
      <c r="B786" s="2541" t="s">
        <v>8575</v>
      </c>
    </row>
    <row r="787" spans="1:2">
      <c r="A787" t="s">
        <v>7502</v>
      </c>
      <c r="B787" s="2541" t="s">
        <v>8576</v>
      </c>
    </row>
    <row r="788" spans="1:2">
      <c r="A788" t="s">
        <v>7503</v>
      </c>
      <c r="B788" s="2541" t="s">
        <v>8577</v>
      </c>
    </row>
    <row r="789" spans="1:2">
      <c r="A789" t="s">
        <v>7504</v>
      </c>
      <c r="B789" s="2541" t="s">
        <v>8578</v>
      </c>
    </row>
    <row r="790" spans="1:2">
      <c r="A790" t="s">
        <v>7505</v>
      </c>
      <c r="B790" s="2541" t="s">
        <v>8579</v>
      </c>
    </row>
    <row r="791" spans="1:2">
      <c r="A791" t="s">
        <v>7506</v>
      </c>
      <c r="B791" s="2541" t="s">
        <v>8580</v>
      </c>
    </row>
    <row r="792" spans="1:2">
      <c r="A792" t="s">
        <v>7507</v>
      </c>
      <c r="B792" s="2541" t="s">
        <v>8581</v>
      </c>
    </row>
    <row r="793" spans="1:2">
      <c r="A793" t="s">
        <v>7508</v>
      </c>
      <c r="B793" s="2541" t="s">
        <v>8582</v>
      </c>
    </row>
    <row r="794" spans="1:2">
      <c r="A794" t="s">
        <v>7509</v>
      </c>
      <c r="B794" s="2541" t="s">
        <v>8583</v>
      </c>
    </row>
    <row r="795" spans="1:2">
      <c r="A795" s="2542" t="s">
        <v>7510</v>
      </c>
      <c r="B795" s="2541" t="s">
        <v>8560</v>
      </c>
    </row>
    <row r="796" spans="1:2">
      <c r="A796" t="s">
        <v>7511</v>
      </c>
      <c r="B796" s="2541" t="s">
        <v>8561</v>
      </c>
    </row>
    <row r="797" spans="1:2">
      <c r="A797" t="s">
        <v>7512</v>
      </c>
      <c r="B797" s="2541" t="s">
        <v>8562</v>
      </c>
    </row>
    <row r="798" spans="1:2">
      <c r="A798" t="s">
        <v>7513</v>
      </c>
      <c r="B798" s="2541" t="s">
        <v>8563</v>
      </c>
    </row>
    <row r="799" spans="1:2">
      <c r="A799" t="s">
        <v>7514</v>
      </c>
      <c r="B799" s="2541" t="s">
        <v>8564</v>
      </c>
    </row>
    <row r="800" spans="1:2">
      <c r="A800" t="s">
        <v>7515</v>
      </c>
      <c r="B800" s="2541" t="s">
        <v>8565</v>
      </c>
    </row>
    <row r="801" spans="1:2">
      <c r="A801" t="s">
        <v>7516</v>
      </c>
      <c r="B801" s="2541" t="s">
        <v>8566</v>
      </c>
    </row>
    <row r="802" spans="1:2">
      <c r="A802" t="s">
        <v>7517</v>
      </c>
      <c r="B802" s="2541" t="s">
        <v>8567</v>
      </c>
    </row>
    <row r="803" spans="1:2">
      <c r="A803" t="s">
        <v>7518</v>
      </c>
      <c r="B803" s="2541" t="s">
        <v>8568</v>
      </c>
    </row>
    <row r="804" spans="1:2">
      <c r="A804" t="s">
        <v>7519</v>
      </c>
      <c r="B804" s="2541" t="s">
        <v>8569</v>
      </c>
    </row>
    <row r="805" spans="1:2">
      <c r="A805" t="s">
        <v>7520</v>
      </c>
      <c r="B805" s="2541" t="s">
        <v>8570</v>
      </c>
    </row>
    <row r="806" spans="1:2">
      <c r="A806" t="s">
        <v>7521</v>
      </c>
      <c r="B806" s="2541" t="s">
        <v>8571</v>
      </c>
    </row>
    <row r="807" spans="1:2">
      <c r="A807" t="s">
        <v>7522</v>
      </c>
      <c r="B807" s="2541" t="s">
        <v>8572</v>
      </c>
    </row>
    <row r="808" spans="1:2">
      <c r="A808" t="s">
        <v>7523</v>
      </c>
      <c r="B808" s="2541" t="s">
        <v>8573</v>
      </c>
    </row>
    <row r="809" spans="1:2">
      <c r="A809" t="s">
        <v>7524</v>
      </c>
      <c r="B809" s="2541" t="s">
        <v>8574</v>
      </c>
    </row>
    <row r="810" spans="1:2">
      <c r="A810" t="s">
        <v>7525</v>
      </c>
      <c r="B810" s="2541" t="s">
        <v>8575</v>
      </c>
    </row>
    <row r="811" spans="1:2">
      <c r="A811" t="s">
        <v>7526</v>
      </c>
      <c r="B811" s="2541" t="s">
        <v>8576</v>
      </c>
    </row>
    <row r="812" spans="1:2">
      <c r="A812" t="s">
        <v>7527</v>
      </c>
      <c r="B812" s="2541" t="s">
        <v>8577</v>
      </c>
    </row>
    <row r="813" spans="1:2">
      <c r="A813" t="s">
        <v>7528</v>
      </c>
      <c r="B813" s="2541" t="s">
        <v>8578</v>
      </c>
    </row>
    <row r="814" spans="1:2">
      <c r="A814" t="s">
        <v>7529</v>
      </c>
      <c r="B814" s="2541" t="s">
        <v>8579</v>
      </c>
    </row>
    <row r="815" spans="1:2">
      <c r="A815" t="s">
        <v>7530</v>
      </c>
      <c r="B815" s="2541" t="s">
        <v>8580</v>
      </c>
    </row>
    <row r="816" spans="1:2">
      <c r="A816" t="s">
        <v>7531</v>
      </c>
      <c r="B816" s="2541" t="s">
        <v>8581</v>
      </c>
    </row>
    <row r="817" spans="1:4">
      <c r="A817" t="s">
        <v>7532</v>
      </c>
      <c r="B817" s="2541" t="s">
        <v>8582</v>
      </c>
    </row>
    <row r="818" spans="1:4">
      <c r="A818" t="s">
        <v>7533</v>
      </c>
      <c r="B818" s="2541" t="s">
        <v>8583</v>
      </c>
    </row>
    <row r="819" spans="1:4">
      <c r="A819" t="s">
        <v>8682</v>
      </c>
      <c r="B819" s="2541" t="s">
        <v>8621</v>
      </c>
      <c r="C819" s="2567" t="s">
        <v>8623</v>
      </c>
      <c r="D819" s="2567" t="s">
        <v>8625</v>
      </c>
    </row>
    <row r="820" spans="1:4">
      <c r="A820" t="s">
        <v>8683</v>
      </c>
      <c r="B820" s="2541" t="s">
        <v>8626</v>
      </c>
      <c r="C820" s="2541" t="s">
        <v>8635</v>
      </c>
      <c r="D820" s="2541" t="s">
        <v>8644</v>
      </c>
    </row>
    <row r="821" spans="1:4">
      <c r="A821" t="s">
        <v>8684</v>
      </c>
      <c r="B821" s="2541" t="s">
        <v>8627</v>
      </c>
      <c r="C821" s="2541" t="s">
        <v>8636</v>
      </c>
      <c r="D821" s="2541" t="s">
        <v>8645</v>
      </c>
    </row>
    <row r="822" spans="1:4">
      <c r="A822" t="s">
        <v>8685</v>
      </c>
      <c r="B822" s="2541" t="s">
        <v>8628</v>
      </c>
      <c r="C822" s="2541" t="s">
        <v>8637</v>
      </c>
      <c r="D822" s="2541" t="s">
        <v>8646</v>
      </c>
    </row>
    <row r="823" spans="1:4">
      <c r="A823" t="s">
        <v>8686</v>
      </c>
      <c r="B823" s="2541" t="s">
        <v>8629</v>
      </c>
      <c r="C823" s="2541" t="s">
        <v>8638</v>
      </c>
      <c r="D823" s="2541" t="s">
        <v>8647</v>
      </c>
    </row>
    <row r="824" spans="1:4">
      <c r="A824" t="s">
        <v>8687</v>
      </c>
      <c r="B824" s="2541" t="s">
        <v>8630</v>
      </c>
      <c r="C824" s="2541" t="s">
        <v>8639</v>
      </c>
      <c r="D824" s="2541" t="s">
        <v>8648</v>
      </c>
    </row>
    <row r="825" spans="1:4">
      <c r="A825" t="s">
        <v>8688</v>
      </c>
      <c r="B825" s="2541" t="s">
        <v>8631</v>
      </c>
      <c r="C825" s="2541" t="s">
        <v>8640</v>
      </c>
      <c r="D825" s="2541" t="s">
        <v>8649</v>
      </c>
    </row>
    <row r="826" spans="1:4">
      <c r="A826" t="s">
        <v>8689</v>
      </c>
      <c r="B826" s="2541" t="s">
        <v>8632</v>
      </c>
      <c r="C826" s="2541" t="s">
        <v>8641</v>
      </c>
      <c r="D826" s="2541" t="s">
        <v>8650</v>
      </c>
    </row>
    <row r="827" spans="1:4">
      <c r="A827" t="s">
        <v>8690</v>
      </c>
      <c r="B827" s="2541" t="s">
        <v>8633</v>
      </c>
      <c r="C827" s="2541" t="s">
        <v>8642</v>
      </c>
      <c r="D827" s="2541" t="s">
        <v>8651</v>
      </c>
    </row>
    <row r="828" spans="1:4">
      <c r="A828" t="s">
        <v>8691</v>
      </c>
      <c r="B828" s="2541" t="s">
        <v>8634</v>
      </c>
      <c r="C828" s="2541" t="s">
        <v>8643</v>
      </c>
      <c r="D828" s="2541" t="s">
        <v>8652</v>
      </c>
    </row>
    <row r="829" spans="1:4">
      <c r="A829" t="s">
        <v>8692</v>
      </c>
      <c r="B829" s="2541" t="s">
        <v>8655</v>
      </c>
      <c r="C829" s="2541" t="s">
        <v>8654</v>
      </c>
      <c r="D829" s="2541" t="s">
        <v>8653</v>
      </c>
    </row>
    <row r="830" spans="1:4">
      <c r="A830" t="s">
        <v>8693</v>
      </c>
      <c r="B830" s="2541" t="s">
        <v>8679</v>
      </c>
      <c r="C830" s="2541" t="s">
        <v>8680</v>
      </c>
      <c r="D830" s="2541" t="s">
        <v>8681</v>
      </c>
    </row>
    <row r="831" spans="1:4">
      <c r="A831" t="s">
        <v>8694</v>
      </c>
      <c r="B831" s="2541" t="s">
        <v>8509</v>
      </c>
    </row>
    <row r="832" spans="1:4">
      <c r="A832" t="s">
        <v>8695</v>
      </c>
      <c r="B832" s="2541" t="s">
        <v>8510</v>
      </c>
    </row>
    <row r="833" spans="1:4">
      <c r="A833" t="s">
        <v>8696</v>
      </c>
      <c r="B833" s="2541" t="s">
        <v>8511</v>
      </c>
    </row>
    <row r="834" spans="1:4">
      <c r="A834" t="s">
        <v>8697</v>
      </c>
      <c r="B834" s="2541" t="s">
        <v>8512</v>
      </c>
    </row>
    <row r="835" spans="1:4">
      <c r="A835" t="s">
        <v>8698</v>
      </c>
      <c r="B835" s="2541" t="s">
        <v>8513</v>
      </c>
    </row>
    <row r="836" spans="1:4">
      <c r="A836" t="s">
        <v>8699</v>
      </c>
      <c r="B836" s="2541" t="s">
        <v>8514</v>
      </c>
    </row>
    <row r="837" spans="1:4">
      <c r="A837" t="s">
        <v>8700</v>
      </c>
      <c r="B837" s="2541" t="s">
        <v>8713</v>
      </c>
      <c r="C837" s="2567" t="s">
        <v>8714</v>
      </c>
      <c r="D837" s="2567" t="s">
        <v>8715</v>
      </c>
    </row>
    <row r="838" spans="1:4">
      <c r="A838" t="s">
        <v>8701</v>
      </c>
      <c r="B838" s="2541" t="s">
        <v>8710</v>
      </c>
      <c r="C838" s="2541" t="s">
        <v>8707</v>
      </c>
      <c r="D838" s="2541" t="s">
        <v>8704</v>
      </c>
    </row>
    <row r="839" spans="1:4">
      <c r="A839" t="s">
        <v>8702</v>
      </c>
      <c r="B839" s="2541" t="s">
        <v>8711</v>
      </c>
      <c r="C839" s="2541" t="s">
        <v>8708</v>
      </c>
      <c r="D839" s="2541" t="s">
        <v>8705</v>
      </c>
    </row>
    <row r="840" spans="1:4">
      <c r="A840" t="s">
        <v>8703</v>
      </c>
      <c r="B840" s="2541" t="s">
        <v>8712</v>
      </c>
      <c r="C840" s="2541" t="s">
        <v>8709</v>
      </c>
      <c r="D840" s="2541" t="s">
        <v>8706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4" t="s">
        <v>9312</v>
      </c>
    </row>
    <row r="2" spans="1:22" ht="18" customHeight="1" thickBot="1">
      <c r="V2" s="2071"/>
    </row>
    <row r="3" spans="1:22" ht="18" customHeight="1" thickTop="1" thickBot="1">
      <c r="A3" s="2371" t="s">
        <v>6516</v>
      </c>
      <c r="D3" s="53"/>
      <c r="E3" s="53"/>
      <c r="F3" s="53"/>
      <c r="G3" s="53"/>
      <c r="H3" s="123"/>
      <c r="I3" s="123"/>
      <c r="J3" s="3819" t="s">
        <v>4562</v>
      </c>
      <c r="K3" s="382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4136</v>
      </c>
      <c r="N4" s="1342">
        <v>62.2</v>
      </c>
      <c r="O4" s="1343">
        <v>67</v>
      </c>
      <c r="P4" s="1344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4" t="s">
        <v>6556</v>
      </c>
      <c r="B6" s="11" t="s">
        <v>4208</v>
      </c>
      <c r="C6" s="18" t="s">
        <v>4149</v>
      </c>
      <c r="D6" s="2560" cm="1">
        <f t="array" ref="D6">INDEX('5층_부하량'!F3:F3000,MATCH(1,("5-DaHall 1-CEP-05"='5층_부하량'!A3:A3000)*(1='5층_부하량'!B3:B3000),0))</f>
        <v>0</v>
      </c>
      <c r="E6" s="2560" cm="1">
        <f t="array" ref="E6">INDEX('5층_부하량'!G3:G3000,MATCH(1,("5-DaHall 1-CEP-05"='5층_부하량'!A3:A3000)*(1='5층_부하량'!B3:B3000),0))</f>
        <v>0</v>
      </c>
      <c r="F6" s="2560" cm="1">
        <f t="array" ref="F6">INDEX('5층_부하량'!H3:H3000,MATCH(1,("5-DaHall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9" cm="1">
        <f t="array" ref="N6">INDEX('5층_부하량'!F3:F3000,MATCH(1,("5-DaHall 1-CEP-05"='5층_부하량'!A3:A3000)*(2='5층_부하량'!B3:B3000),0))</f>
        <v>0</v>
      </c>
      <c r="O6" s="2559" cm="1">
        <f t="array" ref="O6">INDEX('5층_부하량'!G3:G3000,MATCH(1,("5-DaHall 1-CEP-05"='5층_부하량'!A3:A3000)*(2='5층_부하량'!B3:B3000),0))</f>
        <v>0</v>
      </c>
      <c r="P6" s="2559" cm="1">
        <f t="array" ref="P6">INDEX('5층_부하량'!H3:H3000,MATCH(1,("5-DaHall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60" cm="1">
        <f t="array" ref="D7">INDEX('5층_부하량'!F3:F3000,MATCH(1,("5-DaHall 1-CEP-05"='5층_부하량'!A3:A3000)*(3='5층_부하량'!B3:B3000),0))</f>
        <v>23.61</v>
      </c>
      <c r="E7" s="2560" cm="1">
        <f t="array" ref="E7">INDEX('5층_부하량'!G3:G3000,MATCH(1,("5-DaHall 1-CEP-05"='5층_부하량'!A3:A3000)*(3='5층_부하량'!B3:B3000),0))</f>
        <v>23.76</v>
      </c>
      <c r="F7" s="2560" cm="1">
        <f t="array" ref="F7">INDEX('5층_부하량'!H3:H3000,MATCH(1,("5-DaHall 1-CEP-05"='5층_부하량'!A3:A3000)*(3='5층_부하량'!B3:B3000),0))</f>
        <v>23.46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60" cm="1">
        <f t="array" ref="N7">INDEX('5층_부하량'!F3:F3000,MATCH(1,("5-DaHall 1-CEP-05"='5층_부하량'!A3:A3000)*(4='5층_부하량'!B3:B3000),0))</f>
        <v>23.36</v>
      </c>
      <c r="O7" s="2560" cm="1">
        <f t="array" ref="O7">INDEX('5층_부하량'!G3:G3000,MATCH(1,("5-DaHall 1-CEP-05"='5층_부하량'!A3:A3000)*(4='5층_부하량'!B3:B3000),0))</f>
        <v>23.55</v>
      </c>
      <c r="P7" s="2560" cm="1">
        <f t="array" ref="P7">INDEX('5층_부하량'!H3:H3000,MATCH(1,("5-DaHall 1-CEP-05"='5층_부하량'!A3:A3000)*(4='5층_부하량'!B3:B3000),0))</f>
        <v>23.17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2" cm="1">
        <f t="array" ref="D8">INDEX('5층_부하량'!F3:F3000,MATCH(1,("5-DaHall 1-CEP-05"='5층_부하량'!A3:A3000)*(5='5층_부하량'!B3:B3000),0))</f>
        <v>22.89</v>
      </c>
      <c r="E8" s="2562" cm="1">
        <f t="array" ref="E8">INDEX('5층_부하량'!G3:G3000,MATCH(1,("5-DaHall 1-CEP-05"='5층_부하량'!A3:A3000)*(5='5층_부하량'!B3:B3000),0))</f>
        <v>23.07</v>
      </c>
      <c r="F8" s="2562" cm="1">
        <f t="array" ref="F8">INDEX('5층_부하량'!H3:H3000,MATCH(1,("5-DaHall 1-CEP-05"='5층_부하량'!A3:A3000)*(5='5층_부하량'!B3:B3000),0))</f>
        <v>22.82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2" cm="1">
        <f t="array" ref="N8">INDEX('5층_부하량'!F3:F3000,MATCH(1,("5-DaHall 1-CEP-05"='5층_부하량'!A3:A3000)*(6='5층_부하량'!B3:B3000),0))</f>
        <v>25.12</v>
      </c>
      <c r="O8" s="2562" cm="1">
        <f t="array" ref="O8">INDEX('5층_부하량'!G3:G3000,MATCH(1,("5-DaHall 1-CEP-05"='5층_부하량'!A3:A3000)*(6='5층_부하량'!B3:B3000),0))</f>
        <v>24.87</v>
      </c>
      <c r="P8" s="2562" cm="1">
        <f t="array" ref="P8">INDEX('5층_부하량'!H3:H3000,MATCH(1,("5-DaHall 1-CEP-05"='5층_부하량'!A3:A3000)*(6='5층_부하량'!B3:B3000),0))</f>
        <v>25.07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2" cm="1">
        <f t="array" ref="D9">INDEX('5층_부하량'!F3:F3000,MATCH(1,("5-DaHall 1-CEP-05"='5층_부하량'!A3:A3000)*(7='5층_부하량'!B3:B3000),0))</f>
        <v>24.35</v>
      </c>
      <c r="E9" s="2562" cm="1">
        <f t="array" ref="E9">INDEX('5층_부하량'!G3:G3000,MATCH(1,("5-DaHall 1-CEP-05"='5층_부하량'!A3:A3000)*(7='5층_부하량'!B3:B3000),0))</f>
        <v>24.49</v>
      </c>
      <c r="F9" s="2562" cm="1">
        <f t="array" ref="F9">INDEX('5층_부하량'!H3:H3000,MATCH(1,("5-DaHall 1-CEP-05"='5층_부하량'!A3:A3000)*(7='5층_부하량'!B3:B3000),0))</f>
        <v>24.17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2" cm="1">
        <f t="array" ref="N9">INDEX('5층_부하량'!F3:F3000,MATCH(1,("5-DaHall 1-CEP-05"='5층_부하량'!A3:A3000)*(8='5층_부하량'!B3:B3000),0))</f>
        <v>24.27</v>
      </c>
      <c r="O9" s="2562" cm="1">
        <f t="array" ref="O9">INDEX('5층_부하량'!G3:G3000,MATCH(1,("5-DaHall 1-CEP-05"='5층_부하량'!A3:A3000)*(8='5층_부하량'!B3:B3000),0))</f>
        <v>24.59</v>
      </c>
      <c r="P9" s="2562" cm="1">
        <f t="array" ref="P9">INDEX('5층_부하량'!H3:H3000,MATCH(1,("5-DaHall 1-CEP-05"='5층_부하량'!A3:A3000)*(8='5층_부하량'!B3:B3000),0))</f>
        <v>24.08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2" cm="1">
        <f t="array" ref="D10">INDEX('5층_부하량'!F3:F3000,MATCH(1,("5-DaHall 1-CEP-05"='5층_부하량'!A3:A3000)*(9='5층_부하량'!B3:B3000),0))</f>
        <v>21.16</v>
      </c>
      <c r="E10" s="2562" cm="1">
        <f t="array" ref="E10">INDEX('5층_부하량'!G3:G3000,MATCH(1,("5-DaHall 1-CEP-05"='5층_부하량'!A3:A3000)*(9='5층_부하량'!B3:B3000),0))</f>
        <v>21.46</v>
      </c>
      <c r="F10" s="2562" cm="1">
        <f t="array" ref="F10">INDEX('5층_부하량'!H3:H3000,MATCH(1,("5-DaHall 1-CEP-05"='5층_부하량'!A3:A3000)*(9='5층_부하량'!B3:B3000),0))</f>
        <v>20.97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2" cm="1">
        <f t="array" ref="N10">INDEX('5층_부하량'!F3:F3000,MATCH(1,("5-DaHall 1-CEP-05"='5층_부하량'!A3:A3000)*(10='5층_부하량'!B3:B3000),0))</f>
        <v>18.53</v>
      </c>
      <c r="O10" s="2562" cm="1">
        <f t="array" ref="O10">INDEX('5층_부하량'!G3:G3000,MATCH(1,("5-DaHall 1-CEP-05"='5층_부하량'!A3:A3000)*(10='5층_부하량'!B3:B3000),0))</f>
        <v>18.73</v>
      </c>
      <c r="P10" s="2562" cm="1">
        <f t="array" ref="P10">INDEX('5층_부하량'!H3:H3000,MATCH(1,("5-DaHall 1-CEP-05"='5층_부하량'!A3:A3000)*(10='5층_부하량'!B3:B3000),0))</f>
        <v>18.440000000000001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3" cm="1">
        <f t="array" ref="D11">INDEX('5층_부하량'!F3:F3000,MATCH(1,("5-DaHall 1-CEP-05"='5층_부하량'!A3:A3000)*(11='5층_부하량'!B3:B3000),0))</f>
        <v>24.56</v>
      </c>
      <c r="E11" s="2563" cm="1">
        <f t="array" ref="E11">INDEX('5층_부하량'!G3:G3000,MATCH(1,("5-DaHall 1-CEP-05"='5층_부하량'!A3:A3000)*(11='5층_부하량'!B3:B3000),0))</f>
        <v>25.2</v>
      </c>
      <c r="F11" s="2563" cm="1">
        <f t="array" ref="F11">INDEX('5층_부하량'!H3:H3000,MATCH(1,("5-DaHall 1-CEP-05"='5층_부하량'!A3:A3000)*(11='5층_부하량'!B3:B3000),0))</f>
        <v>24.52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3" cm="1">
        <f t="array" ref="N11">INDEX('5층_부하량'!F3:F3000,MATCH(1,("5-DaHall 1-CEP-05"='5층_부하량'!A3:A3000)*(12='5층_부하량'!B3:B3000),0))</f>
        <v>20.87</v>
      </c>
      <c r="O11" s="2563" cm="1">
        <f t="array" ref="O11">INDEX('5층_부하량'!G3:G3000,MATCH(1,("5-DaHall 1-CEP-05"='5층_부하량'!A3:A3000)*(12='5층_부하량'!B3:B3000),0))</f>
        <v>19.02</v>
      </c>
      <c r="P11" s="2563" cm="1">
        <f t="array" ref="P11">INDEX('5층_부하량'!H3:H3000,MATCH(1,("5-DaHall 1-CEP-05"='5층_부하량'!A3:A3000)*(12='5층_부하량'!B3:B3000),0))</f>
        <v>20.81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80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80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2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6" cm="1">
        <f t="array" ref="O13">INDEX('5층_부하량'!G3:G3000,MATCH(1,("5-DaHall 1-CEP-05"='5층_부하량'!A3:A3000)*(16='5층_부하량'!B3:B3000),0))</f>
        <v>19.350000000000001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61" cm="1">
        <f t="array" ref="F14">INDEX('5층_부하량'!H3:H3000,MATCH(1,("5-DaHall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9" cm="1">
        <f t="array" ref="P14">INDEX('5층_부하량'!H3:H3000,MATCH(1,("5-DaHall 1-CEP-05"='5층_부하량'!A3:A3000)*(18='5층_부하량'!B3:B3000),0))</f>
        <v>17.05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228.72000000000003</v>
      </c>
      <c r="O15" s="33">
        <f>SUM(E6:E14,O6:O14)</f>
        <v>248.09</v>
      </c>
      <c r="P15" s="33">
        <f>SUM(F6:F14,P6:P14)</f>
        <v>244.56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819" t="s">
        <v>5219</v>
      </c>
      <c r="K16" s="382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4136</v>
      </c>
      <c r="N17" s="1342">
        <v>0.7</v>
      </c>
      <c r="O17" s="1343">
        <v>0</v>
      </c>
      <c r="P17" s="1344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5216</v>
      </c>
      <c r="L19" s="542" t="s">
        <v>4151</v>
      </c>
      <c r="M19" s="11" t="s">
        <v>5220</v>
      </c>
      <c r="N19" s="2559" cm="1">
        <f t="array" ref="N19">INDEX('5층_부하량'!F3:F3000,MATCH(1,("5-DaHall 1-CEP-06"='5층_부하량'!A3:A3000)*(1='5층_부하량'!B3:B3000),0))</f>
        <v>20.11</v>
      </c>
      <c r="O19" s="2559" cm="1">
        <f t="array" ref="O19">INDEX('5층_부하량'!G3:G3000,MATCH(1,("5-DaHall 1-CEP-06"='5층_부하량'!A3:A3000)*(1='5층_부하량'!B3:B3000),0))</f>
        <v>19.559999999999999</v>
      </c>
      <c r="P19" s="2559" cm="1">
        <f t="array" ref="P19">INDEX('5층_부하량'!H3:H3000,MATCH(1,("5-DaHall 1-CEP-06"='5층_부하량'!A3:A3000)*(1='5층_부하량'!B3:B3000),0))</f>
        <v>19.309999999999999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5216</v>
      </c>
      <c r="L20" s="543" t="s">
        <v>4436</v>
      </c>
      <c r="M20" s="17" t="s">
        <v>5220</v>
      </c>
      <c r="N20" s="2560" cm="1">
        <f t="array" ref="N20">INDEX('5층_부하량'!F3:F3000,MATCH(1,("5-DaHall 1-CEP-06"='5층_부하량'!A3:A3000)*(2='5층_부하량'!B3:B3000),0))</f>
        <v>20.54</v>
      </c>
      <c r="O20" s="2560" cm="1">
        <f t="array" ref="O20">INDEX('5층_부하량'!G3:G3000,MATCH(1,("5-DaHall 1-CEP-06"='5층_부하량'!A3:A3000)*(2='5층_부하량'!B3:B3000),0))</f>
        <v>20.16</v>
      </c>
      <c r="P20" s="2560" cm="1">
        <f t="array" ref="P20">INDEX('5층_부하량'!H3:H3000,MATCH(1,("5-DaHall 1-CEP-06"='5층_부하량'!A3:A3000)*(2='5층_부하량'!B3:B3000),0))</f>
        <v>20.12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5216</v>
      </c>
      <c r="L21" s="544" t="s">
        <v>4156</v>
      </c>
      <c r="M21" s="71" t="s">
        <v>5220</v>
      </c>
      <c r="N21" s="2562" cm="1">
        <f t="array" ref="N21">INDEX('5층_부하량'!F3:F3000,MATCH(1,("5-DaHall 1-CEP-06"='5층_부하량'!A3:A3000)*(3='5층_부하량'!B3:B3000),0))</f>
        <v>19.89</v>
      </c>
      <c r="O21" s="2562" cm="1">
        <f t="array" ref="O21">INDEX('5층_부하량'!G3:G3000,MATCH(1,("5-DaHall 1-CEP-06"='5층_부하량'!A3:A3000)*(3='5층_부하량'!B3:B3000),0))</f>
        <v>19.36</v>
      </c>
      <c r="P21" s="2562" cm="1">
        <f t="array" ref="P21">INDEX('5층_부하량'!H3:H3000,MATCH(1,("5-DaHall 1-CEP-06"='5층_부하량'!A3:A3000)*(3='5층_부하량'!B3:B3000),0))</f>
        <v>19.48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5216</v>
      </c>
      <c r="L22" s="545" t="s">
        <v>4438</v>
      </c>
      <c r="M22" s="35" t="s">
        <v>5220</v>
      </c>
      <c r="N22" s="2561" cm="1">
        <f t="array" ref="N22">INDEX('5층_부하량'!F3:F3000,MATCH(1,("5-DaHall 1-CEP-06"='5층_부하량'!A3:A3000)*(4='5층_부하량'!B3:B3000),0))</f>
        <v>0</v>
      </c>
      <c r="O22" s="2561" cm="1">
        <f t="array" ref="O22">INDEX('5층_부하량'!G3:G3000,MATCH(1,("5-DaHall 1-CEP-06"='5층_부하량'!A3:A3000)*(4='5층_부하량'!B3:B3000),0))</f>
        <v>0</v>
      </c>
      <c r="P22" s="2561" cm="1">
        <f t="array" ref="P22">INDEX('5층_부하량'!H3:H3000,MATCH(1,("5-DaHall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60.54</v>
      </c>
      <c r="O23" s="33">
        <f>SUM(E19:E22,O19:O22)</f>
        <v>59.08</v>
      </c>
      <c r="P23" s="33">
        <f>SUM(F19:F22,P19:P22)</f>
        <v>58.91</v>
      </c>
    </row>
    <row r="24" spans="1:20" ht="18" customHeight="1" thickTop="1" thickBot="1">
      <c r="A24" s="2" t="s">
        <v>6518</v>
      </c>
      <c r="C24" s="3818" t="s">
        <v>5225</v>
      </c>
      <c r="D24" s="3818"/>
      <c r="E24" s="3818"/>
      <c r="F24" s="3818"/>
      <c r="G24" s="53"/>
      <c r="H24" s="123"/>
      <c r="I24" s="123"/>
      <c r="J24" s="3819" t="s">
        <v>5226</v>
      </c>
      <c r="K24" s="382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4136</v>
      </c>
      <c r="N25" s="1342">
        <v>34.6</v>
      </c>
      <c r="O25" s="1343">
        <v>37.799999999999997</v>
      </c>
      <c r="P25" s="1344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9" cm="1">
        <f t="array" ref="D27">INDEX('5층_부하량'!F3:F3000,MATCH(1,("5-DaHall 1-PDU-01"='5층_부하량'!A3:A3000)*(1='5층_부하량'!B3:B3000),0))</f>
        <v>0</v>
      </c>
      <c r="E27" s="2559" cm="1">
        <f t="array" ref="E27">INDEX('5층_부하량'!G3:G3000,MATCH(1,("5-DaHall 1-PDU-01"='5층_부하량'!A3:A3000)*(1='5층_부하량'!B3:B3000),0))</f>
        <v>0</v>
      </c>
      <c r="F27" s="2559" cm="1">
        <f t="array" ref="F27">INDEX('5층_부하량'!H3:H3000,MATCH(1,("5-DaHall 1-PDU-01"='5층_부하량'!A3:A3000)*(1='5층_부하량'!B3:B3000),0))</f>
        <v>0</v>
      </c>
      <c r="G27" s="15"/>
      <c r="H27" s="11" t="s">
        <v>5227</v>
      </c>
      <c r="I27" s="1406" t="s">
        <v>5228</v>
      </c>
      <c r="J27" s="60"/>
      <c r="K27" s="61"/>
      <c r="L27" s="561" t="s">
        <v>5229</v>
      </c>
      <c r="M27" s="11" t="s">
        <v>5227</v>
      </c>
      <c r="N27" s="2559" cm="1">
        <f t="array" ref="N27">INDEX('5층_부하량'!F3:F3000,MATCH(1,("5-DaHall 1-PDU-01"='5층_부하량'!A3:A3000)*(55='5층_부하량'!B3:B3000),0))</f>
        <v>0</v>
      </c>
      <c r="O27" s="2559" cm="1">
        <f t="array" ref="O27">INDEX('5층_부하량'!G3:G3000,MATCH(1,("5-DaHall 1-PDU-01"='5층_부하량'!A3:A3000)*(55='5층_부하량'!B3:B3000),0))</f>
        <v>0.6</v>
      </c>
      <c r="P27" s="2559" cm="1">
        <f t="array" ref="P27">INDEX('5층_부하량'!H3:H3000,MATCH(1,("5-DaHall 1-PDU-01"='5층_부하량'!A3:A3000)*(55='5층_부하량'!B3:B3000),0))</f>
        <v>0.74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2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2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6" t="s">
        <v>5233</v>
      </c>
      <c r="D29" s="21"/>
      <c r="E29" s="2562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2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6" t="s">
        <v>5233</v>
      </c>
      <c r="D30" s="21"/>
      <c r="E30" s="21"/>
      <c r="F30" s="2562" cm="1">
        <f t="array" ref="F30">INDEX('5층_부하량'!H3:H3000,MATCH(1,("5-DaHall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2" cm="1">
        <f t="array" ref="P30">INDEX('5층_부하량'!H3:H3000,MATCH(1,("5-DaHall 1-PDU-01"='5층_부하량'!A3:A3000)*(58='5층_부하량'!B3:B3000),0))</f>
        <v>1.55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6" t="s">
        <v>5233</v>
      </c>
      <c r="D31" s="2562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2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4" t="s">
        <v>5238</v>
      </c>
      <c r="B32" s="17" t="s">
        <v>4204</v>
      </c>
      <c r="C32" s="18" t="s">
        <v>4149</v>
      </c>
      <c r="D32" s="21"/>
      <c r="E32" s="2562" cm="1">
        <f t="array" ref="E32">INDEX('5층_부하량'!G3:G3000,MATCH(1,("5-DaHall 1-PDU-01"='5층_부하량'!A3:A3000)*(6='5층_부하량'!B3:B3000),0))</f>
        <v>14.26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2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5" t="s">
        <v>5241</v>
      </c>
      <c r="B33" s="17" t="s">
        <v>4204</v>
      </c>
      <c r="C33" s="18" t="s">
        <v>4149</v>
      </c>
      <c r="D33" s="21"/>
      <c r="E33" s="21"/>
      <c r="F33" s="2562" cm="1">
        <f t="array" ref="F33">INDEX('5층_부하량'!H3:H3000,MATCH(1,("5-DaHall 1-PDU-01"='5층_부하량'!A3:A3000)*(7='5층_부하량'!B3:B3000),0))</f>
        <v>12.86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2" cm="1">
        <f t="array" ref="P33">INDEX('5층_부하량'!H3:H3000,MATCH(1,("5-DaHall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4" t="s">
        <v>5244</v>
      </c>
      <c r="B34" s="17" t="s">
        <v>4204</v>
      </c>
      <c r="C34" s="18" t="s">
        <v>4149</v>
      </c>
      <c r="D34" s="2562" cm="1">
        <f t="array" ref="D34">INDEX('5층_부하량'!F3:F3000,MATCH(1,("5-DaHall 1-PDU-01"='5층_부하량'!A3:A3000)*(8='5층_부하량'!B3:B3000),0))</f>
        <v>15.78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2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5" t="s">
        <v>5245</v>
      </c>
      <c r="B35" s="17" t="s">
        <v>4204</v>
      </c>
      <c r="C35" s="18" t="s">
        <v>4149</v>
      </c>
      <c r="D35" s="21"/>
      <c r="E35" s="2562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2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5" t="s">
        <v>5246</v>
      </c>
      <c r="B36" s="17" t="s">
        <v>4204</v>
      </c>
      <c r="C36" s="18" t="s">
        <v>4149</v>
      </c>
      <c r="D36" s="21"/>
      <c r="E36" s="21"/>
      <c r="F36" s="2562" cm="1">
        <f t="array" ref="F36">INDEX('5층_부하량'!H3:H3000,MATCH(1,("5-DaHall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2" cm="1">
        <f t="array" ref="P36">INDEX('5층_부하량'!H3:H3000,MATCH(1,("5-DaHall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2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2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2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2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2" cm="1">
        <f t="array" ref="F39">INDEX('5층_부하량'!H3:H3000,MATCH(1,("5-DaHall 1-PDU-01"='5층_부하량'!A3:A3000)*(13='5층_부하량'!B3:B3000),0))</f>
        <v>1.6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2" cm="1">
        <f t="array" ref="P39">INDEX('5층_부하량'!H3:H3000,MATCH(1,("5-DaHall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2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2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2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2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2" cm="1">
        <f t="array" ref="F42">INDEX('5층_부하량'!H3:H3000,MATCH(1,("5-DaHall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2" cm="1">
        <f t="array" ref="P42">INDEX('5층_부하량'!H3:H3000,MATCH(1,("5-DaHall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5" t="s">
        <v>5253</v>
      </c>
      <c r="B43" s="17" t="s">
        <v>4204</v>
      </c>
      <c r="C43" s="18" t="s">
        <v>4149</v>
      </c>
      <c r="D43" s="2562" cm="1">
        <f t="array" ref="D43">INDEX('5층_부하량'!F3:F3000,MATCH(1,("5-DaHall 1-PDU-01"='5층_부하량'!A3:A3000)*(17='5층_부하량'!B3:B3000),0))</f>
        <v>11.96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2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5" t="s">
        <v>5255</v>
      </c>
      <c r="B44" s="17" t="s">
        <v>4204</v>
      </c>
      <c r="C44" s="18" t="s">
        <v>4149</v>
      </c>
      <c r="D44" s="21"/>
      <c r="E44" s="2562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2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5" t="s">
        <v>5258</v>
      </c>
      <c r="B45" s="17" t="s">
        <v>4204</v>
      </c>
      <c r="C45" s="18" t="s">
        <v>4149</v>
      </c>
      <c r="D45" s="21"/>
      <c r="E45" s="19"/>
      <c r="F45" s="2560" cm="1">
        <f t="array" ref="F45">INDEX('5층_부하량'!H3:H3000,MATCH(1,("5-DaHall 1-PDU-01"='5층_부하량'!A3:A3000)*(19='5층_부하량'!B3:B3000),0))</f>
        <v>13.11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60" cm="1">
        <f t="array" ref="P45">INDEX('5층_부하량'!H3:H3000,MATCH(1,("5-DaHall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5" t="s">
        <v>5260</v>
      </c>
      <c r="B46" s="17" t="s">
        <v>4204</v>
      </c>
      <c r="C46" s="18" t="s">
        <v>4149</v>
      </c>
      <c r="D46" s="2562" cm="1">
        <f t="array" ref="D46">INDEX('5층_부하량'!F3:F3000,MATCH(1,("5-DaHall 1-PDU-01"='5층_부하량'!A3:A3000)*(20='5층_부하량'!B3:B3000),0))</f>
        <v>10.56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2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5" t="s">
        <v>5262</v>
      </c>
      <c r="B47" s="17" t="s">
        <v>4204</v>
      </c>
      <c r="C47" s="18" t="s">
        <v>4149</v>
      </c>
      <c r="D47" s="21"/>
      <c r="E47" s="2562" cm="1">
        <f t="array" ref="E47">INDEX('5층_부하량'!G3:G3000,MATCH(1,("5-DaHall 1-PDU-01"='5층_부하량'!A3:A3000)*(21='5층_부하량'!B3:B3000),0))</f>
        <v>13.37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7" t="s">
        <v>4284</v>
      </c>
      <c r="M47" s="17" t="s">
        <v>4171</v>
      </c>
      <c r="N47" s="21"/>
      <c r="O47" s="2562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6" t="s">
        <v>3028</v>
      </c>
      <c r="D48" s="21"/>
      <c r="E48" s="19"/>
      <c r="F48" s="2562" cm="1">
        <f t="array" ref="F48">INDEX('5층_부하량'!H3:H3000,MATCH(1,("5-DaHall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2" cm="1">
        <f t="array" ref="P48">INDEX('5층_부하량'!H3:H3000,MATCH(1,("5-DaHall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6" t="s">
        <v>3028</v>
      </c>
      <c r="D49" s="2562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2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6" t="s">
        <v>3028</v>
      </c>
      <c r="D50" s="21"/>
      <c r="E50" s="2562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7" t="s">
        <v>4421</v>
      </c>
      <c r="M50" s="17" t="s">
        <v>4171</v>
      </c>
      <c r="N50" s="21"/>
      <c r="O50" s="2562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6" t="s">
        <v>3028</v>
      </c>
      <c r="D51" s="21"/>
      <c r="E51" s="21"/>
      <c r="F51" s="2562" cm="1">
        <f t="array" ref="F51">INDEX('5층_부하량'!H3:H3000,MATCH(1,("5-DaHall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2" cm="1">
        <f t="array" ref="P51">INDEX('5층_부하량'!H3:H3000,MATCH(1,("5-DaHall 1-PDU-01"='5층_부하량'!A3:A3000)*(79='5층_부하량'!B3:B3000),0))</f>
        <v>1.76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61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61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39.35</v>
      </c>
      <c r="O53" s="33">
        <f>SUM(E27:E52,O27:O52)</f>
        <v>41.46</v>
      </c>
      <c r="P53" s="33">
        <f>SUM(F27:F52,P27:P52)</f>
        <v>31.62</v>
      </c>
    </row>
    <row r="54" spans="1:20" ht="18" customHeight="1" thickTop="1" thickBot="1">
      <c r="A54" s="2" t="s">
        <v>6519</v>
      </c>
      <c r="C54" s="3818" t="s">
        <v>5270</v>
      </c>
      <c r="D54" s="3818"/>
      <c r="E54" s="3818"/>
      <c r="F54" s="3818"/>
      <c r="G54" s="53"/>
      <c r="H54" s="123"/>
      <c r="I54" s="123"/>
      <c r="J54" s="3819" t="s">
        <v>5226</v>
      </c>
      <c r="K54" s="382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4136</v>
      </c>
      <c r="N55" s="1342">
        <v>34.6</v>
      </c>
      <c r="O55" s="1343">
        <v>35.200000000000003</v>
      </c>
      <c r="P55" s="1344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9" cm="1">
        <f t="array" ref="D57">INDEX('5층_부하량'!F3:F3000,MATCH(1,("5-DaHall 1-PDU-02"='5층_부하량'!A3:A3000)*(1='5층_부하량'!B3:B3000),0))</f>
        <v>0</v>
      </c>
      <c r="E57" s="2559" cm="1">
        <f t="array" ref="E57">INDEX('5층_부하량'!G3:G3000,MATCH(1,("5-DaHall 1-PDU-02"='5층_부하량'!A3:A3000)*(1='5층_부하량'!B3:B3000),0))</f>
        <v>0</v>
      </c>
      <c r="F57" s="2559" cm="1">
        <f t="array" ref="F57">INDEX('5층_부하량'!H3:H3000,MATCH(1,("5-DaHall 1-PDU-02"='5층_부하량'!A3:A3000)*(1='5층_부하량'!B3:B3000),0))</f>
        <v>0</v>
      </c>
      <c r="G57" s="15"/>
      <c r="H57" s="11" t="s">
        <v>5227</v>
      </c>
      <c r="I57" s="1406" t="s">
        <v>5228</v>
      </c>
      <c r="J57" s="60"/>
      <c r="K57" s="61"/>
      <c r="L57" s="561" t="s">
        <v>5229</v>
      </c>
      <c r="M57" s="11" t="s">
        <v>5227</v>
      </c>
      <c r="N57" s="2559" cm="1">
        <f t="array" ref="N57">INDEX('5층_부하량'!F3:F3000,MATCH(1,("5-DaHall 1-PDU-02"='5층_부하량'!A3:A3000)*(55='5층_부하량'!B3:B3000),0))</f>
        <v>0</v>
      </c>
      <c r="O57" s="2559" cm="1">
        <f t="array" ref="O57">INDEX('5층_부하량'!G3:G3000,MATCH(1,("5-DaHall 1-PDU-02"='5층_부하량'!A3:A3000)*(55='5층_부하량'!B3:B3000),0))</f>
        <v>0.67</v>
      </c>
      <c r="P57" s="2559" cm="1">
        <f t="array" ref="P57">INDEX('5층_부하량'!H3:H3000,MATCH(1,("5-DaHall 1-PDU-02"='5층_부하량'!A3:A3000)*(55='5층_부하량'!B3:B3000),0))</f>
        <v>0.75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6" t="s">
        <v>3028</v>
      </c>
      <c r="D58" s="2562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2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6" t="s">
        <v>3028</v>
      </c>
      <c r="D59" s="21"/>
      <c r="E59" s="2562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2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6" t="s">
        <v>3028</v>
      </c>
      <c r="D60" s="21"/>
      <c r="E60" s="21"/>
      <c r="F60" s="2562" cm="1">
        <f t="array" ref="F60">INDEX('5층_부하량'!H3:H3000,MATCH(1,("5-DaHall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2" cm="1">
        <f t="array" ref="P60">INDEX('5층_부하량'!H3:H3000,MATCH(1,("5-DaHall 1-PDU-02"='5층_부하량'!A3:A3000)*(58='5층_부하량'!B3:B3000),0))</f>
        <v>1.26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6" t="s">
        <v>3028</v>
      </c>
      <c r="D61" s="2562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2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4" t="s">
        <v>5274</v>
      </c>
      <c r="B62" s="17" t="s">
        <v>4204</v>
      </c>
      <c r="C62" s="18" t="s">
        <v>4149</v>
      </c>
      <c r="D62" s="21"/>
      <c r="E62" s="2562" cm="1">
        <f t="array" ref="E62">INDEX('5층_부하량'!G3:G3000,MATCH(1,("5-DaHall 1-PDU-02"='5층_부하량'!A3:A3000)*(6='5층_부하량'!B3:B3000),0))</f>
        <v>11.95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2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5" t="s">
        <v>5276</v>
      </c>
      <c r="B63" s="17" t="s">
        <v>4204</v>
      </c>
      <c r="C63" s="18" t="s">
        <v>4149</v>
      </c>
      <c r="D63" s="21"/>
      <c r="E63" s="21"/>
      <c r="F63" s="2562" cm="1">
        <f t="array" ref="F63">INDEX('5층_부하량'!H3:H3000,MATCH(1,("5-DaHall 1-PDU-02"='5층_부하량'!A3:A3000)*(7='5층_부하량'!B3:B3000),0))</f>
        <v>14.72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2" cm="1">
        <f t="array" ref="P63">INDEX('5층_부하량'!H3:H3000,MATCH(1,("5-DaHall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4" t="s">
        <v>5278</v>
      </c>
      <c r="B64" s="17" t="s">
        <v>4204</v>
      </c>
      <c r="C64" s="18" t="s">
        <v>4149</v>
      </c>
      <c r="D64" s="2562" cm="1">
        <f t="array" ref="D64">INDEX('5층_부하량'!F3:F3000,MATCH(1,("5-DaHall 1-PDU-02"='5층_부하량'!A3:A3000)*(8='5층_부하량'!B3:B3000),0))</f>
        <v>13.04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2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5" t="s">
        <v>5279</v>
      </c>
      <c r="B65" s="17" t="s">
        <v>4204</v>
      </c>
      <c r="C65" s="18" t="s">
        <v>4149</v>
      </c>
      <c r="D65" s="21"/>
      <c r="E65" s="2562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2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5" t="s">
        <v>5280</v>
      </c>
      <c r="B66" s="17" t="s">
        <v>4204</v>
      </c>
      <c r="C66" s="18" t="s">
        <v>4149</v>
      </c>
      <c r="D66" s="21"/>
      <c r="E66" s="21"/>
      <c r="F66" s="2562" cm="1">
        <f t="array" ref="F66">INDEX('5층_부하량'!H3:H3000,MATCH(1,("5-DaHall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2" cm="1">
        <f t="array" ref="P66">INDEX('5층_부하량'!H3:H3000,MATCH(1,("5-DaHall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2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2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2" cm="1">
        <f t="array" ref="E68">INDEX('5층_부하량'!G3:G3000,MATCH(1,("5-DaHall 1-PDU-02"='5층_부하량'!A3:A3000)*(12='5층_부하량'!B3:B3000),0))</f>
        <v>1.7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2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2" cm="1">
        <f t="array" ref="F69">INDEX('5층_부하량'!H3:H3000,MATCH(1,("5-DaHall 1-PDU-02"='5층_부하량'!A3:A3000)*(13='5층_부하량'!B3:B3000),0))</f>
        <v>1.34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2" cm="1">
        <f t="array" ref="P69">INDEX('5층_부하량'!H3:H3000,MATCH(1,("5-DaHall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2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2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2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2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2" cm="1">
        <f t="array" ref="F72">INDEX('5층_부하량'!H3:H3000,MATCH(1,("5-DaHall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2" cm="1">
        <f t="array" ref="P72">INDEX('5층_부하량'!H3:H3000,MATCH(1,("5-DaHall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5" t="s">
        <v>5253</v>
      </c>
      <c r="B73" s="17" t="s">
        <v>4204</v>
      </c>
      <c r="C73" s="18" t="s">
        <v>4149</v>
      </c>
      <c r="D73" s="2562" cm="1">
        <f t="array" ref="D73">INDEX('5층_부하량'!F3:F3000,MATCH(1,("5-DaHall 1-PDU-02"='5층_부하량'!A3:A3000)*(17='5층_부하량'!B3:B3000),0))</f>
        <v>13.2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2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5" t="s">
        <v>5284</v>
      </c>
      <c r="B74" s="17" t="s">
        <v>4204</v>
      </c>
      <c r="C74" s="18" t="s">
        <v>4149</v>
      </c>
      <c r="D74" s="21"/>
      <c r="E74" s="2562" cm="1">
        <f t="array" ref="E74">INDEX('5층_부하량'!G3:G3000,MATCH(1,("5-DaHall 1-PDU-02"='5층_부하량'!A3:A3000)*(18='5층_부하량'!B3:B3000),0))</f>
        <v>12.95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2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5" t="s">
        <v>5286</v>
      </c>
      <c r="B75" s="17" t="s">
        <v>4204</v>
      </c>
      <c r="C75" s="18" t="s">
        <v>4149</v>
      </c>
      <c r="D75" s="21"/>
      <c r="E75" s="19"/>
      <c r="F75" s="2560" cm="1">
        <f t="array" ref="F75">INDEX('5층_부하량'!H3:H3000,MATCH(1,("5-DaHall 1-PDU-02"='5층_부하량'!A3:A3000)*(19='5층_부하량'!B3:B3000),0))</f>
        <v>11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60" cm="1">
        <f t="array" ref="P75">INDEX('5층_부하량'!H3:H3000,MATCH(1,("5-DaHall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5" t="s">
        <v>5288</v>
      </c>
      <c r="B76" s="17" t="s">
        <v>4204</v>
      </c>
      <c r="C76" s="18" t="s">
        <v>4149</v>
      </c>
      <c r="D76" s="2562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2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5" t="s">
        <v>5290</v>
      </c>
      <c r="B77" s="17" t="s">
        <v>4204</v>
      </c>
      <c r="C77" s="18" t="s">
        <v>4149</v>
      </c>
      <c r="D77" s="21"/>
      <c r="E77" s="2562" cm="1">
        <f t="array" ref="E77">INDEX('5층_부하량'!G3:G3000,MATCH(1,("5-DaHall 1-PDU-02"='5층_부하량'!A3:A3000)*(21='5층_부하량'!B3:B3000),0))</f>
        <v>10.72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2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6" t="s">
        <v>3028</v>
      </c>
      <c r="D78" s="21"/>
      <c r="E78" s="19"/>
      <c r="F78" s="2562" cm="1">
        <f t="array" ref="F78">INDEX('5층_부하량'!H3:H3000,MATCH(1,("5-DaHall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2" cm="1">
        <f t="array" ref="P78">INDEX('5층_부하량'!H3:H3000,MATCH(1,("5-DaHall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6" t="s">
        <v>3028</v>
      </c>
      <c r="D79" s="2562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2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6" t="s">
        <v>3028</v>
      </c>
      <c r="D80" s="21"/>
      <c r="E80" s="2562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2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6" t="s">
        <v>3028</v>
      </c>
      <c r="D81" s="21"/>
      <c r="E81" s="21"/>
      <c r="F81" s="2562" cm="1">
        <f t="array" ref="F81">INDEX('5층_부하량'!H3:H3000,MATCH(1,("5-DaHall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2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61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61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38.849999999999994</v>
      </c>
      <c r="O83" s="33">
        <f>SUM(E57:E82,O57:O82)</f>
        <v>38.64</v>
      </c>
      <c r="P83" s="33">
        <f>SUM(F57:F82,P57:P82)</f>
        <v>30.200000000000003</v>
      </c>
    </row>
    <row r="84" spans="1:20" ht="18" customHeight="1" thickTop="1" thickBot="1">
      <c r="A84" s="2" t="s">
        <v>6520</v>
      </c>
      <c r="C84" s="3818" t="s">
        <v>5295</v>
      </c>
      <c r="D84" s="3818"/>
      <c r="E84" s="3818"/>
      <c r="F84" s="3818"/>
      <c r="G84" s="53"/>
      <c r="H84" s="123"/>
      <c r="I84" s="123"/>
      <c r="J84" s="3819" t="s">
        <v>5226</v>
      </c>
      <c r="K84" s="382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4136</v>
      </c>
      <c r="N85" s="1342">
        <v>26.8</v>
      </c>
      <c r="O85" s="1343">
        <v>15.9</v>
      </c>
      <c r="P85" s="1344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9" cm="1">
        <f t="array" ref="D87">INDEX('5층_부하량'!F3:F3000,MATCH(1,("5-DaHall 1-PDU-03"='5층_부하량'!A3:A3000)*(1='5층_부하량'!B3:B3000),0))</f>
        <v>0</v>
      </c>
      <c r="E87" s="2559" cm="1">
        <f t="array" ref="E87">INDEX('5층_부하량'!G3:G3000,MATCH(1,("5-DaHall 1-PDU-03"='5층_부하량'!A3:A3000)*(1='5층_부하량'!B3:B3000),0))</f>
        <v>0</v>
      </c>
      <c r="F87" s="2559" cm="1">
        <f t="array" ref="F87">INDEX('5층_부하량'!H3:H3000,MATCH(1,("5-DaHall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9" cm="1">
        <f t="array" ref="N87">INDEX('5층_부하량'!F3:F3000,MATCH(1,("5-DaHall 1-PDU-03"='5층_부하량'!A3:A3000)*(55='5층_부하량'!B3:B3000),0))</f>
        <v>0</v>
      </c>
      <c r="O87" s="2559" cm="1">
        <f t="array" ref="O87">INDEX('5층_부하량'!G3:G3000,MATCH(1,("5-DaHall 1-PDU-03"='5층_부하량'!A3:A3000)*(55='5층_부하량'!B3:B3000),0))</f>
        <v>0</v>
      </c>
      <c r="P87" s="2559" cm="1">
        <f t="array" ref="P87">INDEX('5층_부하량'!H3:H3000,MATCH(1,("5-DaHall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2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7" t="s">
        <v>2834</v>
      </c>
      <c r="L88" s="543" t="s">
        <v>4152</v>
      </c>
      <c r="M88" s="17" t="s">
        <v>4150</v>
      </c>
      <c r="N88" s="2562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2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7" t="s">
        <v>2834</v>
      </c>
      <c r="L89" s="543" t="s">
        <v>4157</v>
      </c>
      <c r="M89" s="17" t="s">
        <v>4150</v>
      </c>
      <c r="N89" s="21"/>
      <c r="O89" s="2562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2" cm="1">
        <f t="array" ref="F90">INDEX('5층_부하량'!H3:H3000,MATCH(1,("5-DaHall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7" t="s">
        <v>2834</v>
      </c>
      <c r="L90" s="543" t="s">
        <v>4162</v>
      </c>
      <c r="M90" s="17" t="s">
        <v>4150</v>
      </c>
      <c r="N90" s="21"/>
      <c r="O90" s="21"/>
      <c r="P90" s="2562" cm="1">
        <f t="array" ref="P90">INDEX('5층_부하량'!H3:H3000,MATCH(1,("5-DaHall 1-PDU-03"='5층_부하량'!A3:A3000)*(58='5층_부하량'!B3:B3000),0))</f>
        <v>0.85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2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7" t="s">
        <v>2834</v>
      </c>
      <c r="L91" s="543" t="s">
        <v>4167</v>
      </c>
      <c r="M91" s="17" t="s">
        <v>4171</v>
      </c>
      <c r="N91" s="2562" cm="1">
        <f t="array" ref="N91">INDEX('5층_부하량'!F3:F3000,MATCH(1,("5-DaHall 1-PDU-03"='5층_부하량'!A3:A3000)*(59='5층_부하량'!B3:B3000),0))</f>
        <v>1.8199999999999998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2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7" t="s">
        <v>2834</v>
      </c>
      <c r="L92" s="543" t="s">
        <v>4170</v>
      </c>
      <c r="M92" s="17" t="s">
        <v>4171</v>
      </c>
      <c r="N92" s="21"/>
      <c r="O92" s="2562" cm="1">
        <f t="array" ref="O92">INDEX('5층_부하량'!G3:G3000,MATCH(1,("5-DaHall 1-PDU-03"='5층_부하량'!A3:A3000)*(60='5층_부하량'!B3:B3000),0))</f>
        <v>4.49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2" cm="1">
        <f t="array" ref="F93">INDEX('5층_부하량'!H3:H3000,MATCH(1,("5-DaHall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7" t="s">
        <v>2834</v>
      </c>
      <c r="L93" s="543" t="s">
        <v>4173</v>
      </c>
      <c r="M93" s="17" t="s">
        <v>4171</v>
      </c>
      <c r="N93" s="21"/>
      <c r="O93" s="21"/>
      <c r="P93" s="2562" cm="1">
        <f t="array" ref="P93">INDEX('5층_부하량'!H3:H3000,MATCH(1,("5-DaHall 1-PDU-03"='5층_부하량'!A3:A3000)*(61='5층_부하량'!B3:B3000),0))</f>
        <v>2.08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2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7" t="s">
        <v>2834</v>
      </c>
      <c r="L94" s="543" t="s">
        <v>4175</v>
      </c>
      <c r="M94" s="17" t="s">
        <v>4171</v>
      </c>
      <c r="N94" s="2562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2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7" t="s">
        <v>2834</v>
      </c>
      <c r="L95" s="543" t="s">
        <v>4177</v>
      </c>
      <c r="M95" s="17" t="s">
        <v>4171</v>
      </c>
      <c r="N95" s="21"/>
      <c r="O95" s="2562" cm="1">
        <f t="array" ref="O95">INDEX('5층_부하량'!G3:G3000,MATCH(1,("5-DaHall 1-PDU-03"='5층_부하량'!A3:A3000)*(63='5층_부하량'!B3:B3000),0))</f>
        <v>4.42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2" cm="1">
        <f t="array" ref="F96">INDEX('5층_부하량'!H3:H3000,MATCH(1,("5-DaHall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7" t="s">
        <v>2834</v>
      </c>
      <c r="L96" s="543" t="s">
        <v>4179</v>
      </c>
      <c r="M96" s="17" t="s">
        <v>4171</v>
      </c>
      <c r="N96" s="21"/>
      <c r="O96" s="21"/>
      <c r="P96" s="2562" cm="1">
        <f t="array" ref="P96">INDEX('5층_부하량'!H3:H3000,MATCH(1,("5-DaHall 1-PDU-03"='5층_부하량'!A3:A3000)*(64='5층_부하량'!B3:B3000),0))</f>
        <v>0.86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2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7" t="s">
        <v>2834</v>
      </c>
      <c r="L97" s="543" t="s">
        <v>4183</v>
      </c>
      <c r="M97" s="17" t="s">
        <v>4171</v>
      </c>
      <c r="N97" s="2562" cm="1">
        <f t="array" ref="N97">INDEX('5층_부하량'!F3:F3000,MATCH(1,("5-DaHall 1-PDU-03"='5층_부하량'!A3:A3000)*(65='5층_부하량'!B3:B3000),0))</f>
        <v>2.9699999999999998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2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7" t="s">
        <v>2834</v>
      </c>
      <c r="L98" s="543" t="s">
        <v>4187</v>
      </c>
      <c r="M98" s="17" t="s">
        <v>4171</v>
      </c>
      <c r="N98" s="21"/>
      <c r="O98" s="2562" cm="1">
        <f t="array" ref="O98">INDEX('5층_부하량'!G3:G3000,MATCH(1,("5-DaHall 1-PDU-03"='5층_부하량'!A3:A3000)*(66='5층_부하량'!B3:B3000),0))</f>
        <v>3.27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2" cm="1">
        <f t="array" ref="F99">INDEX('5층_부하량'!H3:H3000,MATCH(1,("5-DaHall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7" t="s">
        <v>2834</v>
      </c>
      <c r="L99" s="543" t="s">
        <v>4253</v>
      </c>
      <c r="M99" s="17" t="s">
        <v>4171</v>
      </c>
      <c r="N99" s="21"/>
      <c r="O99" s="21"/>
      <c r="P99" s="2562" cm="1">
        <f t="array" ref="P99">INDEX('5층_부하량'!H3:H3000,MATCH(1,("5-DaHall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2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7" t="s">
        <v>2834</v>
      </c>
      <c r="L100" s="543" t="s">
        <v>4258</v>
      </c>
      <c r="M100" s="17" t="s">
        <v>4171</v>
      </c>
      <c r="N100" s="2562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2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7" t="s">
        <v>2834</v>
      </c>
      <c r="L101" s="544" t="s">
        <v>4262</v>
      </c>
      <c r="M101" s="71" t="s">
        <v>4171</v>
      </c>
      <c r="N101" s="21"/>
      <c r="O101" s="2562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2" cm="1">
        <f t="array" ref="F102">INDEX('5층_부하량'!H3:H3000,MATCH(1,("5-DaHall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7" t="s">
        <v>2834</v>
      </c>
      <c r="L102" s="543" t="s">
        <v>4265</v>
      </c>
      <c r="M102" s="17" t="s">
        <v>4171</v>
      </c>
      <c r="N102" s="21"/>
      <c r="O102" s="21"/>
      <c r="P102" s="2562" cm="1">
        <f t="array" ref="P102">INDEX('5층_부하량'!H3:H3000,MATCH(1,("5-DaHall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2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7" t="s">
        <v>2834</v>
      </c>
      <c r="L103" s="543" t="s">
        <v>4267</v>
      </c>
      <c r="M103" s="17" t="s">
        <v>4171</v>
      </c>
      <c r="N103" s="2562" cm="1">
        <f t="array" ref="N103">INDEX('5층_부하량'!F3:F3000,MATCH(1,("5-DaHall 1-PDU-03"='5층_부하량'!A3:A3000)*(71='5층_부하량'!B3:B3000),0))</f>
        <v>2.54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2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7" t="s">
        <v>2834</v>
      </c>
      <c r="L104" s="543" t="s">
        <v>4271</v>
      </c>
      <c r="M104" s="17" t="s">
        <v>4171</v>
      </c>
      <c r="N104" s="21"/>
      <c r="O104" s="2562" cm="1">
        <f t="array" ref="O104">INDEX('5층_부하량'!G3:G3000,MATCH(1,("5-DaHall 1-PDU-03"='5층_부하량'!A3:A3000)*(72='5층_부하량'!B3:B3000),0))</f>
        <v>2.5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60" cm="1">
        <f t="array" ref="F105">INDEX('5층_부하량'!H3:H3000,MATCH(1,("5-DaHall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7" t="s">
        <v>2834</v>
      </c>
      <c r="L105" s="543" t="s">
        <v>4276</v>
      </c>
      <c r="M105" s="17" t="s">
        <v>4171</v>
      </c>
      <c r="N105" s="21"/>
      <c r="O105" s="19"/>
      <c r="P105" s="2560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2" cm="1">
        <f t="array" ref="D106">INDEX('5층_부하량'!F3:F3000,MATCH(1,("5-DaHall 1-PDU-03"='5층_부하량'!A3:A3000)*(20='5층_부하량'!B3:B3000),0))</f>
        <v>4.4400000000000004</v>
      </c>
      <c r="E106" s="19"/>
      <c r="F106" s="19"/>
      <c r="G106" s="21"/>
      <c r="H106" s="17" t="s">
        <v>4171</v>
      </c>
      <c r="I106" s="543" t="s">
        <v>4279</v>
      </c>
      <c r="J106" s="2155" t="s">
        <v>2837</v>
      </c>
      <c r="K106" s="2157" t="s">
        <v>2834</v>
      </c>
      <c r="L106" s="543" t="s">
        <v>4280</v>
      </c>
      <c r="M106" s="17" t="s">
        <v>4171</v>
      </c>
      <c r="N106" s="2562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2" cm="1">
        <f t="array" ref="E107">INDEX('5층_부하량'!G3:G3000,MATCH(1,("5-DaHall 1-PDU-03"='5층_부하량'!A3:A3000)*(21='5층_부하량'!B3:B3000),0))</f>
        <v>2.31</v>
      </c>
      <c r="F107" s="19"/>
      <c r="G107" s="21"/>
      <c r="H107" s="17" t="s">
        <v>4171</v>
      </c>
      <c r="I107" s="543" t="s">
        <v>4283</v>
      </c>
      <c r="J107" s="2155" t="s">
        <v>2837</v>
      </c>
      <c r="K107" s="2157" t="s">
        <v>2834</v>
      </c>
      <c r="L107" s="543" t="s">
        <v>4284</v>
      </c>
      <c r="M107" s="17" t="s">
        <v>4171</v>
      </c>
      <c r="N107" s="21"/>
      <c r="O107" s="2562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20" t="s">
        <v>5334</v>
      </c>
      <c r="B108" s="17" t="s">
        <v>5335</v>
      </c>
      <c r="C108" s="17" t="s">
        <v>4296</v>
      </c>
      <c r="D108" s="21"/>
      <c r="E108" s="19"/>
      <c r="F108" s="2562" cm="1">
        <f t="array" ref="F108">INDEX('5층_부하량'!H3:H3000,MATCH(1,("5-DaHall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5" t="s">
        <v>2837</v>
      </c>
      <c r="K108" s="2157" t="s">
        <v>2834</v>
      </c>
      <c r="L108" s="543" t="s">
        <v>4416</v>
      </c>
      <c r="M108" s="17" t="s">
        <v>4171</v>
      </c>
      <c r="N108" s="21"/>
      <c r="O108" s="19"/>
      <c r="P108" s="2562" cm="1">
        <f t="array" ref="P108">INDEX('5층_부하량'!H3:H3000,MATCH(1,("5-DaHall 1-PDU-03"='5층_부하량'!A3:A3000)*(76='5층_부하량'!B3:B3000),0))</f>
        <v>1.83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20" t="s">
        <v>5337</v>
      </c>
      <c r="B109" s="71" t="s">
        <v>4204</v>
      </c>
      <c r="C109" s="72" t="s">
        <v>4149</v>
      </c>
      <c r="D109" s="2562" cm="1">
        <f t="array" ref="D109">INDEX('5층_부하량'!F3:F3000,MATCH(1,("5-DaHall 1-PDU-03"='5층_부하량'!A3:A3000)*(23='5층_부하량'!B3:B3000),0))</f>
        <v>3.41</v>
      </c>
      <c r="E109" s="19"/>
      <c r="F109" s="19"/>
      <c r="G109" s="21"/>
      <c r="H109" s="17" t="s">
        <v>4171</v>
      </c>
      <c r="I109" s="543" t="s">
        <v>4418</v>
      </c>
      <c r="J109" s="2155" t="s">
        <v>2837</v>
      </c>
      <c r="K109" s="2157" t="s">
        <v>2834</v>
      </c>
      <c r="L109" s="543" t="s">
        <v>4419</v>
      </c>
      <c r="M109" s="17" t="s">
        <v>4171</v>
      </c>
      <c r="N109" s="2562" cm="1">
        <f t="array" ref="N109">INDEX('5층_부하량'!F3:F3000,MATCH(1,("5-DaHall 1-PDU-03"='5층_부하량'!A3:A3000)*(77='5층_부하량'!B3:B3000),0))</f>
        <v>3.18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20" t="s">
        <v>5339</v>
      </c>
      <c r="B110" s="17" t="s">
        <v>4204</v>
      </c>
      <c r="C110" s="18" t="s">
        <v>4149</v>
      </c>
      <c r="D110" s="21"/>
      <c r="E110" s="2562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5" t="s">
        <v>2837</v>
      </c>
      <c r="K110" s="2157" t="s">
        <v>2834</v>
      </c>
      <c r="L110" s="543" t="s">
        <v>4421</v>
      </c>
      <c r="M110" s="17" t="s">
        <v>4171</v>
      </c>
      <c r="N110" s="21"/>
      <c r="O110" s="2562" cm="1">
        <f t="array" ref="O110">INDEX('5층_부하량'!G3:G3000,MATCH(1,("5-DaHall 1-PDU-03"='5층_부하량'!A3:A3000)*(78='5층_부하량'!B3:B3000),0))</f>
        <v>3.09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2" cm="1">
        <f t="array" ref="F111">INDEX('5층_부하량'!H3:H3000,MATCH(1,("5-DaHall 1-PDU-03"='5층_부하량'!A3:A3000)*(25='5층_부하량'!B3:B3000),0))</f>
        <v>4.41</v>
      </c>
      <c r="G111" s="21"/>
      <c r="H111" s="17" t="s">
        <v>4171</v>
      </c>
      <c r="I111" s="543" t="s">
        <v>4422</v>
      </c>
      <c r="J111" s="2155" t="s">
        <v>2837</v>
      </c>
      <c r="K111" s="2157" t="s">
        <v>2834</v>
      </c>
      <c r="L111" s="543" t="s">
        <v>4423</v>
      </c>
      <c r="M111" s="17" t="s">
        <v>4171</v>
      </c>
      <c r="N111" s="21"/>
      <c r="O111" s="21"/>
      <c r="P111" s="2562" cm="1">
        <f t="array" ref="P111">INDEX('5층_부하량'!H3:H3000,MATCH(1,("5-DaHall 1-PDU-03"='5층_부하량'!A3:A3000)*(79='5층_부하량'!B3:B3000),0))</f>
        <v>4.0599999999999996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61" cm="1">
        <f t="array" ref="D112">INDEX('5층_부하량'!F3:F3000,MATCH(1,("5-DaHall 1-PDU-03"='5층_부하량'!A3:A3000)*(26='5층_부하량'!B3:B3000),0))</f>
        <v>6.08</v>
      </c>
      <c r="E112" s="36"/>
      <c r="F112" s="36"/>
      <c r="G112" s="36"/>
      <c r="H112" s="35" t="s">
        <v>4171</v>
      </c>
      <c r="I112" s="545" t="s">
        <v>4424</v>
      </c>
      <c r="J112" s="2156" t="s">
        <v>2837</v>
      </c>
      <c r="K112" s="2158" t="s">
        <v>2834</v>
      </c>
      <c r="L112" s="545" t="s">
        <v>4425</v>
      </c>
      <c r="M112" s="35" t="s">
        <v>4171</v>
      </c>
      <c r="N112" s="2561" cm="1">
        <f t="array" ref="N112">INDEX('5층_부하량'!F3:F3000,MATCH(1,("5-DaHall 1-PDU-03"='5층_부하량'!A3:A3000)*(80='5층_부하량'!B3:B3000),0))</f>
        <v>4.6399999999999997</v>
      </c>
      <c r="O112" s="36"/>
      <c r="P112" s="36"/>
      <c r="Q112" s="36"/>
      <c r="R112" s="35" t="s">
        <v>5319</v>
      </c>
      <c r="S112" s="39" t="s">
        <v>4149</v>
      </c>
      <c r="T112" s="2159" t="s">
        <v>5344</v>
      </c>
    </row>
    <row r="113" spans="1:20" ht="18" customHeight="1" thickTop="1" thickBot="1">
      <c r="M113" s="79" t="s">
        <v>5218</v>
      </c>
      <c r="N113" s="33">
        <f>SUM(D87:D112,N87:N112)</f>
        <v>31.849999999999998</v>
      </c>
      <c r="O113" s="33">
        <f>SUM(E87:E112,O87:O112)</f>
        <v>21.470000000000002</v>
      </c>
      <c r="P113" s="33">
        <f>SUM(F87:F112,P87:P112)</f>
        <v>16.29</v>
      </c>
    </row>
    <row r="114" spans="1:20" ht="18" customHeight="1" thickTop="1" thickBot="1">
      <c r="A114" s="2" t="s">
        <v>6521</v>
      </c>
      <c r="C114" s="3818" t="s">
        <v>5345</v>
      </c>
      <c r="D114" s="3818"/>
      <c r="E114" s="3818"/>
      <c r="F114" s="3818"/>
      <c r="G114" s="53"/>
      <c r="H114" s="123"/>
      <c r="I114" s="123"/>
      <c r="J114" s="3819" t="s">
        <v>5226</v>
      </c>
      <c r="K114" s="382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4136</v>
      </c>
      <c r="N115" s="1342">
        <v>25.1</v>
      </c>
      <c r="O115" s="1343">
        <v>15.5</v>
      </c>
      <c r="P115" s="1344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9" cm="1">
        <f t="array" ref="D117">INDEX('5층_부하량'!F3:F3000,MATCH(1,("5-DaHall 1-PDU-04"='5층_부하량'!A3:A3000)*(1='5층_부하량'!B3:B3000),0))</f>
        <v>0</v>
      </c>
      <c r="E117" s="2559" cm="1">
        <f t="array" ref="E117">INDEX('5층_부하량'!G3:G3000,MATCH(1,("5-DaHall 1-PDU-04"='5층_부하량'!A3:A3000)*(1='5층_부하량'!B3:B3000),0))</f>
        <v>0</v>
      </c>
      <c r="F117" s="2559" cm="1">
        <f t="array" ref="F117">INDEX('5층_부하량'!H3:H3000,MATCH(1,("5-DaHall 1-PDU-04"='5층_부하량'!A3:A3000)*(1='5층_부하량'!B3:B3000),0))</f>
        <v>0</v>
      </c>
      <c r="G117" s="15"/>
      <c r="H117" s="11" t="s">
        <v>5227</v>
      </c>
      <c r="I117" s="1406" t="s">
        <v>5228</v>
      </c>
      <c r="J117" s="60"/>
      <c r="K117" s="61"/>
      <c r="L117" s="1409" t="s">
        <v>5229</v>
      </c>
      <c r="M117" s="11" t="s">
        <v>5227</v>
      </c>
      <c r="N117" s="2559" cm="1">
        <f t="array" ref="N117">INDEX('5층_부하량'!F3:F3000,MATCH(1,("5-DaHall 1-PDU-04"='5층_부하량'!A3:A3000)*(55='5층_부하량'!B3:B3000),0))</f>
        <v>0</v>
      </c>
      <c r="O117" s="2559" cm="1">
        <f t="array" ref="O117">INDEX('5층_부하량'!G3:G3000,MATCH(1,("5-DaHall 1-PDU-04"='5층_부하량'!A3:A3000)*(55='5층_부하량'!B3:B3000),0))</f>
        <v>0</v>
      </c>
      <c r="P117" s="2559" cm="1">
        <f t="array" ref="P117">INDEX('5층_부하량'!H3:H3000,MATCH(1,("5-DaHall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2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7" t="s">
        <v>2834</v>
      </c>
      <c r="L118" s="543" t="s">
        <v>4152</v>
      </c>
      <c r="M118" s="17" t="s">
        <v>4150</v>
      </c>
      <c r="N118" s="2562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2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7" t="s">
        <v>2834</v>
      </c>
      <c r="L119" s="543" t="s">
        <v>4157</v>
      </c>
      <c r="M119" s="17" t="s">
        <v>4150</v>
      </c>
      <c r="N119" s="21"/>
      <c r="O119" s="2562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2" cm="1">
        <f t="array" ref="F120">INDEX('5층_부하량'!H3:H3000,MATCH(1,("5-DaHall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7" t="s">
        <v>2834</v>
      </c>
      <c r="L120" s="543" t="s">
        <v>4162</v>
      </c>
      <c r="M120" s="17" t="s">
        <v>4150</v>
      </c>
      <c r="N120" s="21"/>
      <c r="O120" s="21"/>
      <c r="P120" s="2562" cm="1">
        <f t="array" ref="P120">INDEX('5층_부하량'!H3:H3000,MATCH(1,("5-DaHall 1-PDU-04"='5층_부하량'!A3:A3000)*(58='5층_부하량'!B3:B3000),0))</f>
        <v>0.84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2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7" t="s">
        <v>2834</v>
      </c>
      <c r="L121" s="543" t="s">
        <v>4167</v>
      </c>
      <c r="M121" s="17" t="s">
        <v>4171</v>
      </c>
      <c r="N121" s="2562" cm="1">
        <f t="array" ref="N121">INDEX('5층_부하량'!F3:F3000,MATCH(1,("5-DaHall 1-PDU-04"='5층_부하량'!A3:A3000)*(59='5층_부하량'!B3:B3000),0))</f>
        <v>2.12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2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7" t="s">
        <v>2834</v>
      </c>
      <c r="L122" s="543" t="s">
        <v>4170</v>
      </c>
      <c r="M122" s="17" t="s">
        <v>4171</v>
      </c>
      <c r="N122" s="21"/>
      <c r="O122" s="2562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2" cm="1">
        <f t="array" ref="F123">INDEX('5층_부하량'!H3:H3000,MATCH(1,("5-DaHall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7" t="s">
        <v>2834</v>
      </c>
      <c r="L123" s="543" t="s">
        <v>4173</v>
      </c>
      <c r="M123" s="17" t="s">
        <v>4171</v>
      </c>
      <c r="N123" s="21"/>
      <c r="O123" s="21"/>
      <c r="P123" s="2562" cm="1">
        <f t="array" ref="P123">INDEX('5층_부하량'!H3:H3000,MATCH(1,("5-DaHall 1-PDU-04"='5층_부하량'!A3:A3000)*(61='5층_부하량'!B3:B3000),0))</f>
        <v>2.06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2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7" t="s">
        <v>2834</v>
      </c>
      <c r="L124" s="543" t="s">
        <v>4175</v>
      </c>
      <c r="M124" s="17" t="s">
        <v>4171</v>
      </c>
      <c r="N124" s="2562" cm="1">
        <f t="array" ref="N124">INDEX('5층_부하량'!F3:F3000,MATCH(1,("5-DaHall 1-PDU-04"='5층_부하량'!A3:A3000)*(62='5층_부하량'!B3:B3000),0))</f>
        <v>1.35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2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7" t="s">
        <v>2834</v>
      </c>
      <c r="L125" s="543" t="s">
        <v>4177</v>
      </c>
      <c r="M125" s="17" t="s">
        <v>4171</v>
      </c>
      <c r="N125" s="21"/>
      <c r="O125" s="2562" cm="1">
        <f t="array" ref="O125">INDEX('5층_부하량'!G3:G3000,MATCH(1,("5-DaHall 1-PDU-04"='5층_부하량'!A3:A3000)*(63='5층_부하량'!B3:B3000),0))</f>
        <v>4.42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2" cm="1">
        <f t="array" ref="F126">INDEX('5층_부하량'!H3:H3000,MATCH(1,("5-DaHall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7" t="s">
        <v>2834</v>
      </c>
      <c r="L126" s="543" t="s">
        <v>4179</v>
      </c>
      <c r="M126" s="17" t="s">
        <v>4171</v>
      </c>
      <c r="N126" s="21"/>
      <c r="O126" s="21"/>
      <c r="P126" s="2562" cm="1">
        <f t="array" ref="P126">INDEX('5층_부하량'!H3:H3000,MATCH(1,("5-DaHall 1-PDU-04"='5층_부하량'!A3:A3000)*(64='5층_부하량'!B3:B3000),0))</f>
        <v>0.93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2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7" t="s">
        <v>4243</v>
      </c>
      <c r="J127" s="585" t="s">
        <v>4210</v>
      </c>
      <c r="K127" s="2157" t="s">
        <v>2834</v>
      </c>
      <c r="L127" s="543" t="s">
        <v>4183</v>
      </c>
      <c r="M127" s="17" t="s">
        <v>4171</v>
      </c>
      <c r="N127" s="2562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2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7" t="s">
        <v>2834</v>
      </c>
      <c r="L128" s="543" t="s">
        <v>4187</v>
      </c>
      <c r="M128" s="17" t="s">
        <v>4171</v>
      </c>
      <c r="N128" s="21"/>
      <c r="O128" s="2562" cm="1">
        <f t="array" ref="O128">INDEX('5층_부하량'!G3:G3000,MATCH(1,("5-DaHall 1-PDU-04"='5층_부하량'!A3:A3000)*(66='5층_부하량'!B3:B3000),0))</f>
        <v>4.8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2" cm="1">
        <f t="array" ref="F129">INDEX('5층_부하량'!H3:H3000,MATCH(1,("5-DaHall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7" t="s">
        <v>2834</v>
      </c>
      <c r="L129" s="543" t="s">
        <v>4253</v>
      </c>
      <c r="M129" s="17" t="s">
        <v>4171</v>
      </c>
      <c r="N129" s="21"/>
      <c r="O129" s="21"/>
      <c r="P129" s="2562" cm="1">
        <f t="array" ref="P129">INDEX('5층_부하량'!H3:H3000,MATCH(1,("5-DaHall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2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7" t="s">
        <v>2834</v>
      </c>
      <c r="L130" s="543" t="s">
        <v>4258</v>
      </c>
      <c r="M130" s="17" t="s">
        <v>4171</v>
      </c>
      <c r="N130" s="2562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2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7" t="s">
        <v>2834</v>
      </c>
      <c r="L131" s="544" t="s">
        <v>4262</v>
      </c>
      <c r="M131" s="71" t="s">
        <v>4171</v>
      </c>
      <c r="N131" s="21"/>
      <c r="O131" s="2562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2" cm="1">
        <f t="array" ref="F132">INDEX('5층_부하량'!H3:H3000,MATCH(1,("5-DaHall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7" t="s">
        <v>2834</v>
      </c>
      <c r="L132" s="543" t="s">
        <v>4265</v>
      </c>
      <c r="M132" s="17" t="s">
        <v>4171</v>
      </c>
      <c r="N132" s="21"/>
      <c r="O132" s="21"/>
      <c r="P132" s="2562" cm="1">
        <f t="array" ref="P132">INDEX('5층_부하량'!H3:H3000,MATCH(1,("5-DaHall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20"/>
      <c r="B133" s="1411" t="s">
        <v>4164</v>
      </c>
      <c r="C133" s="17" t="s">
        <v>4296</v>
      </c>
      <c r="D133" s="2562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7" t="s">
        <v>2834</v>
      </c>
      <c r="L133" s="1407" t="s">
        <v>4267</v>
      </c>
      <c r="M133" s="17" t="s">
        <v>4171</v>
      </c>
      <c r="N133" s="2562" cm="1">
        <f t="array" ref="N133">INDEX('5층_부하량'!F3:F3000,MATCH(1,("5-DaHall 1-PDU-04"='5층_부하량'!A3:A3000)*(71='5층_부하량'!B3:B3000),0))</f>
        <v>0.64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20"/>
      <c r="B134" s="1411" t="s">
        <v>4164</v>
      </c>
      <c r="C134" s="17" t="s">
        <v>4296</v>
      </c>
      <c r="D134" s="21"/>
      <c r="E134" s="2562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7" t="s">
        <v>2834</v>
      </c>
      <c r="L134" s="1407" t="s">
        <v>4271</v>
      </c>
      <c r="M134" s="17" t="s">
        <v>4171</v>
      </c>
      <c r="N134" s="21"/>
      <c r="O134" s="2562" cm="1">
        <f t="array" ref="O134">INDEX('5층_부하량'!G3:G3000,MATCH(1,("5-DaHall 1-PDU-04"='5층_부하량'!A3:A3000)*(72='5층_부하량'!B3:B3000),0))</f>
        <v>0.3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20"/>
      <c r="B135" s="1411" t="s">
        <v>4164</v>
      </c>
      <c r="C135" s="17" t="s">
        <v>4296</v>
      </c>
      <c r="D135" s="21"/>
      <c r="E135" s="19"/>
      <c r="F135" s="2560" cm="1">
        <f t="array" ref="F135">INDEX('5층_부하량'!H3:H3000,MATCH(1,("5-DaHall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7" t="s">
        <v>2834</v>
      </c>
      <c r="L135" s="1407" t="s">
        <v>4276</v>
      </c>
      <c r="M135" s="17" t="s">
        <v>4171</v>
      </c>
      <c r="N135" s="21"/>
      <c r="O135" s="19"/>
      <c r="P135" s="2560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2" cm="1">
        <f t="array" ref="D136">INDEX('5층_부하량'!F3:F3000,MATCH(1,("5-DaHall 1-PDU-04"='5층_부하량'!A3:A3000)*(20='5층_부하량'!B3:B3000),0))</f>
        <v>4.96</v>
      </c>
      <c r="E136" s="19"/>
      <c r="F136" s="19"/>
      <c r="G136" s="21"/>
      <c r="H136" s="17" t="s">
        <v>4171</v>
      </c>
      <c r="I136" s="543" t="s">
        <v>4279</v>
      </c>
      <c r="J136" s="2155" t="s">
        <v>2837</v>
      </c>
      <c r="K136" s="2157" t="s">
        <v>2834</v>
      </c>
      <c r="L136" s="1407" t="s">
        <v>4280</v>
      </c>
      <c r="M136" s="17" t="s">
        <v>4171</v>
      </c>
      <c r="N136" s="2562" cm="1">
        <f t="array" ref="N136">INDEX('5층_부하량'!F3:F3000,MATCH(1,("5-DaHall 1-PDU-04"='5층_부하량'!A3:A3000)*(74='5층_부하량'!B3:B3000),0))</f>
        <v>2.5300000000000002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2" cm="1">
        <f t="array" ref="E137">INDEX('5층_부하량'!G3:G3000,MATCH(1,("5-DaHall 1-PDU-04"='5층_부하량'!A3:A3000)*(21='5층_부하량'!B3:B3000),0))</f>
        <v>1.79</v>
      </c>
      <c r="F137" s="19"/>
      <c r="G137" s="21"/>
      <c r="H137" s="17" t="s">
        <v>4171</v>
      </c>
      <c r="I137" s="543" t="s">
        <v>4283</v>
      </c>
      <c r="J137" s="2155" t="s">
        <v>2837</v>
      </c>
      <c r="K137" s="2157" t="s">
        <v>2834</v>
      </c>
      <c r="L137" s="1407" t="s">
        <v>4284</v>
      </c>
      <c r="M137" s="17" t="s">
        <v>4171</v>
      </c>
      <c r="N137" s="21"/>
      <c r="O137" s="2562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20" t="s">
        <v>5334</v>
      </c>
      <c r="B138" s="17" t="s">
        <v>5335</v>
      </c>
      <c r="C138" s="17" t="s">
        <v>4296</v>
      </c>
      <c r="D138" s="21"/>
      <c r="E138" s="19"/>
      <c r="F138" s="2562" cm="1">
        <f t="array" ref="F138">INDEX('5층_부하량'!H3:H3000,MATCH(1,("5-DaHall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5" t="s">
        <v>2837</v>
      </c>
      <c r="K138" s="2157" t="s">
        <v>2834</v>
      </c>
      <c r="L138" s="1407" t="s">
        <v>4416</v>
      </c>
      <c r="M138" s="17" t="s">
        <v>4171</v>
      </c>
      <c r="N138" s="21"/>
      <c r="O138" s="19"/>
      <c r="P138" s="2562" cm="1">
        <f t="array" ref="P138">INDEX('5층_부하량'!H3:H3000,MATCH(1,("5-DaHall 1-PDU-04"='5층_부하량'!A3:A3000)*(76='5층_부하량'!B3:B3000),0))</f>
        <v>1.6099999999999999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20" t="s">
        <v>5337</v>
      </c>
      <c r="B139" s="71" t="s">
        <v>4204</v>
      </c>
      <c r="C139" s="72" t="s">
        <v>4149</v>
      </c>
      <c r="D139" s="2562" cm="1">
        <f t="array" ref="D139">INDEX('5층_부하량'!F3:F3000,MATCH(1,("5-DaHall 1-PDU-04"='5층_부하량'!A3:A3000)*(23='5층_부하량'!B3:B3000),0))</f>
        <v>3.39</v>
      </c>
      <c r="E139" s="19"/>
      <c r="F139" s="19"/>
      <c r="G139" s="21"/>
      <c r="H139" s="17" t="s">
        <v>4171</v>
      </c>
      <c r="I139" s="543" t="s">
        <v>4418</v>
      </c>
      <c r="J139" s="2155" t="s">
        <v>2837</v>
      </c>
      <c r="K139" s="2157" t="s">
        <v>2834</v>
      </c>
      <c r="L139" s="1407" t="s">
        <v>4419</v>
      </c>
      <c r="M139" s="17" t="s">
        <v>4171</v>
      </c>
      <c r="N139" s="2562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20" t="s">
        <v>5339</v>
      </c>
      <c r="B140" s="17" t="s">
        <v>4204</v>
      </c>
      <c r="C140" s="18" t="s">
        <v>4149</v>
      </c>
      <c r="D140" s="21"/>
      <c r="E140" s="2562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5" t="s">
        <v>2837</v>
      </c>
      <c r="K140" s="2157" t="s">
        <v>2834</v>
      </c>
      <c r="L140" s="1407" t="s">
        <v>4421</v>
      </c>
      <c r="M140" s="17" t="s">
        <v>4171</v>
      </c>
      <c r="N140" s="21"/>
      <c r="O140" s="2562" cm="1">
        <f t="array" ref="O140">INDEX('5층_부하량'!G3:G3000,MATCH(1,("5-DaHall 1-PDU-04"='5층_부하량'!A3:A3000)*(78='5층_부하량'!B3:B3000),0))</f>
        <v>2.5099999999999998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20" t="s">
        <v>5353</v>
      </c>
      <c r="B141" s="17" t="s">
        <v>5335</v>
      </c>
      <c r="C141" s="18" t="s">
        <v>4149</v>
      </c>
      <c r="D141" s="21"/>
      <c r="E141" s="21"/>
      <c r="F141" s="2562" cm="1">
        <f t="array" ref="F141">INDEX('5층_부하량'!H3:H3000,MATCH(1,("5-DaHall 1-PDU-04"='5층_부하량'!A3:A3000)*(25='5층_부하량'!B3:B3000),0))</f>
        <v>4.7699999999999996</v>
      </c>
      <c r="G141" s="21"/>
      <c r="H141" s="17" t="s">
        <v>4171</v>
      </c>
      <c r="I141" s="543" t="s">
        <v>4422</v>
      </c>
      <c r="J141" s="2155" t="s">
        <v>2837</v>
      </c>
      <c r="K141" s="2157" t="s">
        <v>2834</v>
      </c>
      <c r="L141" s="1407" t="s">
        <v>4423</v>
      </c>
      <c r="M141" s="17" t="s">
        <v>4171</v>
      </c>
      <c r="N141" s="21"/>
      <c r="O141" s="21"/>
      <c r="P141" s="2562" cm="1">
        <f t="array" ref="P141">INDEX('5층_부하량'!H3:H3000,MATCH(1,("5-DaHall 1-PDU-04"='5층_부하량'!A3:A3000)*(79='5층_부하량'!B3:B3000),0))</f>
        <v>3.54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21" t="s">
        <v>5354</v>
      </c>
      <c r="B142" s="35" t="s">
        <v>5335</v>
      </c>
      <c r="C142" s="39" t="s">
        <v>4149</v>
      </c>
      <c r="D142" s="2561" cm="1">
        <f t="array" ref="D142">INDEX('5층_부하량'!F3:F3000,MATCH(1,("5-DaHall 1-PDU-04"='5층_부하량'!A3:A3000)*(26='5층_부하량'!B3:B3000),0))</f>
        <v>5.77</v>
      </c>
      <c r="E142" s="36"/>
      <c r="F142" s="36"/>
      <c r="G142" s="36"/>
      <c r="H142" s="35" t="s">
        <v>4171</v>
      </c>
      <c r="I142" s="1410" t="s">
        <v>4424</v>
      </c>
      <c r="J142" s="2156" t="s">
        <v>2837</v>
      </c>
      <c r="K142" s="2158" t="s">
        <v>2834</v>
      </c>
      <c r="L142" s="1410" t="s">
        <v>4425</v>
      </c>
      <c r="M142" s="35" t="s">
        <v>4171</v>
      </c>
      <c r="N142" s="2561" cm="1">
        <f t="array" ref="N142">INDEX('5층_부하량'!F3:F3000,MATCH(1,("5-DaHall 1-PDU-04"='5층_부하량'!A3:A3000)*(80='5층_부하량'!B3:B3000),0))</f>
        <v>4.4800000000000004</v>
      </c>
      <c r="O142" s="36"/>
      <c r="P142" s="36"/>
      <c r="Q142" s="36"/>
      <c r="R142" s="35" t="s">
        <v>5319</v>
      </c>
      <c r="S142" s="39" t="s">
        <v>4149</v>
      </c>
      <c r="T142" s="2159" t="s">
        <v>5344</v>
      </c>
    </row>
    <row r="143" spans="1:20" ht="18" customHeight="1" thickTop="1" thickBot="1">
      <c r="M143" s="79" t="s">
        <v>5218</v>
      </c>
      <c r="N143" s="33">
        <f>SUM(D117:D142,N117:N142)</f>
        <v>29.64</v>
      </c>
      <c r="O143" s="33">
        <f>SUM(E117:E142,O117:O142)</f>
        <v>19.759999999999998</v>
      </c>
      <c r="P143" s="33">
        <f>SUM(F117:F142,P117:P142)</f>
        <v>16.07</v>
      </c>
    </row>
    <row r="144" spans="1:20" ht="18" customHeight="1" thickTop="1" thickBot="1">
      <c r="A144" s="2" t="s">
        <v>5355</v>
      </c>
      <c r="C144" s="3818" t="s">
        <v>5356</v>
      </c>
      <c r="D144" s="3818"/>
      <c r="E144" s="3818"/>
      <c r="F144" s="53"/>
      <c r="G144" s="53"/>
      <c r="H144" s="123"/>
      <c r="I144" s="123"/>
      <c r="J144" s="3819" t="s">
        <v>5357</v>
      </c>
      <c r="K144" s="382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4136</v>
      </c>
      <c r="N145" s="1342"/>
      <c r="O145" s="1343"/>
      <c r="P145" s="1344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1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2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3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2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3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3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3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3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3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4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7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5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5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3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3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3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3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3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3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3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3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3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6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818" t="s">
        <v>5390</v>
      </c>
      <c r="D161" s="3818"/>
      <c r="E161" s="3818"/>
      <c r="F161" s="3818"/>
      <c r="G161" s="53"/>
      <c r="H161" s="123"/>
      <c r="I161" s="123"/>
      <c r="J161" s="3819" t="s">
        <v>5226</v>
      </c>
      <c r="K161" s="382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4136</v>
      </c>
      <c r="N162" s="1342"/>
      <c r="O162" s="1343"/>
      <c r="P162" s="1344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9" cm="1">
        <f t="array" ref="F164">INDEX('5층_부하량'!H3:H3000,MATCH(1,("5-DaHall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9" cm="1">
        <f t="array" ref="P164">INDEX('5층_부하량'!H3:H3000,MATCH(1,("5-DaHall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2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2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2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2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2" cm="1">
        <f t="array" ref="F167">INDEX('5층_부하량'!H3:H3000,MATCH(1,("5-DaHall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2" cm="1">
        <f t="array" ref="P167">INDEX('5층_부하량'!H3:H3000,MATCH(1,("5-DaHall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2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2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2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2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2" cm="1">
        <f t="array" ref="F170">INDEX('5층_부하량'!H3:H3000,MATCH(1,("5-DaHall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2" cm="1">
        <f t="array" ref="P170">INDEX('5층_부하량'!H3:H3000,MATCH(1,("5-DaHall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2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2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2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2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2" cm="1">
        <f t="array" ref="F173">INDEX('5층_부하량'!H3:H3000,MATCH(1,("5-DaHall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2" cm="1">
        <f t="array" ref="P173">INDEX('5층_부하량'!H3:H3000,MATCH(1,("5-DaHall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2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2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2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2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2" cm="1">
        <f t="array" ref="F176">INDEX('5층_부하량'!H3:H3000,MATCH(1,("5-DaHall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2" cm="1">
        <f t="array" ref="P176">INDEX('5층_부하량'!H3:H3000,MATCH(1,("5-DaHall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2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2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2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2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2" cm="1">
        <f t="array" ref="F179">INDEX('5층_부하량'!H3:H3000,MATCH(1,("5-DaHall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2" cm="1">
        <f t="array" ref="P179">INDEX('5층_부하량'!H3:H3000,MATCH(1,("5-DaHall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2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2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2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2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2" cm="1">
        <f t="array" ref="F182">INDEX('5층_부하량'!H3:H3000,MATCH(1,("5-DaHall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2" cm="1">
        <f t="array" ref="P182">INDEX('5층_부하량'!H3:H3000,MATCH(1,("5-DaHall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2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2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2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2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2" cm="1">
        <f t="array" ref="F185">INDEX('5층_부하량'!H3:H3000,MATCH(1,("5-DaHall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2" cm="1">
        <f t="array" ref="P185">INDEX('5층_부하량'!H3:H3000,MATCH(1,("5-DaHall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2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2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2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2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2" cm="1">
        <f t="array" ref="F188">INDEX('5층_부하량'!H3:H3000,MATCH(1,("5-DaHall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2" cm="1">
        <f t="array" ref="P188">INDEX('5층_부하량'!H3:H3000,MATCH(1,("5-DaHall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2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2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4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4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818" t="s">
        <v>5397</v>
      </c>
      <c r="D192" s="3818"/>
      <c r="E192" s="3818"/>
      <c r="F192" s="3818"/>
      <c r="G192" s="53"/>
      <c r="H192" s="123"/>
      <c r="I192" s="123"/>
      <c r="J192" s="3819" t="s">
        <v>5226</v>
      </c>
      <c r="K192" s="382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4136</v>
      </c>
      <c r="N193" s="1342"/>
      <c r="O193" s="1343"/>
      <c r="P193" s="1344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9" cm="1">
        <f t="array" ref="F195">INDEX('5층_부하량'!H3:H3000,MATCH(1,("5-DaHall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9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2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2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2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2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2" cm="1">
        <f t="array" ref="F198">INDEX('5층_부하량'!H3:H3000,MATCH(1,("5-DaHall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2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2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2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2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2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2" cm="1">
        <f t="array" ref="F201">INDEX('5층_부하량'!H3:H3000,MATCH(1,("5-DaHall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2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2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2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2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2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2" cm="1">
        <f t="array" ref="F204">INDEX('5층_부하량'!H3:H3000,MATCH(1,("5-DaHall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2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2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2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2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2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2" cm="1">
        <f t="array" ref="F207">INDEX('5층_부하량'!H3:H3000,MATCH(1,("5-DaHall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2" cm="1">
        <f t="array" ref="P207">INDEX('5층_부하량'!H3:H3000,MATCH(1,("5-DaHall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2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2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8"/>
      <c r="B209" s="71" t="s">
        <v>535</v>
      </c>
      <c r="C209" s="71" t="s">
        <v>4296</v>
      </c>
      <c r="D209" s="21"/>
      <c r="E209" s="2562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2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2" cm="1">
        <f t="array" ref="F210">INDEX('5층_부하량'!H3:H3000,MATCH(1,("5-DaHall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2" cm="1">
        <f t="array" ref="P210">INDEX('5층_부하량'!H3:H3000,MATCH(1,("5-DaHall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2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2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8"/>
      <c r="B212" s="17" t="s">
        <v>535</v>
      </c>
      <c r="C212" s="17" t="s">
        <v>4296</v>
      </c>
      <c r="D212" s="21"/>
      <c r="E212" s="2562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2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2" cm="1">
        <f t="array" ref="F213">INDEX('5층_부하량'!H3:H3000,MATCH(1,("5-DaHall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2" cm="1">
        <f t="array" ref="P213">INDEX('5층_부하량'!H3:H3000,MATCH(1,("5-DaHall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2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2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2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2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2" cm="1">
        <f t="array" ref="F216">INDEX('5층_부하량'!H3:H3000,MATCH(1,("5-DaHall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2" cm="1">
        <f t="array" ref="P216">INDEX('5층_부하량'!H3:H3000,MATCH(1,("5-DaHall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2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2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2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2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2" cm="1">
        <f t="array" ref="F219">INDEX('5층_부하량'!H3:H3000,MATCH(1,("5-DaHall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2" cm="1">
        <f t="array" ref="P219">INDEX('5층_부하량'!H3:H3000,MATCH(1,("5-DaHall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2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2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4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9"/>
      <c r="K221" s="2080"/>
      <c r="L221" s="550" t="s">
        <v>4430</v>
      </c>
      <c r="M221" s="29" t="s">
        <v>4171</v>
      </c>
      <c r="N221" s="30"/>
      <c r="O221" s="2564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818" t="s">
        <v>5399</v>
      </c>
      <c r="D223" s="3818"/>
      <c r="E223" s="3818"/>
      <c r="F223" s="3818"/>
      <c r="G223" s="53"/>
      <c r="H223" s="123"/>
      <c r="I223" s="123"/>
      <c r="J223" s="3819" t="s">
        <v>4636</v>
      </c>
      <c r="K223" s="382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4136</v>
      </c>
      <c r="N224" s="1342">
        <v>8.6</v>
      </c>
      <c r="O224" s="1343">
        <v>1.1000000000000001</v>
      </c>
      <c r="P224" s="1344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9" cm="1">
        <f t="array" ref="D226">INDEX('5층_부하량'!F3:F3000,MATCH(1,("5-DaHall 1-PDU-07"='5층_부하량'!A3:A3000)*(1='5층_부하량'!B3:B3000),0))</f>
        <v>7.9</v>
      </c>
      <c r="E226" s="15"/>
      <c r="F226" s="15"/>
      <c r="G226" s="15"/>
      <c r="H226" s="13" t="s">
        <v>5359</v>
      </c>
      <c r="I226" s="1188" t="s">
        <v>4206</v>
      </c>
      <c r="J226" s="1002" t="s">
        <v>5401</v>
      </c>
      <c r="K226" s="1003" t="s">
        <v>5402</v>
      </c>
      <c r="L226" s="1184" t="s">
        <v>4152</v>
      </c>
      <c r="M226" s="11" t="s">
        <v>5359</v>
      </c>
      <c r="N226" s="2559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4204</v>
      </c>
      <c r="S226" s="96" t="s">
        <v>4149</v>
      </c>
      <c r="T226" s="1044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60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5363</v>
      </c>
      <c r="I227" s="1181" t="s">
        <v>4211</v>
      </c>
      <c r="J227" s="1004" t="s">
        <v>5401</v>
      </c>
      <c r="K227" s="1005" t="s">
        <v>5405</v>
      </c>
      <c r="L227" s="1181" t="s">
        <v>4157</v>
      </c>
      <c r="M227" s="17" t="s">
        <v>5359</v>
      </c>
      <c r="N227" s="19"/>
      <c r="O227" s="2560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2" cm="1">
        <f t="array" ref="F228">INDEX('5층_부하량'!H3:H3000,MATCH(1,("5-DaHall 1-PDU-07"='5층_부하량'!A3:A3000)*(5='5층_부하량'!B3:B3000),0))</f>
        <v>0.4</v>
      </c>
      <c r="G228" s="21"/>
      <c r="H228" s="17" t="s">
        <v>5359</v>
      </c>
      <c r="I228" s="1181" t="s">
        <v>4214</v>
      </c>
      <c r="J228" s="1004" t="s">
        <v>5401</v>
      </c>
      <c r="K228" s="1006" t="s">
        <v>5408</v>
      </c>
      <c r="L228" s="1181" t="s">
        <v>4162</v>
      </c>
      <c r="M228" s="17" t="s">
        <v>5359</v>
      </c>
      <c r="N228" s="21"/>
      <c r="O228" s="21"/>
      <c r="P228" s="2562" cm="1">
        <f t="array" ref="P228">INDEX('5층_부하량'!H3:H3000,MATCH(1,("5-DaHall 1-PDU-07"='5층_부하량'!A3:A3000)*(6='5층_부하량'!B3:B3000),0))</f>
        <v>0.4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2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2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2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2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3" cm="1">
        <f t="array" ref="F231">INDEX('5층_부하량'!H3:H3000,MATCH(1,("5-DaHall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3" cm="1">
        <f t="array" ref="P231">INDEX('5층_부하량'!H3:H3000,MATCH(1,("5-DaHall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8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8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9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9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2" cm="1">
        <f t="array" ref="F234">INDEX('5층_부하량'!H3:H3000,MATCH(1,("5-DaHall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2" cm="1">
        <f t="array" ref="P234">INDEX('5층_부하량'!H3:H3000,MATCH(1,("5-DaHall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2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2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2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2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2" cm="1">
        <f t="array" ref="F237">INDEX('5층_부하량'!H3:H3000,MATCH(1,("5-DaHall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2" cm="1">
        <f t="array" ref="P237">INDEX('5층_부하량'!H3:H3000,MATCH(1,("5-DaHall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2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2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2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2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2" cm="1">
        <f t="array" ref="F240">INDEX('5층_부하량'!H3:H3000,MATCH(1,("5-DaHall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2" cm="1">
        <f t="array" ref="P240">INDEX('5층_부하량'!H3:H3000,MATCH(1,("5-DaHall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2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2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2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2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61" cm="1">
        <f t="array" ref="F243">INDEX('5층_부하량'!H3:H3000,MATCH(1,("5-DaHall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61" cm="1">
        <f t="array" ref="P243">INDEX('5층_부하량'!H3:H3000,MATCH(1,("5-DaHall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8.9700000000000006</v>
      </c>
      <c r="O244" s="33">
        <f>SUM(E226:E243,O226:O243)</f>
        <v>1.45</v>
      </c>
      <c r="P244" s="33">
        <f>SUM(F226:F243,P226:P243)</f>
        <v>0.8</v>
      </c>
    </row>
    <row r="245" spans="1:20" ht="18.600000000000001" thickTop="1" thickBot="1">
      <c r="A245" s="2" t="s">
        <v>6525</v>
      </c>
      <c r="C245" s="3818" t="s">
        <v>5410</v>
      </c>
      <c r="D245" s="3818"/>
      <c r="E245" s="3818"/>
      <c r="F245" s="3818"/>
      <c r="G245" s="53"/>
      <c r="H245" s="123"/>
      <c r="I245" s="123"/>
      <c r="J245" s="3819" t="s">
        <v>4636</v>
      </c>
      <c r="K245" s="382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4136</v>
      </c>
      <c r="N246" s="1342"/>
      <c r="O246" s="1343"/>
      <c r="P246" s="1344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9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1" t="s">
        <v>5360</v>
      </c>
      <c r="J248" s="60"/>
      <c r="K248" s="61"/>
      <c r="L248" s="561" t="s">
        <v>5361</v>
      </c>
      <c r="M248" s="11" t="s">
        <v>5359</v>
      </c>
      <c r="N248" s="2559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60">
        <f>IFERROR(INDEX('5층_부하량'!G3:G3000,MATCH(1,("5-DaHall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60">
        <f>IFERROR(INDEX('5층_부하량'!G3:G3000,MATCH(1,("5-DaHall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2">
        <f>IFERROR(INDEX('5층_부하량'!H3:H3000,MATCH(1,("5-DaHall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2">
        <f>IFERROR(INDEX('5층_부하량'!H3:H3000,MATCH(1,("5-DaHall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2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2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2">
        <f>IFERROR(INDEX('5층_부하량'!G3:G3000,MATCH(1,("5-DaHall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2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3">
        <f>IFERROR(INDEX('5층_부하량'!H3:H3000,MATCH(1,("5-DaHall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3">
        <f>IFERROR(INDEX('5층_부하량'!H3:H3000,MATCH(1,("5-DaHall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3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3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8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8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9">
        <f>IFERROR(INDEX('5층_부하량'!H3:H3000,MATCH(1,("5-DaHall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9">
        <f>IFERROR(INDEX('5층_부하량'!H3:H3000,MATCH(1,("5-DaHall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2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2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2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2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2">
        <f>IFERROR(INDEX('5층_부하량'!H3:H3000,MATCH(1,("5-DaHall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2">
        <f>IFERROR(INDEX('5층_부하량'!H3:H3000,MATCH(1,("5-DaHall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2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2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2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2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2">
        <f>IFERROR(INDEX('5층_부하량'!H3:H3000,MATCH(1,("5-DaHall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2">
        <f>IFERROR(INDEX('5층_부하량'!H3:H3000,MATCH(1,("5-DaHall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2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2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2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2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2">
        <f>IFERROR(INDEX('5층_부하량'!H3:H3000,MATCH(1,("5-DaHall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2">
        <f>IFERROR(INDEX('5층_부하량'!H3:H3000,MATCH(1,("5-DaHall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4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4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818" t="s">
        <v>5412</v>
      </c>
      <c r="D268" s="3818"/>
      <c r="E268" s="3818"/>
      <c r="F268" s="3818"/>
      <c r="G268" s="53"/>
      <c r="H268" s="123"/>
      <c r="I268" s="123"/>
      <c r="J268" s="3819" t="s">
        <v>4636</v>
      </c>
      <c r="K268" s="382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4136</v>
      </c>
      <c r="N269" s="1342">
        <v>6.5</v>
      </c>
      <c r="O269" s="1343">
        <v>1.4</v>
      </c>
      <c r="P269" s="1344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9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7" t="s">
        <v>5405</v>
      </c>
      <c r="K271" s="1003" t="s">
        <v>5413</v>
      </c>
      <c r="L271" s="1184" t="s">
        <v>4152</v>
      </c>
      <c r="M271" s="11" t="s">
        <v>5359</v>
      </c>
      <c r="N271" s="2559" cm="1">
        <f t="array" ref="N271">INDEX('5층_부하량'!F3:F3000,MATCH(1,("5-DaHall 1-PDU-08"='5층_부하량'!A3:A3000)*(2='5층_부하량'!B3:B3000),0))</f>
        <v>1.24</v>
      </c>
      <c r="O271" s="15"/>
      <c r="P271" s="15"/>
      <c r="Q271" s="15"/>
      <c r="R271" s="62" t="s">
        <v>4204</v>
      </c>
      <c r="S271" s="96" t="s">
        <v>4149</v>
      </c>
      <c r="T271" s="1044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60" cm="1">
        <f t="array" ref="E272">INDEX('5층_부하량'!G3:G3000,MATCH(1,("5-DaHall 1-PDU-08"='5층_부하량'!A3:A3000)*(3='5층_부하량'!B3:B3000),0))</f>
        <v>1.48</v>
      </c>
      <c r="F272" s="19"/>
      <c r="G272" s="19"/>
      <c r="H272" s="17" t="s">
        <v>5363</v>
      </c>
      <c r="I272" s="1181" t="s">
        <v>4211</v>
      </c>
      <c r="J272" s="1008" t="s">
        <v>2488</v>
      </c>
      <c r="K272" s="1005" t="s">
        <v>5405</v>
      </c>
      <c r="L272" s="1181" t="s">
        <v>4157</v>
      </c>
      <c r="M272" s="17" t="s">
        <v>5359</v>
      </c>
      <c r="N272" s="19"/>
      <c r="O272" s="2560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2" cm="1">
        <f t="array" ref="F273">INDEX('5층_부하량'!H3:H3000,MATCH(1,("5-DaHall 1-PDU-08"='5층_부하량'!A3:A3000)*(5='5층_부하량'!B3:B3000),0))</f>
        <v>0</v>
      </c>
      <c r="G273" s="21"/>
      <c r="H273" s="17" t="s">
        <v>5359</v>
      </c>
      <c r="I273" s="1181" t="s">
        <v>4214</v>
      </c>
      <c r="J273" s="1008" t="s">
        <v>2488</v>
      </c>
      <c r="K273" s="1006" t="s">
        <v>5418</v>
      </c>
      <c r="L273" s="1181" t="s">
        <v>4162</v>
      </c>
      <c r="M273" s="17" t="s">
        <v>5359</v>
      </c>
      <c r="N273" s="21"/>
      <c r="O273" s="21"/>
      <c r="P273" s="2562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2" cm="1">
        <f t="array" ref="D274">INDEX('5층_부하량'!F3:F3000,MATCH(1,("5-DaHall 1-PDU-08"='5층_부하량'!A3:A3000)*(7='5층_부하량'!B3:B3000),0))</f>
        <v>5.45</v>
      </c>
      <c r="E274" s="21"/>
      <c r="F274" s="21"/>
      <c r="G274" s="21"/>
      <c r="H274" s="17" t="s">
        <v>5368</v>
      </c>
      <c r="I274" s="1181" t="s">
        <v>4218</v>
      </c>
      <c r="J274" s="1008" t="s">
        <v>2488</v>
      </c>
      <c r="K274" s="1009"/>
      <c r="L274" s="562" t="s">
        <v>4167</v>
      </c>
      <c r="M274" s="17" t="s">
        <v>5368</v>
      </c>
      <c r="N274" s="2562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2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10"/>
      <c r="K275" s="1009"/>
      <c r="L275" s="562" t="s">
        <v>4170</v>
      </c>
      <c r="M275" s="17" t="s">
        <v>5374</v>
      </c>
      <c r="N275" s="21"/>
      <c r="O275" s="2562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3" cm="1">
        <f t="array" ref="F276">INDEX('5층_부하량'!H3:H3000,MATCH(1,("5-DaHall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3" cm="1">
        <f t="array" ref="P276">INDEX('5층_부하량'!H3:H3000,MATCH(1,("5-DaHall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8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8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9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9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2" cm="1">
        <f t="array" ref="F279">INDEX('5층_부하량'!H3:H3000,MATCH(1,("5-DaHall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2" cm="1">
        <f t="array" ref="P279">INDEX('5층_부하량'!H3:H3000,MATCH(1,("5-DaHall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2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2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2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2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2" cm="1">
        <f t="array" ref="F282">INDEX('5층_부하량'!H3:H3000,MATCH(1,("5-DaHall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2" cm="1">
        <f t="array" ref="P282">INDEX('5층_부하량'!H3:H3000,MATCH(1,("5-DaHall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2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2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2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2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2" cm="1">
        <f t="array" ref="F285">INDEX('5층_부하량'!H3:H3000,MATCH(1,("5-DaHall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2" cm="1">
        <f t="array" ref="P285">INDEX('5층_부하량'!H3:H3000,MATCH(1,("5-DaHall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2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2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2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2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61" cm="1">
        <f t="array" ref="F288">INDEX('5층_부하량'!H3:H3000,MATCH(1,("5-DaHall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61" cm="1">
        <f t="array" ref="P288">INDEX('5층_부하량'!H3:H3000,MATCH(1,("5-DaHall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6.69</v>
      </c>
      <c r="O289" s="33">
        <f>SUM(E271:E288,O271:O288)</f>
        <v>1.48</v>
      </c>
      <c r="P289" s="33">
        <f>SUM(F271:F288,P271:P288)</f>
        <v>1.3900000000000001</v>
      </c>
    </row>
    <row r="290" spans="1:20" ht="18.600000000000001" thickTop="1" thickBot="1">
      <c r="A290" s="2" t="s">
        <v>6527</v>
      </c>
      <c r="C290" s="3818" t="s">
        <v>5421</v>
      </c>
      <c r="D290" s="3818"/>
      <c r="E290" s="3818"/>
      <c r="F290" s="3818"/>
      <c r="G290" s="53"/>
      <c r="H290" s="123"/>
      <c r="I290" s="123"/>
      <c r="J290" s="3819" t="s">
        <v>4636</v>
      </c>
      <c r="K290" s="382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4136</v>
      </c>
      <c r="N291" s="1342"/>
      <c r="O291" s="1343"/>
      <c r="P291" s="1344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9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1" t="s">
        <v>5360</v>
      </c>
      <c r="J293" s="60"/>
      <c r="K293" s="61"/>
      <c r="L293" s="561" t="s">
        <v>5361</v>
      </c>
      <c r="M293" s="11" t="s">
        <v>5359</v>
      </c>
      <c r="N293" s="2559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60">
        <f>IFERROR(INDEX('5층_부하량'!G3:G3000,MATCH(1,("5-DaHall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60">
        <f>IFERROR(INDEX('5층_부하량'!G3:G3000,MATCH(1,("5-DaHall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2">
        <f>IFERROR(INDEX('5층_부하량'!H3:H3000,MATCH(1,("5-DaHall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2">
        <f>IFERROR(INDEX('5층_부하량'!H3:H3000,MATCH(1,("5-DaHall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2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2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2">
        <f>IFERROR(INDEX('5층_부하량'!G3:G3000,MATCH(1,("5-DaHall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2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3">
        <f>IFERROR(INDEX('5층_부하량'!H3:H3000,MATCH(1,("5-DaHall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3">
        <f>IFERROR(INDEX('5층_부하량'!H3:H3000,MATCH(1,("5-DaHall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3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3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8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8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9">
        <f>IFERROR(INDEX('5층_부하량'!H3:H3000,MATCH(1,("5-DaHall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9">
        <f>IFERROR(INDEX('5층_부하량'!H3:H3000,MATCH(1,("5-DaHall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2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2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2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2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2">
        <f>IFERROR(INDEX('5층_부하량'!H3:H3000,MATCH(1,("5-DaHall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2">
        <f>IFERROR(INDEX('5층_부하량'!H3:H3000,MATCH(1,("5-DaHall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2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2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2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2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2">
        <f>IFERROR(INDEX('5층_부하량'!H3:H3000,MATCH(1,("5-DaHall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2">
        <f>IFERROR(INDEX('5층_부하량'!H3:H3000,MATCH(1,("5-DaHall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2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2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2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2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2">
        <f>IFERROR(INDEX('5층_부하량'!H3:H3000,MATCH(1,("5-DaHall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2">
        <f>IFERROR(INDEX('5층_부하량'!H3:H3000,MATCH(1,("5-DaHall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4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4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818" t="s">
        <v>5422</v>
      </c>
      <c r="D313" s="3818"/>
      <c r="E313" s="3818"/>
      <c r="F313" s="3818"/>
      <c r="G313" s="53"/>
      <c r="H313" s="123"/>
      <c r="I313" s="123"/>
      <c r="J313" s="3819" t="s">
        <v>5219</v>
      </c>
      <c r="K313" s="382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4136</v>
      </c>
      <c r="N314" s="1342">
        <v>15.3</v>
      </c>
      <c r="O314" s="1343">
        <v>10.199999999999999</v>
      </c>
      <c r="P314" s="1344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71" cm="1">
        <f t="array" ref="D316">INDEX('5층_부하량'!F3:F3000,MATCH(1,("5-DaHall 1-PDU-11"='5층_부하량'!A3:A3000)*(1='5층_부하량'!B3:B3000),0))</f>
        <v>0</v>
      </c>
      <c r="E316" s="2571" cm="1">
        <f t="array" ref="E316">INDEX('5층_부하량'!G3:G3000,MATCH(1,("5-DaHall 1-PDU-11"='5층_부하량'!A3:A3000)*(1='5층_부하량'!B3:B3000),0))</f>
        <v>0</v>
      </c>
      <c r="F316" s="2571" cm="1">
        <f t="array" ref="F316">INDEX('5층_부하량'!H3:H3000,MATCH(1,("5-DaHall 1-PDU-11"='5층_부하량'!A3:A3000)*(1='5층_부하량'!B3:B3000),0))</f>
        <v>0</v>
      </c>
      <c r="G316" s="15"/>
      <c r="H316" s="13" t="s">
        <v>5359</v>
      </c>
      <c r="I316" s="1151" t="s">
        <v>5360</v>
      </c>
      <c r="J316" s="60"/>
      <c r="K316" s="61"/>
      <c r="L316" s="561" t="s">
        <v>5361</v>
      </c>
      <c r="M316" s="11" t="s">
        <v>5359</v>
      </c>
      <c r="N316" s="2571" cm="1">
        <f t="array" ref="N316">INDEX('5층_부하량'!F3:F3000,MATCH(1,("5-DaHall 1-PDU-11"='5층_부하량'!A3:A3000)*(2='5층_부하량'!B3:B3000),0))</f>
        <v>0</v>
      </c>
      <c r="O316" s="2571" cm="1">
        <f t="array" ref="O316">INDEX('5층_부하량'!G3:G3000,MATCH(1,("5-DaHall 1-PDU-11"='5층_부하량'!A3:A3000)*(2='5층_부하량'!B3:B3000),0))</f>
        <v>0</v>
      </c>
      <c r="P316" s="2571" cm="1">
        <f t="array" ref="P316">INDEX('5층_부하량'!H3:H3000,MATCH(1,("5-DaHall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2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2" t="s">
        <v>5405</v>
      </c>
      <c r="K317" s="1005"/>
      <c r="L317" s="543" t="s">
        <v>4157</v>
      </c>
      <c r="M317" s="17" t="s">
        <v>5359</v>
      </c>
      <c r="N317" s="2572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9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5359</v>
      </c>
      <c r="I318" s="1181" t="s">
        <v>4214</v>
      </c>
      <c r="J318" s="1012" t="s">
        <v>5405</v>
      </c>
      <c r="K318" s="1005" t="s">
        <v>5405</v>
      </c>
      <c r="L318" s="543" t="s">
        <v>4162</v>
      </c>
      <c r="M318" s="17" t="s">
        <v>5359</v>
      </c>
      <c r="N318" s="381"/>
      <c r="O318" s="2569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9" cm="1">
        <f t="array" ref="F319">INDEX('5층_부하량'!H3:H3000,MATCH(1,("5-DaHall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2" t="s">
        <v>5405</v>
      </c>
      <c r="K319" s="1005" t="s">
        <v>5405</v>
      </c>
      <c r="L319" s="543" t="s">
        <v>4167</v>
      </c>
      <c r="M319" s="17" t="s">
        <v>5374</v>
      </c>
      <c r="N319" s="381"/>
      <c r="O319" s="381"/>
      <c r="P319" s="2569" cm="1">
        <f t="array" ref="P319">INDEX('5층_부하량'!H3:H3000,MATCH(1,("5-DaHall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9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5359</v>
      </c>
      <c r="I320" s="1181" t="s">
        <v>4221</v>
      </c>
      <c r="J320" s="1004" t="s">
        <v>5401</v>
      </c>
      <c r="K320" s="1005" t="s">
        <v>5405</v>
      </c>
      <c r="L320" s="543" t="s">
        <v>4170</v>
      </c>
      <c r="M320" s="17" t="s">
        <v>5374</v>
      </c>
      <c r="N320" s="2569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6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5359</v>
      </c>
      <c r="I321" s="1183" t="s">
        <v>4226</v>
      </c>
      <c r="J321" s="1004" t="s">
        <v>5401</v>
      </c>
      <c r="K321" s="1013" t="s">
        <v>5405</v>
      </c>
      <c r="L321" s="549" t="s">
        <v>4173</v>
      </c>
      <c r="M321" s="23" t="s">
        <v>5374</v>
      </c>
      <c r="N321" s="411"/>
      <c r="O321" s="2576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8" cm="1">
        <f t="array" ref="F322">INDEX('5층_부하량'!H3:H3000,MATCH(1,("5-DaHall 1-PDU-11"='5층_부하량'!A3:A3000)*(13='5층_부하량'!B3:B3000),0))</f>
        <v>2</v>
      </c>
      <c r="G322" s="104"/>
      <c r="H322" s="11" t="s">
        <v>5359</v>
      </c>
      <c r="I322" s="1184" t="s">
        <v>4230</v>
      </c>
      <c r="J322" s="1007" t="s">
        <v>5405</v>
      </c>
      <c r="K322" s="1011" t="s">
        <v>5405</v>
      </c>
      <c r="L322" s="542" t="s">
        <v>4175</v>
      </c>
      <c r="M322" s="11" t="s">
        <v>5374</v>
      </c>
      <c r="N322" s="395"/>
      <c r="O322" s="395"/>
      <c r="P322" s="2568" cm="1">
        <f t="array" ref="P322">INDEX('5층_부하량'!H3:H3000,MATCH(1,("5-DaHall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7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9" t="s">
        <v>4234</v>
      </c>
      <c r="J323" s="1014" t="s">
        <v>5405</v>
      </c>
      <c r="K323" s="1015" t="s">
        <v>5405</v>
      </c>
      <c r="L323" s="544" t="s">
        <v>4177</v>
      </c>
      <c r="M323" s="71" t="s">
        <v>5374</v>
      </c>
      <c r="N323" s="2577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9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5374</v>
      </c>
      <c r="I324" s="1189" t="s">
        <v>4238</v>
      </c>
      <c r="J324" s="1014" t="s">
        <v>5405</v>
      </c>
      <c r="K324" s="1005" t="s">
        <v>5405</v>
      </c>
      <c r="L324" s="543" t="s">
        <v>4179</v>
      </c>
      <c r="M324" s="17" t="s">
        <v>5374</v>
      </c>
      <c r="N324" s="381"/>
      <c r="O324" s="2569" cm="1">
        <f t="array" ref="O324">INDEX('5층_부하량'!G3:G3000,MATCH(1,("5-DaHall 1-PDU-11"='5층_부하량'!A3:A3000)*(18='5층_부하량'!B3:B3000),0))</f>
        <v>3.59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9" cm="1">
        <f t="array" ref="F325">INDEX('5층_부하량'!H3:H3000,MATCH(1,("5-DaHall 1-PDU-11"='5층_부하량'!A3:A3000)*(19='5층_부하량'!B3:B3000),0))</f>
        <v>0</v>
      </c>
      <c r="G325" s="21"/>
      <c r="H325" s="17" t="s">
        <v>5384</v>
      </c>
      <c r="I325" s="1189" t="s">
        <v>4243</v>
      </c>
      <c r="J325" s="1014" t="s">
        <v>5405</v>
      </c>
      <c r="K325" s="1005" t="s">
        <v>5405</v>
      </c>
      <c r="L325" s="543" t="s">
        <v>4183</v>
      </c>
      <c r="M325" s="17" t="s">
        <v>5384</v>
      </c>
      <c r="N325" s="381"/>
      <c r="O325" s="381"/>
      <c r="P325" s="2569" cm="1">
        <f t="array" ref="P325">INDEX('5층_부하량'!H3:H3000,MATCH(1,("5-DaHall 1-PDU-11"='5층_부하량'!A3:A3000)*(20='5층_부하량'!B3:B3000),0))</f>
        <v>3.18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9" cm="1">
        <f t="array" ref="D326">INDEX('5층_부하량'!F3:F3000,MATCH(1,("5-DaHall 1-PDU-11"='5층_부하량'!A3:A3000)*(21='5층_부하량'!B3:B3000),0))</f>
        <v>2.69</v>
      </c>
      <c r="E326" s="381"/>
      <c r="F326" s="381"/>
      <c r="G326" s="21"/>
      <c r="H326" s="17" t="s">
        <v>5384</v>
      </c>
      <c r="I326" s="1189" t="s">
        <v>4247</v>
      </c>
      <c r="J326" s="1014" t="s">
        <v>5435</v>
      </c>
      <c r="K326" s="1009"/>
      <c r="L326" s="562" t="s">
        <v>4187</v>
      </c>
      <c r="M326" s="17" t="s">
        <v>5384</v>
      </c>
      <c r="N326" s="2569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9" cm="1">
        <f t="array" ref="E327">INDEX('5층_부하량'!G3:G3000,MATCH(1,("5-DaHall 1-PDU-11"='5층_부하량'!A3:A3000)*(23='5층_부하량'!B3:B3000),0))</f>
        <v>5.58</v>
      </c>
      <c r="F327" s="381"/>
      <c r="G327" s="21"/>
      <c r="H327" s="17" t="s">
        <v>5384</v>
      </c>
      <c r="I327" s="1189" t="s">
        <v>4251</v>
      </c>
      <c r="J327" s="1014" t="s">
        <v>5438</v>
      </c>
      <c r="K327" s="1016" t="s">
        <v>2488</v>
      </c>
      <c r="L327" s="562" t="s">
        <v>4253</v>
      </c>
      <c r="M327" s="17" t="s">
        <v>5384</v>
      </c>
      <c r="N327" s="381"/>
      <c r="O327" s="2569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9" cm="1">
        <f t="array" ref="F328">INDEX('5층_부하량'!H3:H3000,MATCH(1,("5-DaHall 1-PDU-11"='5층_부하량'!A3:A3000)*(25='5층_부하량'!B3:B3000),0))</f>
        <v>0</v>
      </c>
      <c r="G328" s="21"/>
      <c r="H328" s="17" t="s">
        <v>5384</v>
      </c>
      <c r="I328" s="1189" t="s">
        <v>4256</v>
      </c>
      <c r="J328" s="1014" t="s">
        <v>5441</v>
      </c>
      <c r="K328" s="1016" t="s">
        <v>2488</v>
      </c>
      <c r="L328" s="1182" t="s">
        <v>4258</v>
      </c>
      <c r="M328" s="17" t="s">
        <v>5384</v>
      </c>
      <c r="N328" s="381"/>
      <c r="O328" s="381"/>
      <c r="P328" s="2569" cm="1">
        <f t="array" ref="P328">INDEX('5층_부하량'!H3:H3000,MATCH(1,("5-DaHall 1-PDU-11"='5층_부하량'!A3:A3000)*(26='5층_부하량'!B3:B3000),0))</f>
        <v>5.54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9" cm="1">
        <f t="array" ref="D329">INDEX('5층_부하량'!F3:F3000,MATCH(1,("5-DaHall 1-PDU-11"='5층_부하량'!A3:A3000)*(27='5층_부하량'!B3:B3000),0))</f>
        <v>2.88</v>
      </c>
      <c r="E329" s="381"/>
      <c r="F329" s="381"/>
      <c r="G329" s="21"/>
      <c r="H329" s="17" t="s">
        <v>5384</v>
      </c>
      <c r="I329" s="1189" t="s">
        <v>4261</v>
      </c>
      <c r="J329" s="1014" t="s">
        <v>5444</v>
      </c>
      <c r="K329" s="1009"/>
      <c r="L329" s="1182" t="s">
        <v>4262</v>
      </c>
      <c r="M329" s="17" t="s">
        <v>5384</v>
      </c>
      <c r="N329" s="2569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9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5384</v>
      </c>
      <c r="I330" s="1189" t="s">
        <v>4264</v>
      </c>
      <c r="J330" s="1014" t="s">
        <v>5447</v>
      </c>
      <c r="K330" s="1009"/>
      <c r="L330" s="562" t="s">
        <v>4265</v>
      </c>
      <c r="M330" s="17" t="s">
        <v>5384</v>
      </c>
      <c r="N330" s="381"/>
      <c r="O330" s="2569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70" cm="1">
        <f t="array" ref="F331">INDEX('5층_부하량'!H3:H3000,MATCH(1,("5-DaHall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7"/>
      <c r="K331" s="1018" t="s">
        <v>5405</v>
      </c>
      <c r="L331" s="545" t="s">
        <v>4267</v>
      </c>
      <c r="M331" s="35" t="s">
        <v>5384</v>
      </c>
      <c r="N331" s="427"/>
      <c r="O331" s="427"/>
      <c r="P331" s="2570" cm="1">
        <f t="array" ref="P331">INDEX('5층_부하량'!H3:H3000,MATCH(1,("5-DaHall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16.490000000000002</v>
      </c>
      <c r="O332" s="33">
        <f>SUM(E316:E331,O316:O331)</f>
        <v>11.18</v>
      </c>
      <c r="P332" s="33">
        <f>SUM(F316:F331,P316:P331)</f>
        <v>10.719999999999999</v>
      </c>
    </row>
    <row r="333" spans="1:20" ht="18.600000000000001" thickTop="1" thickBot="1">
      <c r="A333" s="2" t="s">
        <v>6529</v>
      </c>
      <c r="C333" s="3818" t="s">
        <v>5450</v>
      </c>
      <c r="D333" s="3818"/>
      <c r="E333" s="3818"/>
      <c r="F333" s="3818"/>
      <c r="G333" s="53"/>
      <c r="H333" s="123"/>
      <c r="I333" s="123"/>
      <c r="J333" s="3819" t="s">
        <v>5219</v>
      </c>
      <c r="K333" s="382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4136</v>
      </c>
      <c r="N334" s="1342">
        <v>12</v>
      </c>
      <c r="O334" s="1343">
        <v>18.7</v>
      </c>
      <c r="P334" s="1344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71" cm="1">
        <f t="array" ref="D336">INDEX('5층_부하량'!F3:F3000,MATCH(1,("5-DaHall 1-PDU-13"='5층_부하량'!A3:A3000)*(1='5층_부하량'!B3:B3000),0))</f>
        <v>0</v>
      </c>
      <c r="E336" s="2571" cm="1">
        <f t="array" ref="E336">INDEX('5층_부하량'!G3:G3000,MATCH(1,("5-DaHall 1-PDU-13"='5층_부하량'!A3:A3000)*(1='5층_부하량'!B3:B3000),0))</f>
        <v>0</v>
      </c>
      <c r="F336" s="2571" cm="1">
        <f t="array" ref="F336">INDEX('5층_부하량'!H3:H3000,MATCH(1,("5-DaHall 1-PDU-13"='5층_부하량'!A3:A3000)*(1='5층_부하량'!B3:B3000),0))</f>
        <v>0</v>
      </c>
      <c r="G336" s="15"/>
      <c r="H336" s="13" t="s">
        <v>5359</v>
      </c>
      <c r="I336" s="1151" t="s">
        <v>5360</v>
      </c>
      <c r="J336" s="60"/>
      <c r="K336" s="61"/>
      <c r="L336" s="561" t="s">
        <v>5361</v>
      </c>
      <c r="M336" s="11" t="s">
        <v>5359</v>
      </c>
      <c r="N336" s="2571" cm="1">
        <f t="array" ref="N336">INDEX('5층_부하량'!F3:F3000,MATCH(1,("5-DaHall 1-PDU-13"='5층_부하량'!A3:A3000)*(2='5층_부하량'!B3:B3000),0))</f>
        <v>0</v>
      </c>
      <c r="O336" s="2571" cm="1">
        <f t="array" ref="O336">INDEX('5층_부하량'!G3:G3000,MATCH(1,("5-DaHall 1-PDU-13"='5층_부하량'!A3:A3000)*(2='5층_부하량'!B3:B3000),0))</f>
        <v>0</v>
      </c>
      <c r="P336" s="2571" cm="1">
        <f t="array" ref="P336">INDEX('5층_부하량'!H3:H3000,MATCH(1,("5-DaHall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2" cm="1">
        <f t="array" ref="D337">INDEX('5층_부하량'!F3:F3000,MATCH(1,("5-DaHall 1-PDU-13"='5층_부하량'!A3:A3000)*(3='5층_부하량'!B3:B3000),0))</f>
        <v>6.64</v>
      </c>
      <c r="E337" s="377"/>
      <c r="F337" s="377"/>
      <c r="G337" s="19"/>
      <c r="H337" s="17" t="s">
        <v>5363</v>
      </c>
      <c r="I337" s="1181" t="s">
        <v>4211</v>
      </c>
      <c r="J337" s="1012" t="s">
        <v>5405</v>
      </c>
      <c r="K337" s="1005" t="s">
        <v>5405</v>
      </c>
      <c r="L337" s="543" t="s">
        <v>4157</v>
      </c>
      <c r="M337" s="17" t="s">
        <v>5359</v>
      </c>
      <c r="N337" s="2572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9" cm="1">
        <f t="array" ref="E338">INDEX('5층_부하량'!G3:G3000,MATCH(1,("5-DaHall 1-PDU-13"='5층_부하량'!A3:A3000)*(5='5층_부하량'!B3:B3000),0))</f>
        <v>3.99</v>
      </c>
      <c r="F338" s="381"/>
      <c r="G338" s="21"/>
      <c r="H338" s="17" t="s">
        <v>5359</v>
      </c>
      <c r="I338" s="1181" t="s">
        <v>4214</v>
      </c>
      <c r="J338" s="1004" t="s">
        <v>5401</v>
      </c>
      <c r="K338" s="1005" t="s">
        <v>5405</v>
      </c>
      <c r="L338" s="543" t="s">
        <v>4162</v>
      </c>
      <c r="M338" s="17" t="s">
        <v>5359</v>
      </c>
      <c r="N338" s="381"/>
      <c r="O338" s="2569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9" cm="1">
        <f t="array" ref="F339">INDEX('5층_부하량'!H3:H3000,MATCH(1,("5-DaHall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2" t="s">
        <v>5405</v>
      </c>
      <c r="K339" s="1005" t="s">
        <v>5405</v>
      </c>
      <c r="L339" s="543" t="s">
        <v>4167</v>
      </c>
      <c r="M339" s="17" t="s">
        <v>5368</v>
      </c>
      <c r="N339" s="381"/>
      <c r="O339" s="381"/>
      <c r="P339" s="2569" cm="1">
        <f t="array" ref="P339">INDEX('5층_부하량'!H3:H3000,MATCH(1,("5-DaHall 1-PDU-13"='5층_부하량'!A3:A3000)*(8='5층_부하량'!B3:B3000),0))</f>
        <v>4.54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9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2" t="s">
        <v>5405</v>
      </c>
      <c r="K340" s="1005" t="s">
        <v>5405</v>
      </c>
      <c r="L340" s="543" t="s">
        <v>4170</v>
      </c>
      <c r="M340" s="17" t="s">
        <v>5368</v>
      </c>
      <c r="N340" s="2569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6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9" t="s">
        <v>5405</v>
      </c>
      <c r="K341" s="1013" t="s">
        <v>5405</v>
      </c>
      <c r="L341" s="549" t="s">
        <v>4173</v>
      </c>
      <c r="M341" s="23" t="s">
        <v>5374</v>
      </c>
      <c r="N341" s="411"/>
      <c r="O341" s="2576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8" cm="1">
        <f t="array" ref="F342">INDEX('5층_부하량'!H3:H3000,MATCH(1,("5-DaHall 1-PDU-13"='5층_부하량'!A3:A3000)*(13='5층_부하량'!B3:B3000),0))</f>
        <v>0.74</v>
      </c>
      <c r="G342" s="104"/>
      <c r="H342" s="11" t="s">
        <v>5384</v>
      </c>
      <c r="I342" s="542" t="s">
        <v>4230</v>
      </c>
      <c r="J342" s="1007" t="s">
        <v>5405</v>
      </c>
      <c r="K342" s="1011" t="s">
        <v>5405</v>
      </c>
      <c r="L342" s="542" t="s">
        <v>4175</v>
      </c>
      <c r="M342" s="11" t="s">
        <v>5374</v>
      </c>
      <c r="N342" s="395"/>
      <c r="O342" s="395"/>
      <c r="P342" s="2568" cm="1">
        <f t="array" ref="P342">INDEX('5층_부하량'!H3:H3000,MATCH(1,("5-DaHall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7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4" t="s">
        <v>5401</v>
      </c>
      <c r="K343" s="1020" t="s">
        <v>5401</v>
      </c>
      <c r="L343" s="544" t="s">
        <v>4177</v>
      </c>
      <c r="M343" s="71" t="s">
        <v>5374</v>
      </c>
      <c r="N343" s="2577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9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2" t="s">
        <v>5405</v>
      </c>
      <c r="K344" s="1005" t="s">
        <v>5405</v>
      </c>
      <c r="L344" s="543" t="s">
        <v>4179</v>
      </c>
      <c r="M344" s="17" t="s">
        <v>5374</v>
      </c>
      <c r="N344" s="381"/>
      <c r="O344" s="2569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4204</v>
      </c>
      <c r="S344" s="1405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9" cm="1">
        <f t="array" ref="F345">INDEX('5층_부하량'!H3:H3000,MATCH(1,("5-DaHall 1-PDU-13"='5층_부하량'!A3:A3000)*(19='5층_부하량'!B3:B3000),0))</f>
        <v>5.5</v>
      </c>
      <c r="G345" s="21"/>
      <c r="H345" s="17" t="s">
        <v>5384</v>
      </c>
      <c r="I345" s="543" t="s">
        <v>4243</v>
      </c>
      <c r="J345" s="1012" t="s">
        <v>5405</v>
      </c>
      <c r="K345" s="1005" t="s">
        <v>5405</v>
      </c>
      <c r="L345" s="543" t="s">
        <v>4183</v>
      </c>
      <c r="M345" s="17" t="s">
        <v>5384</v>
      </c>
      <c r="N345" s="381"/>
      <c r="O345" s="381"/>
      <c r="P345" s="2569" cm="1">
        <f t="array" ref="P345">INDEX('5층_부하량'!H3:H3000,MATCH(1,("5-DaHall 1-PDU-13"='5층_부하량'!A3:A3000)*(20='5층_부하량'!B3:B3000),0))</f>
        <v>0</v>
      </c>
      <c r="Q345" s="21"/>
      <c r="R345" s="68" t="s">
        <v>4204</v>
      </c>
      <c r="S345" s="1405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9" cm="1">
        <f t="array" ref="D346">INDEX('5층_부하량'!F3:F3000,MATCH(1,("5-DaHall 1-PDU-13"='5층_부하량'!A3:A3000)*(21='5층_부하량'!B3:B3000),0))</f>
        <v>3.2800000000000002</v>
      </c>
      <c r="E346" s="381"/>
      <c r="F346" s="381"/>
      <c r="G346" s="21"/>
      <c r="H346" s="17" t="s">
        <v>5384</v>
      </c>
      <c r="I346" s="543" t="s">
        <v>4247</v>
      </c>
      <c r="J346" s="1012" t="s">
        <v>5405</v>
      </c>
      <c r="K346" s="1005" t="s">
        <v>5405</v>
      </c>
      <c r="L346" s="543" t="s">
        <v>4187</v>
      </c>
      <c r="M346" s="17" t="s">
        <v>5384</v>
      </c>
      <c r="N346" s="2569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5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9" cm="1">
        <f t="array" ref="E347">INDEX('5층_부하량'!G3:G3000,MATCH(1,("5-DaHall 1-PDU-13"='5층_부하량'!A3:A3000)*(23='5층_부하량'!B3:B3000),0))</f>
        <v>9.7100000000000009</v>
      </c>
      <c r="F347" s="381"/>
      <c r="G347" s="21"/>
      <c r="H347" s="17" t="s">
        <v>5384</v>
      </c>
      <c r="I347" s="543" t="s">
        <v>4251</v>
      </c>
      <c r="J347" s="1012" t="s">
        <v>5405</v>
      </c>
      <c r="K347" s="1005" t="s">
        <v>5405</v>
      </c>
      <c r="L347" s="543" t="s">
        <v>4253</v>
      </c>
      <c r="M347" s="17" t="s">
        <v>5384</v>
      </c>
      <c r="N347" s="381"/>
      <c r="O347" s="2569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4204</v>
      </c>
      <c r="S347" s="1405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9" cm="1">
        <f t="array" ref="F348">INDEX('5층_부하량'!H3:H3000,MATCH(1,("5-DaHall 1-PDU-13"='5층_부하량'!A3:A3000)*(25='5층_부하량'!B3:B3000),0))</f>
        <v>2.57</v>
      </c>
      <c r="G348" s="21"/>
      <c r="H348" s="17" t="s">
        <v>5384</v>
      </c>
      <c r="I348" s="543" t="s">
        <v>4256</v>
      </c>
      <c r="J348" s="1012" t="s">
        <v>5405</v>
      </c>
      <c r="K348" s="1005" t="s">
        <v>5405</v>
      </c>
      <c r="L348" s="543" t="s">
        <v>4258</v>
      </c>
      <c r="M348" s="17" t="s">
        <v>5384</v>
      </c>
      <c r="N348" s="381"/>
      <c r="O348" s="381"/>
      <c r="P348" s="2569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9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2" t="s">
        <v>5405</v>
      </c>
      <c r="K349" s="1005" t="s">
        <v>5405</v>
      </c>
      <c r="L349" s="543" t="s">
        <v>4262</v>
      </c>
      <c r="M349" s="17" t="s">
        <v>5384</v>
      </c>
      <c r="N349" s="2569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5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9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2" t="s">
        <v>5405</v>
      </c>
      <c r="K350" s="1005" t="s">
        <v>5405</v>
      </c>
      <c r="L350" s="543" t="s">
        <v>4265</v>
      </c>
      <c r="M350" s="17" t="s">
        <v>5384</v>
      </c>
      <c r="N350" s="381"/>
      <c r="O350" s="2569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4204</v>
      </c>
      <c r="S350" s="1405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70" cm="1">
        <f t="array" ref="F351">INDEX('5층_부하량'!H3:H3000,MATCH(1,("5-DaHall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7" t="s">
        <v>5405</v>
      </c>
      <c r="K351" s="1018" t="s">
        <v>5405</v>
      </c>
      <c r="L351" s="545" t="s">
        <v>4267</v>
      </c>
      <c r="M351" s="35" t="s">
        <v>5384</v>
      </c>
      <c r="N351" s="427"/>
      <c r="O351" s="427"/>
      <c r="P351" s="2570" cm="1">
        <f t="array" ref="P351">INDEX('5층_부하량'!H3:H3000,MATCH(1,("5-DaHall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13.870000000000001</v>
      </c>
      <c r="O352" s="33">
        <f>SUM(E336:E351,O336:O351)</f>
        <v>20.020000000000003</v>
      </c>
      <c r="P352" s="33">
        <f>SUM(F336:F351,P336:P351)</f>
        <v>15.38</v>
      </c>
    </row>
    <row r="353" spans="1:20" s="350" customFormat="1" ht="18.600000000000001" thickTop="1" thickBot="1">
      <c r="A353" s="349" t="s">
        <v>6530</v>
      </c>
      <c r="C353" s="3818" t="s">
        <v>5464</v>
      </c>
      <c r="D353" s="3818"/>
      <c r="E353" s="3818"/>
      <c r="F353" s="3818"/>
      <c r="G353" s="351"/>
      <c r="H353" s="352"/>
      <c r="I353" s="352"/>
      <c r="J353" s="3828" t="s">
        <v>4288</v>
      </c>
      <c r="K353" s="3829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4136</v>
      </c>
      <c r="N354" s="1342">
        <v>19.100000000000001</v>
      </c>
      <c r="O354" s="1343">
        <v>6.2</v>
      </c>
      <c r="P354" s="1344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80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1" t="s">
        <v>5465</v>
      </c>
      <c r="B356" s="366" t="s">
        <v>4208</v>
      </c>
      <c r="C356" s="383" t="s">
        <v>4149</v>
      </c>
      <c r="D356" s="2571" cm="1">
        <f t="array" ref="D356">INDEX('5층_부하량'!F3:F3000,MATCH(1,("5-DaHall 1-PDU-15"='5층_부하량'!A3:A3000)*(1='5층_부하량'!B3:B3000),0))</f>
        <v>6.08</v>
      </c>
      <c r="E356" s="2571" cm="1">
        <f t="array" ref="E356">INDEX('5층_부하량'!G3:G3000,MATCH(1,("5-DaHall 1-PDU-15"='5층_부하량'!A3:A3000)*(1='5층_부하량'!B3:B3000),0))</f>
        <v>1.28</v>
      </c>
      <c r="F356" s="2571" cm="1">
        <f t="array" ref="F356">INDEX('5층_부하량'!H3:H3000,MATCH(1,("5-DaHall 1-PDU-15"='5층_부하량'!A3:A3000)*(1='5층_부하량'!B3:B3000),0))</f>
        <v>8.2100000000000009</v>
      </c>
      <c r="G356" s="371"/>
      <c r="H356" s="367" t="s">
        <v>5466</v>
      </c>
      <c r="I356" s="2341" t="s">
        <v>5467</v>
      </c>
      <c r="J356" s="1021" t="s">
        <v>3514</v>
      </c>
      <c r="K356" s="1022" t="s">
        <v>5468</v>
      </c>
      <c r="L356" s="1152" t="s">
        <v>5469</v>
      </c>
      <c r="M356" s="366" t="s">
        <v>5466</v>
      </c>
      <c r="N356" s="2571" cm="1">
        <f t="array" ref="N356">INDEX('5층_부하량'!F3:F3000,MATCH(1,("5-DaHall 1-PDU-15"='5층_부하량'!A3:A3000)*(2='5층_부하량'!B3:B3000),0))</f>
        <v>3.43</v>
      </c>
      <c r="O356" s="2571" cm="1">
        <f t="array" ref="O356">INDEX('5층_부하량'!G3:G3000,MATCH(1,("5-DaHall 1-PDU-15"='5층_부하량'!A3:A3000)*(2='5층_부하량'!B3:B3000),0))</f>
        <v>2.84</v>
      </c>
      <c r="P356" s="2571" cm="1">
        <f t="array" ref="P356">INDEX('5층_부하량'!H3:H3000,MATCH(1,("5-DaHall 1-PDU-15"='5층_부하량'!A3:A3000)*(2='5층_부하량'!B3:B3000),0))</f>
        <v>2.13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2"/>
      <c r="B357" s="376" t="s">
        <v>4164</v>
      </c>
      <c r="C357" s="376" t="s">
        <v>4215</v>
      </c>
      <c r="D357" s="2572" cm="1">
        <f t="array" ref="D357">INDEX('5층_부하량'!F3:F3000,MATCH(1,("5-DaHall 1-PDU-15"='5층_부하량'!A3:A3000)*(3='5층_부하량'!B3:B3000),0))</f>
        <v>0</v>
      </c>
      <c r="E357" s="2572" cm="1">
        <f t="array" ref="E357">INDEX('5층_부하량'!G3:G3000,MATCH(1,("5-DaHall 1-PDU-15"='5층_부하량'!A3:A3000)*(3='5층_부하량'!B3:B3000),0))</f>
        <v>0</v>
      </c>
      <c r="F357" s="2572" cm="1">
        <f t="array" ref="F357">INDEX('5층_부하량'!H3:H3000,MATCH(1,("5-DaHall 1-PDU-15"='5층_부하량'!A3:A3000)*(3='5층_부하량'!B3:B3000),0))</f>
        <v>0</v>
      </c>
      <c r="G357" s="377"/>
      <c r="H357" s="376" t="s">
        <v>5471</v>
      </c>
      <c r="I357" s="2342" t="s">
        <v>5472</v>
      </c>
      <c r="J357" s="1023"/>
      <c r="K357" s="1024" t="s">
        <v>5473</v>
      </c>
      <c r="L357" s="1153" t="s">
        <v>5474</v>
      </c>
      <c r="M357" s="376" t="s">
        <v>5466</v>
      </c>
      <c r="N357" s="2572" cm="1">
        <f t="array" ref="N357">INDEX('5층_부하량'!F3:F3000,MATCH(1,("5-DaHall 1-PDU-15"='5층_부하량'!A3:A3000)*(4='5층_부하량'!B3:B3000),0))</f>
        <v>0</v>
      </c>
      <c r="O357" s="2572" cm="1">
        <f t="array" ref="O357">INDEX('5층_부하량'!G3:G3000,MATCH(1,("5-DaHall 1-PDU-15"='5층_부하량'!A3:A3000)*(4='5층_부하량'!B3:B3000),0))</f>
        <v>0</v>
      </c>
      <c r="P357" s="2572" cm="1">
        <f t="array" ref="P357">INDEX('5층_부하량'!H3:H3000,MATCH(1,("5-DaHall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9" cm="1">
        <f t="array" ref="D358">INDEX('5층_부하량'!F3:F3000,MATCH(1,("5-DaHall 1-PDU-15"='5층_부하량'!A3:A3000)*(5='5층_부하량'!B3:B3000),0))</f>
        <v>0</v>
      </c>
      <c r="E358" s="2569" cm="1">
        <f t="array" ref="E358">INDEX('5층_부하량'!G3:G3000,MATCH(1,("5-DaHall 1-PDU-15"='5층_부하량'!A3:A3000)*(5='5층_부하량'!B3:B3000),0))</f>
        <v>0</v>
      </c>
      <c r="F358" s="2569" cm="1">
        <f t="array" ref="F358">INDEX('5층_부하량'!H3:H3000,MATCH(1,("5-DaHall 1-PDU-15"='5층_부하량'!A3:A3000)*(5='5층_부하량'!B3:B3000),0))</f>
        <v>0</v>
      </c>
      <c r="G358" s="381"/>
      <c r="H358" s="376" t="s">
        <v>5359</v>
      </c>
      <c r="I358" s="2342" t="s">
        <v>5477</v>
      </c>
      <c r="J358" s="1025"/>
      <c r="K358" s="1026"/>
      <c r="L358" s="1154" t="s">
        <v>5478</v>
      </c>
      <c r="M358" s="376" t="s">
        <v>5359</v>
      </c>
      <c r="N358" s="2569" cm="1">
        <f t="array" ref="N358">INDEX('5층_부하량'!F3:F3000,MATCH(1,("5-DaHall 1-PDU-15"='5층_부하량'!A3:A3000)*(6='5층_부하량'!B3:B3000),0))</f>
        <v>0</v>
      </c>
      <c r="O358" s="2569" cm="1">
        <f t="array" ref="O358">INDEX('5층_부하량'!G3:G3000,MATCH(1,("5-DaHall 1-PDU-15"='5층_부하량'!A3:A3000)*(6='5층_부하량'!B3:B3000),0))</f>
        <v>0</v>
      </c>
      <c r="P358" s="2569" cm="1">
        <f t="array" ref="P358">INDEX('5층_부하량'!H3:H3000,MATCH(1,("5-DaHall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3" t="s">
        <v>5480</v>
      </c>
      <c r="B359" s="376" t="s">
        <v>4204</v>
      </c>
      <c r="C359" s="383" t="s">
        <v>4149</v>
      </c>
      <c r="D359" s="2569" cm="1">
        <f t="array" ref="D359">INDEX('5층_부하량'!F3:F3000,MATCH(1,("5-DaHall 1-PDU-15"='5층_부하량'!A3:A3000)*(7='5층_부하량'!B3:B3000),0))</f>
        <v>3.9</v>
      </c>
      <c r="E359" s="381"/>
      <c r="F359" s="381"/>
      <c r="G359" s="381"/>
      <c r="H359" s="376" t="s">
        <v>5359</v>
      </c>
      <c r="I359" s="1185" t="s">
        <v>4218</v>
      </c>
      <c r="J359" s="1025" t="s">
        <v>2610</v>
      </c>
      <c r="K359" s="1026"/>
      <c r="L359" s="572" t="s">
        <v>4167</v>
      </c>
      <c r="M359" s="376" t="s">
        <v>5368</v>
      </c>
      <c r="N359" s="2569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4" t="s">
        <v>5482</v>
      </c>
      <c r="B360" s="87" t="s">
        <v>4204</v>
      </c>
      <c r="C360" s="88" t="s">
        <v>4149</v>
      </c>
      <c r="D360" s="392"/>
      <c r="E360" s="2563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5359</v>
      </c>
      <c r="I360" s="1192" t="s">
        <v>4221</v>
      </c>
      <c r="J360" s="1025" t="s">
        <v>2610</v>
      </c>
      <c r="K360" s="1027"/>
      <c r="L360" s="573" t="s">
        <v>4170</v>
      </c>
      <c r="M360" s="391" t="s">
        <v>5368</v>
      </c>
      <c r="N360" s="392"/>
      <c r="O360" s="2563" cm="1">
        <f t="array" ref="O360">INDEX('5층_부하량'!G3:G3000,MATCH(1,("5-DaHall 1-PDU-15"='5층_부하량'!A3:A3000)*(10='5층_부하량'!B3:B3000),0))</f>
        <v>7.02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6" t="s">
        <v>5484</v>
      </c>
      <c r="B361" s="2304" t="s">
        <v>4208</v>
      </c>
      <c r="C361" s="383" t="s">
        <v>4149</v>
      </c>
      <c r="D361" s="395"/>
      <c r="E361" s="395"/>
      <c r="F361" s="2573" cm="1">
        <f t="array" ref="F361">INDEX('5층_부하량'!H3:H3000,MATCH(1,("5-DaHall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8"/>
      <c r="K361" s="1029" t="s">
        <v>5485</v>
      </c>
      <c r="L361" s="574" t="s">
        <v>4173</v>
      </c>
      <c r="M361" s="366" t="s">
        <v>5363</v>
      </c>
      <c r="N361" s="395"/>
      <c r="O361" s="395"/>
      <c r="P361" s="2573" cm="1">
        <f t="array" ref="P361">INDEX('5층_부하량'!H3:H3000,MATCH(1,("5-DaHall 1-PDU-15"='5층_부하량'!A3:A3000)*(12='5층_부하량'!B3:B3000),0))</f>
        <v>2.33</v>
      </c>
      <c r="Q361" s="395"/>
      <c r="R361" s="396" t="s">
        <v>4208</v>
      </c>
      <c r="S361" s="383" t="s">
        <v>4149</v>
      </c>
      <c r="T361" s="969" t="s">
        <v>5486</v>
      </c>
    </row>
    <row r="362" spans="1:20" s="350" customFormat="1" ht="26.4">
      <c r="A362" s="1285" t="s">
        <v>5487</v>
      </c>
      <c r="B362" s="376" t="s">
        <v>4204</v>
      </c>
      <c r="C362" s="383" t="s">
        <v>4149</v>
      </c>
      <c r="D362" s="2569" cm="1">
        <f t="array" ref="D362">INDEX('5층_부하량'!F3:F3000,MATCH(1,("5-DaHall 1-PDU-15"='5층_부하량'!A3:A3000)*(13='5층_부하량'!B3:B3000),0))</f>
        <v>0.72</v>
      </c>
      <c r="E362" s="381"/>
      <c r="F362" s="381"/>
      <c r="G362" s="381"/>
      <c r="H362" s="376" t="s">
        <v>5363</v>
      </c>
      <c r="I362" s="552" t="s">
        <v>4230</v>
      </c>
      <c r="J362" s="1025"/>
      <c r="K362" s="1026"/>
      <c r="L362" s="572" t="s">
        <v>4175</v>
      </c>
      <c r="M362" s="376" t="s">
        <v>5363</v>
      </c>
      <c r="N362" s="2569" cm="1">
        <f t="array" ref="N362">INDEX('5층_부하량'!F3:F3000,MATCH(1,("5-DaHall 1-PDU-15"='5층_부하량'!A3:A3000)*(14='5층_부하량'!B3:B3000),0))</f>
        <v>1.6099999999999999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6" t="s">
        <v>5489</v>
      </c>
      <c r="B363" s="376" t="s">
        <v>4164</v>
      </c>
      <c r="C363" s="376" t="s">
        <v>4215</v>
      </c>
      <c r="D363" s="381"/>
      <c r="E363" s="2569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5"/>
      <c r="K363" s="1026"/>
      <c r="L363" s="572" t="s">
        <v>4177</v>
      </c>
      <c r="M363" s="376" t="s">
        <v>5384</v>
      </c>
      <c r="N363" s="381"/>
      <c r="O363" s="2569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5" t="s">
        <v>5490</v>
      </c>
      <c r="B364" s="376" t="s">
        <v>4164</v>
      </c>
      <c r="C364" s="376" t="s">
        <v>4215</v>
      </c>
      <c r="D364" s="381"/>
      <c r="E364" s="381"/>
      <c r="F364" s="2569" cm="1">
        <f t="array" ref="F364">INDEX('5층_부하량'!H3:H3000,MATCH(1,("5-DaHall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5"/>
      <c r="K364" s="1026"/>
      <c r="L364" s="572" t="s">
        <v>4179</v>
      </c>
      <c r="M364" s="376" t="s">
        <v>5384</v>
      </c>
      <c r="N364" s="381"/>
      <c r="O364" s="381"/>
      <c r="P364" s="2569" cm="1">
        <f t="array" ref="P364">INDEX('5층_부하량'!H3:H3000,MATCH(1,("5-DaHall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6" t="s">
        <v>5491</v>
      </c>
      <c r="B365" s="376" t="s">
        <v>4164</v>
      </c>
      <c r="C365" s="376" t="s">
        <v>4215</v>
      </c>
      <c r="D365" s="2569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5"/>
      <c r="K365" s="1026"/>
      <c r="L365" s="572" t="s">
        <v>4183</v>
      </c>
      <c r="M365" s="376" t="s">
        <v>5384</v>
      </c>
      <c r="N365" s="2569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5" t="s">
        <v>5492</v>
      </c>
      <c r="B366" s="376" t="s">
        <v>4513</v>
      </c>
      <c r="C366" s="376" t="s">
        <v>4158</v>
      </c>
      <c r="D366" s="381"/>
      <c r="E366" s="2569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3"/>
      <c r="K366" s="1026"/>
      <c r="L366" s="572" t="s">
        <v>4187</v>
      </c>
      <c r="M366" s="376" t="s">
        <v>5384</v>
      </c>
      <c r="N366" s="381"/>
      <c r="O366" s="2569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5" t="s">
        <v>5493</v>
      </c>
      <c r="B367" s="376" t="s">
        <v>4153</v>
      </c>
      <c r="C367" s="383" t="s">
        <v>4149</v>
      </c>
      <c r="D367" s="381"/>
      <c r="E367" s="381"/>
      <c r="F367" s="2569" cm="1">
        <f t="array" ref="F367">INDEX('5층_부하량'!H3:H3000,MATCH(1,("5-DaHall 1-PDU-15"='5층_부하량'!A3:A3000)*(23='5층_부하량'!B3:B3000),0))</f>
        <v>2.34</v>
      </c>
      <c r="G367" s="381"/>
      <c r="H367" s="376" t="s">
        <v>5384</v>
      </c>
      <c r="I367" s="552" t="s">
        <v>4251</v>
      </c>
      <c r="J367" s="1025" t="s">
        <v>5494</v>
      </c>
      <c r="K367" s="1026"/>
      <c r="L367" s="572" t="s">
        <v>4253</v>
      </c>
      <c r="M367" s="376" t="s">
        <v>5384</v>
      </c>
      <c r="N367" s="381"/>
      <c r="O367" s="381"/>
      <c r="P367" s="2569" cm="1">
        <f t="array" ref="P367">INDEX('5층_부하량'!H3:H3000,MATCH(1,("5-DaHall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7" t="s">
        <v>5495</v>
      </c>
      <c r="B368" s="376" t="s">
        <v>4513</v>
      </c>
      <c r="C368" s="376" t="s">
        <v>4158</v>
      </c>
      <c r="D368" s="2569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5"/>
      <c r="K368" s="1026"/>
      <c r="L368" s="572" t="s">
        <v>4258</v>
      </c>
      <c r="M368" s="376" t="s">
        <v>5384</v>
      </c>
      <c r="N368" s="2569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5" t="s">
        <v>5496</v>
      </c>
      <c r="B369" s="376" t="s">
        <v>4513</v>
      </c>
      <c r="C369" s="376" t="s">
        <v>4158</v>
      </c>
      <c r="D369" s="381"/>
      <c r="E369" s="2569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3"/>
      <c r="K369" s="1026" t="s">
        <v>2593</v>
      </c>
      <c r="L369" s="1186" t="s">
        <v>4262</v>
      </c>
      <c r="M369" s="376" t="s">
        <v>5384</v>
      </c>
      <c r="N369" s="381"/>
      <c r="O369" s="2569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8" t="s">
        <v>5498</v>
      </c>
      <c r="B370" s="35" t="s">
        <v>4153</v>
      </c>
      <c r="C370" s="39" t="s">
        <v>4149</v>
      </c>
      <c r="D370" s="402"/>
      <c r="E370" s="402"/>
      <c r="F370" s="2574" cm="1">
        <f t="array" ref="F370">INDEX('5층_부하량'!H3:H3000,MATCH(1,("5-DaHall 1-PDU-15"='5층_부하량'!A3:A3000)*(29='5층_부하량'!B3:B3000),0))</f>
        <v>0.37</v>
      </c>
      <c r="G370" s="402"/>
      <c r="H370" s="401" t="s">
        <v>5384</v>
      </c>
      <c r="I370" s="554" t="s">
        <v>4264</v>
      </c>
      <c r="J370" s="1030" t="s">
        <v>5494</v>
      </c>
      <c r="K370" s="1031"/>
      <c r="L370" s="575" t="s">
        <v>4265</v>
      </c>
      <c r="M370" s="401" t="s">
        <v>5384</v>
      </c>
      <c r="N370" s="402"/>
      <c r="O370" s="402"/>
      <c r="P370" s="2574" cm="1">
        <f t="array" ref="P370">INDEX('5층_부하량'!H3:H3000,MATCH(1,("5-DaHall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3"/>
      <c r="M371" s="405" t="s">
        <v>5218</v>
      </c>
      <c r="N371" s="406">
        <f>SUM(D356:D370,N356:N370)</f>
        <v>20.100000000000001</v>
      </c>
      <c r="O371" s="406">
        <f>SUM(E356:E370,O356:O370)</f>
        <v>13.63</v>
      </c>
      <c r="P371" s="406">
        <f>SUM(F356:F370,P356:P370)</f>
        <v>15.38</v>
      </c>
    </row>
    <row r="372" spans="1:20" s="350" customFormat="1" ht="18.600000000000001" thickTop="1" thickBot="1">
      <c r="A372" s="349" t="s">
        <v>6531</v>
      </c>
      <c r="C372" s="3818" t="s">
        <v>5499</v>
      </c>
      <c r="D372" s="3818"/>
      <c r="E372" s="3818"/>
      <c r="F372" s="3818"/>
      <c r="G372" s="351"/>
      <c r="H372" s="352"/>
      <c r="I372" s="352"/>
      <c r="J372" s="3828" t="s">
        <v>5219</v>
      </c>
      <c r="K372" s="3829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4136</v>
      </c>
      <c r="N373" s="1342">
        <v>20.100000000000001</v>
      </c>
      <c r="O373" s="1343">
        <v>13.1</v>
      </c>
      <c r="P373" s="1344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71" cm="1">
        <f t="array" ref="D375">INDEX('5층_부하량'!F3:F3000,MATCH(1,("5-DaHall 1-PDU-12"='5층_부하량'!A3:A3000)*(1='5층_부하량'!B3:B3000),0))</f>
        <v>0</v>
      </c>
      <c r="E375" s="2571" cm="1">
        <f t="array" ref="E375">INDEX('5층_부하량'!G3:G3000,MATCH(1,("5-DaHall 1-PDU-12"='5층_부하량'!A3:A3000)*(1='5층_부하량'!B3:B3000),0))</f>
        <v>0</v>
      </c>
      <c r="F375" s="2571" cm="1">
        <f t="array" ref="F375">INDEX('5층_부하량'!H3:H3000,MATCH(1,("5-DaHall 1-PDU-12"='5층_부하량'!A3:A3000)*(1='5층_부하량'!B3:B3000),0))</f>
        <v>0</v>
      </c>
      <c r="G375" s="368"/>
      <c r="H375" s="367" t="s">
        <v>5359</v>
      </c>
      <c r="I375" s="2344" t="s">
        <v>5467</v>
      </c>
      <c r="J375" s="1032"/>
      <c r="K375" s="1033"/>
      <c r="L375" s="1412" t="s">
        <v>5469</v>
      </c>
      <c r="M375" s="366" t="s">
        <v>5359</v>
      </c>
      <c r="N375" s="2571" cm="1">
        <f t="array" ref="N375">INDEX('5층_부하량'!F3:F3000,MATCH(1,("5-DaHall 1-PDU-12"='5층_부하량'!A3:A3000)*(2='5층_부하량'!B3:B3000),0))</f>
        <v>0</v>
      </c>
      <c r="O375" s="2571" cm="1">
        <f t="array" ref="O375">INDEX('5층_부하량'!G3:G3000,MATCH(1,("5-DaHall 1-PDU-12"='5층_부하량'!A3:A3000)*(2='5층_부하량'!B3:B3000),0))</f>
        <v>0</v>
      </c>
      <c r="P375" s="2571" cm="1">
        <f t="array" ref="P375">INDEX('5층_부하량'!H3:H3000,MATCH(1,("5-DaHall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2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3" t="s">
        <v>5405</v>
      </c>
      <c r="K376" s="1024" t="s">
        <v>5405</v>
      </c>
      <c r="L376" s="571" t="s">
        <v>4157</v>
      </c>
      <c r="M376" s="376" t="s">
        <v>5359</v>
      </c>
      <c r="N376" s="2572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9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5359</v>
      </c>
      <c r="I377" s="1185" t="s">
        <v>4214</v>
      </c>
      <c r="J377" s="1034" t="s">
        <v>5401</v>
      </c>
      <c r="K377" s="1024" t="s">
        <v>5405</v>
      </c>
      <c r="L377" s="571" t="s">
        <v>4162</v>
      </c>
      <c r="M377" s="376" t="s">
        <v>5359</v>
      </c>
      <c r="N377" s="381"/>
      <c r="O377" s="2569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9" cm="1">
        <f t="array" ref="F378">INDEX('5층_부하량'!H3:H3000,MATCH(1,("5-DaHall 1-PDU-12"='5층_부하량'!A3:A3000)*(7='5층_부하량'!B3:B3000),0))</f>
        <v>0</v>
      </c>
      <c r="G378" s="381"/>
      <c r="H378" s="376" t="s">
        <v>5359</v>
      </c>
      <c r="I378" s="1413" t="s">
        <v>4218</v>
      </c>
      <c r="J378" s="1023" t="s">
        <v>5405</v>
      </c>
      <c r="K378" s="1024" t="s">
        <v>5405</v>
      </c>
      <c r="L378" s="571" t="s">
        <v>4167</v>
      </c>
      <c r="M378" s="376" t="s">
        <v>5363</v>
      </c>
      <c r="N378" s="381"/>
      <c r="O378" s="381"/>
      <c r="P378" s="2569" cm="1">
        <f t="array" ref="P378">INDEX('5층_부하량'!H3:H3000,MATCH(1,("5-DaHall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9" cm="1">
        <f t="array" ref="D379">INDEX('5층_부하량'!F3:F3000,MATCH(1,("5-DaHall 1-PDU-12"='5층_부하량'!A3:A3000)*(9='5층_부하량'!B3:B3000),0))</f>
        <v>2.98</v>
      </c>
      <c r="E379" s="381"/>
      <c r="F379" s="381"/>
      <c r="G379" s="381"/>
      <c r="H379" s="376" t="s">
        <v>5359</v>
      </c>
      <c r="I379" s="1185" t="s">
        <v>4221</v>
      </c>
      <c r="J379" s="1023" t="s">
        <v>5405</v>
      </c>
      <c r="K379" s="1024" t="s">
        <v>5405</v>
      </c>
      <c r="L379" s="571" t="s">
        <v>4170</v>
      </c>
      <c r="M379" s="376" t="s">
        <v>5374</v>
      </c>
      <c r="N379" s="2569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6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5359</v>
      </c>
      <c r="I380" s="1187" t="s">
        <v>4226</v>
      </c>
      <c r="J380" s="1035" t="s">
        <v>5405</v>
      </c>
      <c r="K380" s="1036" t="s">
        <v>5405</v>
      </c>
      <c r="L380" s="576" t="s">
        <v>4173</v>
      </c>
      <c r="M380" s="409" t="s">
        <v>5374</v>
      </c>
      <c r="N380" s="411"/>
      <c r="O380" s="2576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8" cm="1">
        <f t="array" ref="F381">INDEX('5층_부하량'!H3:H3000,MATCH(1,("5-DaHall 1-PDU-12"='5층_부하량'!A3:A3000)*(13='5층_부하량'!B3:B3000),0))</f>
        <v>0</v>
      </c>
      <c r="G381" s="395"/>
      <c r="H381" s="366" t="s">
        <v>5456</v>
      </c>
      <c r="I381" s="1190" t="s">
        <v>4230</v>
      </c>
      <c r="J381" s="1032" t="s">
        <v>5405</v>
      </c>
      <c r="K381" s="1033" t="s">
        <v>5405</v>
      </c>
      <c r="L381" s="570" t="s">
        <v>4175</v>
      </c>
      <c r="M381" s="366" t="s">
        <v>5374</v>
      </c>
      <c r="N381" s="395"/>
      <c r="O381" s="395"/>
      <c r="P381" s="2568" cm="1">
        <f t="array" ref="P381">INDEX('5층_부하량'!H3:H3000,MATCH(1,("5-DaHall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7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1" t="s">
        <v>4234</v>
      </c>
      <c r="J382" s="1037" t="s">
        <v>5405</v>
      </c>
      <c r="K382" s="1038" t="s">
        <v>5405</v>
      </c>
      <c r="L382" s="577" t="s">
        <v>4177</v>
      </c>
      <c r="M382" s="418" t="s">
        <v>5384</v>
      </c>
      <c r="N382" s="2577" cm="1">
        <f t="array" ref="N382">INDEX('5층_부하량'!F3:F3000,MATCH(1,("5-DaHall 1-PDU-12"='5층_부하량'!A3:A3000)*(16='5층_부하량'!B3:B3000),0))</f>
        <v>6.6899999999999995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9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5374</v>
      </c>
      <c r="I383" s="1185" t="s">
        <v>4238</v>
      </c>
      <c r="J383" s="1023" t="s">
        <v>5405</v>
      </c>
      <c r="K383" s="1024" t="s">
        <v>5405</v>
      </c>
      <c r="L383" s="571" t="s">
        <v>4179</v>
      </c>
      <c r="M383" s="376" t="s">
        <v>5374</v>
      </c>
      <c r="N383" s="381"/>
      <c r="O383" s="2569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9" cm="1">
        <f t="array" ref="F384">INDEX('5층_부하량'!H3:H3000,MATCH(1,("5-DaHall 1-PDU-12"='5층_부하량'!A3:A3000)*(19='5층_부하량'!B3:B3000),0))</f>
        <v>3.1</v>
      </c>
      <c r="G384" s="381"/>
      <c r="H384" s="376" t="s">
        <v>5384</v>
      </c>
      <c r="I384" s="1185" t="s">
        <v>4243</v>
      </c>
      <c r="J384" s="1023" t="s">
        <v>5435</v>
      </c>
      <c r="K384" s="1026"/>
      <c r="L384" s="1414" t="s">
        <v>4183</v>
      </c>
      <c r="M384" s="376" t="s">
        <v>5384</v>
      </c>
      <c r="N384" s="381"/>
      <c r="O384" s="381"/>
      <c r="P384" s="2569" cm="1">
        <f t="array" ref="P384">INDEX('5층_부하량'!H3:H3000,MATCH(1,("5-DaHall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9" cm="1">
        <f t="array" ref="D385">INDEX('5층_부하량'!F3:F3000,MATCH(1,("5-DaHall 1-PDU-12"='5층_부하량'!A3:A3000)*(21='5층_부하량'!B3:B3000),0))</f>
        <v>5.4</v>
      </c>
      <c r="E385" s="381"/>
      <c r="F385" s="381"/>
      <c r="G385" s="381"/>
      <c r="H385" s="376" t="s">
        <v>5384</v>
      </c>
      <c r="I385" s="1185" t="s">
        <v>4247</v>
      </c>
      <c r="J385" s="1023" t="s">
        <v>5438</v>
      </c>
      <c r="K385" s="1026"/>
      <c r="L385" s="572" t="s">
        <v>4187</v>
      </c>
      <c r="M385" s="376" t="s">
        <v>5384</v>
      </c>
      <c r="N385" s="2569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9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5384</v>
      </c>
      <c r="I386" s="1185" t="s">
        <v>4251</v>
      </c>
      <c r="J386" s="1023" t="s">
        <v>5441</v>
      </c>
      <c r="K386" s="1039" t="s">
        <v>2488</v>
      </c>
      <c r="L386" s="572" t="s">
        <v>4253</v>
      </c>
      <c r="M386" s="376" t="s">
        <v>5384</v>
      </c>
      <c r="N386" s="381"/>
      <c r="O386" s="2569" cm="1">
        <f t="array" ref="O386">INDEX('5층_부하량'!G3:G3000,MATCH(1,("5-DaHall 1-PDU-12"='5층_부하량'!A3:A3000)*(24='5층_부하량'!B3:B3000),0))</f>
        <v>3.54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9" cm="1">
        <f t="array" ref="F387">INDEX('5층_부하량'!H3:H3000,MATCH(1,("5-DaHall 1-PDU-12"='5층_부하량'!A3:A3000)*(25='5층_부하량'!B3:B3000),0))</f>
        <v>3.75</v>
      </c>
      <c r="G387" s="381"/>
      <c r="H387" s="376" t="s">
        <v>5384</v>
      </c>
      <c r="I387" s="1185" t="s">
        <v>4256</v>
      </c>
      <c r="J387" s="1023" t="s">
        <v>5444</v>
      </c>
      <c r="K387" s="1039" t="s">
        <v>5401</v>
      </c>
      <c r="L387" s="1186" t="s">
        <v>4258</v>
      </c>
      <c r="M387" s="376" t="s">
        <v>5384</v>
      </c>
      <c r="N387" s="381"/>
      <c r="O387" s="381"/>
      <c r="P387" s="2569" cm="1">
        <f t="array" ref="P387">INDEX('5층_부하량'!H3:H3000,MATCH(1,("5-DaHall 1-PDU-12"='5층_부하량'!A3:A3000)*(26='5층_부하량'!B3:B3000),0))</f>
        <v>5.0599999999999996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9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5" t="s">
        <v>4261</v>
      </c>
      <c r="J388" s="1023" t="s">
        <v>5447</v>
      </c>
      <c r="K388" s="1026"/>
      <c r="L388" s="1186" t="s">
        <v>4262</v>
      </c>
      <c r="M388" s="376" t="s">
        <v>5384</v>
      </c>
      <c r="N388" s="2569" cm="1">
        <f t="array" ref="N388">INDEX('5층_부하량'!F3:F3000,MATCH(1,("5-DaHall 1-PDU-12"='5층_부하량'!A3:A3000)*(28='5층_부하량'!B3:B3000),0))</f>
        <v>6.01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9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5384</v>
      </c>
      <c r="I389" s="1413" t="s">
        <v>4264</v>
      </c>
      <c r="J389" s="1023" t="s">
        <v>5405</v>
      </c>
      <c r="K389" s="1039" t="s">
        <v>5401</v>
      </c>
      <c r="L389" s="1186" t="s">
        <v>4265</v>
      </c>
      <c r="M389" s="376" t="s">
        <v>5384</v>
      </c>
      <c r="N389" s="381"/>
      <c r="O389" s="2569" cm="1">
        <f t="array" ref="O389">INDEX('5층_부하량'!G3:G3000,MATCH(1,("5-DaHall 1-PDU-12"='5층_부하량'!A3:A3000)*(30='5층_부하량'!B3:B3000),0))</f>
        <v>6.55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70" cm="1">
        <f t="array" ref="F390">INDEX('5층_부하량'!H3:H3000,MATCH(1,("5-DaHall 1-PDU-12"='5층_부하량'!A3:A3000)*(31='5층_부하량'!B3:B3000),0))</f>
        <v>0</v>
      </c>
      <c r="G390" s="427"/>
      <c r="H390" s="426" t="s">
        <v>5384</v>
      </c>
      <c r="I390" s="1415" t="s">
        <v>4266</v>
      </c>
      <c r="J390" s="1040" t="s">
        <v>5405</v>
      </c>
      <c r="K390" s="1041" t="s">
        <v>5405</v>
      </c>
      <c r="L390" s="1193" t="s">
        <v>5521</v>
      </c>
      <c r="M390" s="426" t="s">
        <v>5384</v>
      </c>
      <c r="N390" s="427"/>
      <c r="O390" s="427"/>
      <c r="P390" s="2570" cm="1">
        <f t="array" ref="P390">INDEX('5층_부하량'!H3:H3000,MATCH(1,("5-DaHall 1-PDU-12"='5층_부하량'!A3:A3000)*(32='5층_부하량'!B3:B3000),0))</f>
        <v>3.46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3"/>
      <c r="M391" s="405" t="s">
        <v>5218</v>
      </c>
      <c r="N391" s="406">
        <f>SUM(D375:D390,N375:N390)</f>
        <v>23</v>
      </c>
      <c r="O391" s="406">
        <f>SUM(E375:E390,O375:O390)</f>
        <v>13.77</v>
      </c>
      <c r="P391" s="406">
        <f>SUM(F375:F390,P375:P390)</f>
        <v>15.370000000000001</v>
      </c>
    </row>
    <row r="392" spans="1:20" s="350" customFormat="1" ht="18.600000000000001" thickTop="1" thickBot="1">
      <c r="A392" s="349" t="s">
        <v>6532</v>
      </c>
      <c r="C392" s="3818" t="s">
        <v>5523</v>
      </c>
      <c r="D392" s="3818"/>
      <c r="E392" s="3818"/>
      <c r="F392" s="3818"/>
      <c r="G392" s="351"/>
      <c r="H392" s="352"/>
      <c r="I392" s="352"/>
      <c r="J392" s="3828" t="s">
        <v>5219</v>
      </c>
      <c r="K392" s="3829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4136</v>
      </c>
      <c r="N393" s="1342">
        <v>13.4</v>
      </c>
      <c r="O393" s="1343">
        <v>11.6</v>
      </c>
      <c r="P393" s="1344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71" cm="1">
        <f t="array" ref="D395">INDEX('5층_부하량'!F3:F3000,MATCH(1,("5-DaHall 1-PDU-14"='5층_부하량'!A3:A3000)*(1='5층_부하량'!B3:B3000),0))</f>
        <v>0</v>
      </c>
      <c r="E395" s="2571" cm="1">
        <f t="array" ref="E395">INDEX('5층_부하량'!G3:G3000,MATCH(1,("5-DaHall 1-PDU-14"='5층_부하량'!A3:A3000)*(1='5층_부하량'!B3:B3000),0))</f>
        <v>0</v>
      </c>
      <c r="F395" s="2571" cm="1">
        <f t="array" ref="F395">INDEX('5층_부하량'!H3:H3000,MATCH(1,("5-DaHall 1-PDU-14"='5층_부하량'!A3:A3000)*(1='5층_부하량'!B3:B3000),0))</f>
        <v>0</v>
      </c>
      <c r="G395" s="368"/>
      <c r="H395" s="367" t="s">
        <v>5359</v>
      </c>
      <c r="I395" s="2344" t="s">
        <v>5467</v>
      </c>
      <c r="J395" s="1032"/>
      <c r="K395" s="1033"/>
      <c r="L395" s="1412" t="s">
        <v>5469</v>
      </c>
      <c r="M395" s="366" t="s">
        <v>5359</v>
      </c>
      <c r="N395" s="2571" cm="1">
        <f t="array" ref="N395">INDEX('5층_부하량'!F3:F3000,MATCH(1,("5-DaHall 1-PDU-14"='5층_부하량'!A3:A3000)*(2='5층_부하량'!B3:B3000),0))</f>
        <v>0</v>
      </c>
      <c r="O395" s="2571" cm="1">
        <f t="array" ref="O395">INDEX('5층_부하량'!G3:G3000,MATCH(1,("5-DaHall 1-PDU-14"='5층_부하량'!A3:A3000)*(2='5층_부하량'!B3:B3000),0))</f>
        <v>0</v>
      </c>
      <c r="P395" s="2571" cm="1">
        <f t="array" ref="P395">INDEX('5층_부하량'!H3:H3000,MATCH(1,("5-DaHall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2" cm="1">
        <f t="array" ref="D396">INDEX('5층_부하량'!F3:F3000,MATCH(1,("5-DaHall 1-PDU-14"='5층_부하량'!A3:A3000)*(3='5층_부하량'!B3:B3000),0))</f>
        <v>5.96</v>
      </c>
      <c r="E396" s="377"/>
      <c r="F396" s="377"/>
      <c r="G396" s="377"/>
      <c r="H396" s="376" t="s">
        <v>5363</v>
      </c>
      <c r="I396" s="1185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2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9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5359</v>
      </c>
      <c r="I397" s="1413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9" cm="1">
        <f t="array" ref="O397">INDEX('5층_부하량'!G3:G3000,MATCH(1,("5-DaHall 1-PDU-14"='5층_부하량'!A3:A3000)*(6='5층_부하량'!B3:B3000),0))</f>
        <v>3.11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9" cm="1">
        <f t="array" ref="F398">INDEX('5층_부하량'!H3:H3000,MATCH(1,("5-DaHall 1-PDU-14"='5층_부하량'!A3:A3000)*(7='5층_부하량'!B3:B3000),0))</f>
        <v>0</v>
      </c>
      <c r="G398" s="381"/>
      <c r="H398" s="376" t="s">
        <v>5359</v>
      </c>
      <c r="I398" s="1413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9" cm="1">
        <f t="array" ref="P398">INDEX('5층_부하량'!H3:H3000,MATCH(1,("5-DaHall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9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9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6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6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8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8" cm="1">
        <f t="array" ref="P401">INDEX('5층_부하량'!H3:H3000,MATCH(1,("5-DaHall 1-PDU-14"='5층_부하량'!A3:A3000)*(14='5층_부하량'!B3:B3000),0))</f>
        <v>3.24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7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6" t="s">
        <v>4177</v>
      </c>
      <c r="M402" s="418" t="s">
        <v>5374</v>
      </c>
      <c r="N402" s="2577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5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9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7" t="s">
        <v>4179</v>
      </c>
      <c r="M403" s="376" t="s">
        <v>5374</v>
      </c>
      <c r="N403" s="381"/>
      <c r="O403" s="2569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4204</v>
      </c>
      <c r="S403" s="1405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9" cm="1">
        <f t="array" ref="F404">INDEX('5층_부하량'!H3:H3000,MATCH(1,("5-DaHall 1-PDU-14"='5층_부하량'!A3:A3000)*(19='5층_부하량'!B3:B3000),0))</f>
        <v>2.67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9" cm="1">
        <f t="array" ref="P404">INDEX('5층_부하량'!H3:H3000,MATCH(1,("5-DaHall 1-PDU-14"='5층_부하량'!A3:A3000)*(20='5층_부하량'!B3:B3000),0))</f>
        <v>0</v>
      </c>
      <c r="Q404" s="21"/>
      <c r="R404" s="68" t="s">
        <v>4204</v>
      </c>
      <c r="S404" s="1405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9" cm="1">
        <f t="array" ref="D405">INDEX('5층_부하량'!F3:F3000,MATCH(1,("5-DaHall 1-PDU-14"='5층_부하량'!A3:A3000)*(21='5층_부하량'!B3:B3000),0))</f>
        <v>3.62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9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5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9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9" cm="1">
        <f t="array" ref="O406">INDEX('5층_부하량'!G3:G3000,MATCH(1,("5-DaHall 1-PDU-14"='5층_부하량'!A3:A3000)*(24='5층_부하량'!B3:B3000),0))</f>
        <v>5.71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9" cm="1">
        <f t="array" ref="F407">INDEX('5층_부하량'!H3:H3000,MATCH(1,("5-DaHall 1-PDU-14"='5층_부하량'!A3:A3000)*(25='5층_부하량'!B3:B3000),0))</f>
        <v>0</v>
      </c>
      <c r="G407" s="381"/>
      <c r="H407" s="376" t="s">
        <v>5384</v>
      </c>
      <c r="I407" s="1413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9" cm="1">
        <f t="array" ref="P407">INDEX('5층_부하량'!H3:H3000,MATCH(1,("5-DaHall 1-PDU-14"='5층_부하량'!A3:A3000)*(26='5층_부하량'!B3:B3000),0))</f>
        <v>0</v>
      </c>
      <c r="Q407" s="381"/>
      <c r="R407" s="388" t="s">
        <v>4153</v>
      </c>
      <c r="S407" s="1405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9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3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9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5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9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9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70" cm="1">
        <f t="array" ref="F410">INDEX('5층_부하량'!H3:H3000,MATCH(1,("5-DaHall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70" cm="1">
        <f t="array" ref="P410">INDEX('5층_부하량'!H3:H3000,MATCH(1,("5-DaHall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3"/>
      <c r="M411" s="405" t="s">
        <v>5218</v>
      </c>
      <c r="N411" s="406">
        <f>SUM(D395:D410,N395:N410)</f>
        <v>17.39</v>
      </c>
      <c r="O411" s="406">
        <f>SUM(E395:E410,O395:O410)</f>
        <v>12.530000000000001</v>
      </c>
      <c r="P411" s="406">
        <f>SUM(F395:F410,P395:P410)</f>
        <v>7.73</v>
      </c>
    </row>
    <row r="412" spans="1:20" s="350" customFormat="1" ht="18.600000000000001" thickTop="1" thickBot="1">
      <c r="A412" s="349" t="s">
        <v>6533</v>
      </c>
      <c r="C412" s="3818" t="s">
        <v>5536</v>
      </c>
      <c r="D412" s="3818"/>
      <c r="E412" s="3818"/>
      <c r="F412" s="3818"/>
      <c r="G412" s="351"/>
      <c r="H412" s="352"/>
      <c r="I412" s="352"/>
      <c r="J412" s="3828" t="s">
        <v>4288</v>
      </c>
      <c r="K412" s="3829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4136</v>
      </c>
      <c r="N413" s="1342">
        <v>20.100000000000001</v>
      </c>
      <c r="O413" s="1343">
        <v>11.1</v>
      </c>
      <c r="P413" s="1344">
        <v>16</v>
      </c>
      <c r="Q413" s="502" t="s">
        <v>4137</v>
      </c>
      <c r="R413" s="1346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71" cm="1">
        <f t="array" ref="D415">INDEX('5층_부하량'!F3:F3000,MATCH(1,("5-DaHall 1-PDU-16"='5층_부하량'!A3:A3000)*(1='5층_부하량'!B3:B3000),0))</f>
        <v>4.75</v>
      </c>
      <c r="E415" s="2571" cm="1">
        <f t="array" ref="E415">INDEX('5층_부하량'!G3:G3000,MATCH(1,("5-DaHall 1-PDU-16"='5층_부하량'!A3:A3000)*(1='5층_부하량'!B3:B3000),0))</f>
        <v>1.3599999999999999</v>
      </c>
      <c r="F415" s="2571" cm="1">
        <f t="array" ref="F415">INDEX('5층_부하량'!H3:H3000,MATCH(1,("5-DaHall 1-PDU-16"='5층_부하량'!A3:A3000)*(1='5층_부하량'!B3:B3000),0))</f>
        <v>6.11</v>
      </c>
      <c r="G415" s="371"/>
      <c r="H415" s="367" t="s">
        <v>5466</v>
      </c>
      <c r="I415" s="2341" t="s">
        <v>5467</v>
      </c>
      <c r="J415" s="1021" t="s">
        <v>3514</v>
      </c>
      <c r="K415" s="1022" t="s">
        <v>5468</v>
      </c>
      <c r="L415" s="1152" t="s">
        <v>5469</v>
      </c>
      <c r="M415" s="366" t="s">
        <v>5466</v>
      </c>
      <c r="N415" s="2571" cm="1">
        <f t="array" ref="N415">INDEX('5층_부하량'!F3:F3000,MATCH(1,("5-DaHall 1-PDU-16"='5층_부하량'!A3:A3000)*(2='5층_부하량'!B3:B3000),0))</f>
        <v>3.19</v>
      </c>
      <c r="O415" s="2571" cm="1">
        <f t="array" ref="O415">INDEX('5층_부하량'!G3:G3000,MATCH(1,("5-DaHall 1-PDU-16"='5층_부하량'!A3:A3000)*(2='5층_부하량'!B3:B3000),0))</f>
        <v>3.18</v>
      </c>
      <c r="P415" s="2571" cm="1">
        <f t="array" ref="P415">INDEX('5층_부하량'!H3:H3000,MATCH(1,("5-DaHall 1-PDU-16"='5층_부하량'!A3:A3000)*(2='5층_부하량'!B3:B3000),0))</f>
        <v>1.88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2" cm="1">
        <f t="array" ref="D416">INDEX('5층_부하량'!F3:F3000,MATCH(1,("5-DaHall 1-PDU-16"='5층_부하량'!A3:A3000)*(3='5층_부하량'!B3:B3000),0))</f>
        <v>0</v>
      </c>
      <c r="E416" s="2572" cm="1">
        <f t="array" ref="E416">INDEX('5층_부하량'!G3:G3000,MATCH(1,("5-DaHall 1-PDU-16"='5층_부하량'!A3:A3000)*(3='5층_부하량'!B3:B3000),0))</f>
        <v>0</v>
      </c>
      <c r="F416" s="2572" cm="1">
        <f t="array" ref="F416">INDEX('5층_부하량'!H3:H3000,MATCH(1,("5-DaHall 1-PDU-16"='5층_부하량'!A3:A3000)*(3='5층_부하량'!B3:B3000),0))</f>
        <v>0</v>
      </c>
      <c r="G416" s="377"/>
      <c r="H416" s="376" t="s">
        <v>5471</v>
      </c>
      <c r="I416" s="2345" t="s">
        <v>5472</v>
      </c>
      <c r="J416" s="1023"/>
      <c r="K416" s="1296" t="s">
        <v>5473</v>
      </c>
      <c r="L416" s="1418" t="s">
        <v>5474</v>
      </c>
      <c r="M416" s="376" t="s">
        <v>5466</v>
      </c>
      <c r="N416" s="2569" cm="1">
        <f t="array" ref="N416">INDEX('5층_부하량'!F3:F3000,MATCH(1,("5-DaHall 1-PDU-16"='5층_부하량'!A3:A3000)*(4='5층_부하량'!B3:B3000),0))</f>
        <v>0</v>
      </c>
      <c r="O416" s="2569" cm="1">
        <f t="array" ref="O416">INDEX('5층_부하량'!G3:G3000,MATCH(1,("5-DaHall 1-PDU-16"='5층_부하량'!A3:A3000)*(4='5층_부하량'!B3:B3000),0))</f>
        <v>0</v>
      </c>
      <c r="P416" s="2569" cm="1">
        <f t="array" ref="P416">INDEX('5층_부하량'!H3:H3000,MATCH(1,("5-DaHall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7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9" cm="1">
        <f t="array" ref="D417">INDEX('5층_부하량'!F3:F3000,MATCH(1,("5-DaHall 1-PDU-16"='5층_부하량'!A3:A3000)*(5='5층_부하량'!B3:B3000),0))</f>
        <v>0</v>
      </c>
      <c r="E417" s="2569" cm="1">
        <f t="array" ref="E417">INDEX('5층_부하량'!G3:G3000,MATCH(1,("5-DaHall 1-PDU-16"='5층_부하량'!A3:A3000)*(5='5층_부하량'!B3:B3000),0))</f>
        <v>0</v>
      </c>
      <c r="F417" s="2569" cm="1">
        <f t="array" ref="F417">INDEX('5층_부하량'!H3:H3000,MATCH(1,("5-DaHall 1-PDU-16"='5층_부하량'!A3:A3000)*(5='5층_부하량'!B3:B3000),0))</f>
        <v>0</v>
      </c>
      <c r="G417" s="381"/>
      <c r="H417" s="376" t="s">
        <v>5359</v>
      </c>
      <c r="I417" s="2345" t="s">
        <v>5477</v>
      </c>
      <c r="J417" s="1025"/>
      <c r="K417" s="1026"/>
      <c r="L417" s="1419" t="s">
        <v>5478</v>
      </c>
      <c r="M417" s="376" t="s">
        <v>5359</v>
      </c>
      <c r="N417" s="2569" cm="1">
        <f t="array" ref="N417">INDEX('5층_부하량'!F3:F3000,MATCH(1,("5-DaHall 1-PDU-16"='5층_부하량'!A3:A3000)*(6='5층_부하량'!B3:B3000),0))</f>
        <v>0</v>
      </c>
      <c r="O417" s="2569" cm="1">
        <f t="array" ref="O417">INDEX('5층_부하량'!G3:G3000,MATCH(1,("5-DaHall 1-PDU-16"='5층_부하량'!A3:A3000)*(6='5층_부하량'!B3:B3000),0))</f>
        <v>0</v>
      </c>
      <c r="P417" s="2569" cm="1">
        <f t="array" ref="P417">INDEX('5층_부하량'!H3:H3000,MATCH(1,("5-DaHall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70" t="s">
        <v>5541</v>
      </c>
      <c r="B418" s="376" t="s">
        <v>4204</v>
      </c>
      <c r="C418" s="383" t="s">
        <v>4149</v>
      </c>
      <c r="D418" s="2569" cm="1">
        <f t="array" ref="D418">INDEX('5층_부하량'!F3:F3000,MATCH(1,("5-DaHall 1-PDU-16"='5층_부하량'!A3:A3000)*(7='5층_부하량'!B3:B3000),0))</f>
        <v>4.0599999999999996</v>
      </c>
      <c r="E418" s="381"/>
      <c r="F418" s="381"/>
      <c r="G418" s="381"/>
      <c r="H418" s="376" t="s">
        <v>5359</v>
      </c>
      <c r="I418" s="1185" t="s">
        <v>4218</v>
      </c>
      <c r="J418" s="1025" t="s">
        <v>2610</v>
      </c>
      <c r="K418" s="1026"/>
      <c r="L418" s="1414" t="s">
        <v>4167</v>
      </c>
      <c r="M418" s="376" t="s">
        <v>5368</v>
      </c>
      <c r="N418" s="2569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1" t="s">
        <v>5542</v>
      </c>
      <c r="B419" s="87" t="s">
        <v>4204</v>
      </c>
      <c r="C419" s="88" t="s">
        <v>4149</v>
      </c>
      <c r="D419" s="392"/>
      <c r="E419" s="2563" cm="1">
        <f t="array" ref="E419">INDEX('5층_부하량'!G3:G3000,MATCH(1,("5-DaHall 1-PDU-16"='5층_부하량'!A3:A3000)*(9='5층_부하량'!B3:B3000),0))</f>
        <v>1.8199999999999998</v>
      </c>
      <c r="F419" s="392"/>
      <c r="G419" s="392"/>
      <c r="H419" s="391" t="s">
        <v>5359</v>
      </c>
      <c r="I419" s="1192" t="s">
        <v>4221</v>
      </c>
      <c r="J419" s="1025" t="s">
        <v>2610</v>
      </c>
      <c r="K419" s="1027"/>
      <c r="L419" s="1420" t="s">
        <v>4170</v>
      </c>
      <c r="M419" s="391" t="s">
        <v>5368</v>
      </c>
      <c r="N419" s="392"/>
      <c r="O419" s="2575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5" t="s">
        <v>5543</v>
      </c>
      <c r="B420" s="376" t="s">
        <v>4204</v>
      </c>
      <c r="C420" s="383" t="s">
        <v>4149</v>
      </c>
      <c r="D420" s="395"/>
      <c r="E420" s="395"/>
      <c r="F420" s="2573" cm="1">
        <f t="array" ref="F420">INDEX('5층_부하량'!H3:H3000,MATCH(1,("5-DaHall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8"/>
      <c r="K420" s="1029" t="s">
        <v>5485</v>
      </c>
      <c r="L420" s="574" t="s">
        <v>4173</v>
      </c>
      <c r="M420" s="366" t="s">
        <v>5363</v>
      </c>
      <c r="N420" s="395"/>
      <c r="O420" s="395"/>
      <c r="P420" s="2573" cm="1">
        <f t="array" ref="P420">INDEX('5층_부하량'!H3:H3000,MATCH(1,("5-DaHall 1-PDU-16"='5층_부하량'!A3:A3000)*(12='5층_부하량'!B3:B3000),0))</f>
        <v>2.59</v>
      </c>
      <c r="Q420" s="395"/>
      <c r="R420" s="396" t="s">
        <v>4208</v>
      </c>
      <c r="S420" s="383" t="s">
        <v>4149</v>
      </c>
      <c r="T420" s="969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9" cm="1">
        <f t="array" ref="D421">INDEX('5층_부하량'!F3:F3000,MATCH(1,("5-DaHall 1-PDU-16"='5층_부하량'!A3:A3000)*(13='5층_부하량'!B3:B3000),0))</f>
        <v>1.6600000000000001</v>
      </c>
      <c r="E421" s="381"/>
      <c r="F421" s="381"/>
      <c r="G421" s="381"/>
      <c r="H421" s="376" t="s">
        <v>5363</v>
      </c>
      <c r="I421" s="552" t="s">
        <v>4230</v>
      </c>
      <c r="J421" s="1025"/>
      <c r="K421" s="1026"/>
      <c r="L421" s="1414" t="s">
        <v>4175</v>
      </c>
      <c r="M421" s="376" t="s">
        <v>5363</v>
      </c>
      <c r="N421" s="2569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5" t="s">
        <v>3490</v>
      </c>
      <c r="B422" s="376" t="s">
        <v>4204</v>
      </c>
      <c r="C422" s="383" t="s">
        <v>4149</v>
      </c>
      <c r="D422" s="381"/>
      <c r="E422" s="2569" cm="1">
        <f t="array" ref="E422">INDEX('5층_부하량'!G3:G3000,MATCH(1,("5-DaHall 1-PDU-16"='5층_부하량'!A3:A3000)*(15='5층_부하량'!B3:B3000),0))</f>
        <v>3.05</v>
      </c>
      <c r="F422" s="381"/>
      <c r="G422" s="381"/>
      <c r="H422" s="2346" t="s">
        <v>5547</v>
      </c>
      <c r="I422" s="552" t="s">
        <v>4234</v>
      </c>
      <c r="J422" s="1025"/>
      <c r="K422" s="1026"/>
      <c r="L422" s="1414" t="s">
        <v>4177</v>
      </c>
      <c r="M422" s="376" t="s">
        <v>5384</v>
      </c>
      <c r="N422" s="381"/>
      <c r="O422" s="2569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5" t="s">
        <v>3494</v>
      </c>
      <c r="B423" s="376" t="s">
        <v>4204</v>
      </c>
      <c r="C423" s="383" t="s">
        <v>4149</v>
      </c>
      <c r="D423" s="381"/>
      <c r="E423" s="381"/>
      <c r="F423" s="2569" cm="1">
        <f t="array" ref="F423">INDEX('5층_부하량'!H3:H3000,MATCH(1,("5-DaHall 1-PDU-16"='5층_부하량'!A3:A3000)*(17='5층_부하량'!B3:B3000),0))</f>
        <v>3.02</v>
      </c>
      <c r="G423" s="381"/>
      <c r="H423" s="376" t="s">
        <v>5384</v>
      </c>
      <c r="I423" s="552" t="s">
        <v>4238</v>
      </c>
      <c r="J423" s="1025"/>
      <c r="K423" s="1026"/>
      <c r="L423" s="1414" t="s">
        <v>4179</v>
      </c>
      <c r="M423" s="376" t="s">
        <v>5384</v>
      </c>
      <c r="N423" s="381"/>
      <c r="O423" s="381"/>
      <c r="P423" s="2569" cm="1">
        <f t="array" ref="P423">INDEX('5층_부하량'!H3:H3000,MATCH(1,("5-DaHall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5" t="s">
        <v>3496</v>
      </c>
      <c r="B424" s="376" t="s">
        <v>4204</v>
      </c>
      <c r="C424" s="383" t="s">
        <v>4149</v>
      </c>
      <c r="D424" s="2569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5"/>
      <c r="K424" s="2240" t="s">
        <v>5548</v>
      </c>
      <c r="L424" s="1414" t="s">
        <v>4183</v>
      </c>
      <c r="M424" s="376" t="s">
        <v>5384</v>
      </c>
      <c r="N424" s="2569" cm="1">
        <f t="array" ref="N424">INDEX('5층_부하량'!F3:F3000,MATCH(1,("5-DaHall 1-PDU-16"='5층_부하량'!A3:A3000)*(20='5층_부하량'!B3:B3000),0))</f>
        <v>0.61</v>
      </c>
      <c r="O424" s="381"/>
      <c r="P424" s="381"/>
      <c r="Q424" s="381"/>
      <c r="R424" s="376" t="s">
        <v>4153</v>
      </c>
      <c r="S424" s="383" t="s">
        <v>4149</v>
      </c>
      <c r="T424" s="2241" t="s">
        <v>3730</v>
      </c>
    </row>
    <row r="425" spans="1:20" s="350" customFormat="1" ht="26.4">
      <c r="A425" s="2239" t="s">
        <v>5549</v>
      </c>
      <c r="B425" s="376" t="s">
        <v>4204</v>
      </c>
      <c r="C425" s="383" t="s">
        <v>4149</v>
      </c>
      <c r="D425" s="381"/>
      <c r="E425" s="2569" cm="1">
        <f t="array" ref="E425">INDEX('5층_부하량'!G3:G3000,MATCH(1,("5-DaHall 1-PDU-16"='5층_부하량'!A3:A3000)*(21='5층_부하량'!B3:B3000),0))</f>
        <v>0.67</v>
      </c>
      <c r="F425" s="381"/>
      <c r="G425" s="381"/>
      <c r="H425" s="376" t="s">
        <v>5384</v>
      </c>
      <c r="I425" s="1413" t="s">
        <v>4247</v>
      </c>
      <c r="J425" s="1025"/>
      <c r="K425" s="2240" t="s">
        <v>5550</v>
      </c>
      <c r="L425" s="1414" t="s">
        <v>4187</v>
      </c>
      <c r="M425" s="376" t="s">
        <v>5384</v>
      </c>
      <c r="N425" s="381"/>
      <c r="O425" s="2569" cm="1">
        <f t="array" ref="O425">INDEX('5층_부하량'!G3:G3000,MATCH(1,("5-DaHall 1-PDU-16"='5층_부하량'!A3:A3000)*(22='5층_부하량'!B3:B3000),0))</f>
        <v>0.6</v>
      </c>
      <c r="P425" s="381"/>
      <c r="Q425" s="381"/>
      <c r="R425" s="376" t="s">
        <v>4153</v>
      </c>
      <c r="S425" s="383" t="s">
        <v>4149</v>
      </c>
      <c r="T425" s="2241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9" cm="1">
        <f t="array" ref="F426">INDEX('5층_부하량'!H3:H3000,MATCH(1,("5-DaHall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3" t="s">
        <v>5551</v>
      </c>
      <c r="K426" s="1024" t="s">
        <v>5551</v>
      </c>
      <c r="L426" s="571" t="s">
        <v>4253</v>
      </c>
      <c r="M426" s="376" t="s">
        <v>5384</v>
      </c>
      <c r="N426" s="381"/>
      <c r="O426" s="381"/>
      <c r="P426" s="2569" cm="1">
        <f t="array" ref="P426">INDEX('5층_부하량'!H3:H3000,MATCH(1,("5-DaHall 1-PDU-16"='5층_부하량'!A3:A3000)*(24='5층_부하량'!B3:B3000),0))</f>
        <v>3.27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9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5384</v>
      </c>
      <c r="I427" s="552" t="s">
        <v>4256</v>
      </c>
      <c r="J427" s="1023" t="s">
        <v>5551</v>
      </c>
      <c r="K427" s="1024"/>
      <c r="L427" s="1417" t="s">
        <v>4258</v>
      </c>
      <c r="M427" s="376" t="s">
        <v>5384</v>
      </c>
      <c r="N427" s="2569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9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5384</v>
      </c>
      <c r="I428" s="552" t="s">
        <v>4261</v>
      </c>
      <c r="J428" s="1023" t="s">
        <v>5551</v>
      </c>
      <c r="K428" s="1026" t="s">
        <v>5552</v>
      </c>
      <c r="L428" s="1186" t="s">
        <v>4262</v>
      </c>
      <c r="M428" s="376" t="s">
        <v>5384</v>
      </c>
      <c r="N428" s="381"/>
      <c r="O428" s="2569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4" cm="1">
        <f t="array" ref="F429">INDEX('5층_부하량'!H3:H3000,MATCH(1,("5-DaHall 1-PDU-16"='5층_부하량'!A3:A3000)*(29='5층_부하량'!B3:B3000),0))</f>
        <v>2.23</v>
      </c>
      <c r="G429" s="402"/>
      <c r="H429" s="401" t="s">
        <v>5384</v>
      </c>
      <c r="I429" s="554" t="s">
        <v>4264</v>
      </c>
      <c r="J429" s="1042" t="s">
        <v>5551</v>
      </c>
      <c r="K429" s="1043" t="s">
        <v>5551</v>
      </c>
      <c r="L429" s="579" t="s">
        <v>4265</v>
      </c>
      <c r="M429" s="401" t="s">
        <v>5384</v>
      </c>
      <c r="N429" s="402"/>
      <c r="O429" s="402"/>
      <c r="P429" s="2574" cm="1">
        <f t="array" ref="P429">INDEX('5층_부하량'!H3:H3000,MATCH(1,("5-DaHall 1-PDU-16"='5층_부하량'!A3:A3000)*(30='5층_부하량'!B3:B3000),0))</f>
        <v>0.51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3"/>
      <c r="M430" s="405" t="s">
        <v>5218</v>
      </c>
      <c r="N430" s="406">
        <f>SUM(D415:D429,N415:N429)</f>
        <v>21.339999999999996</v>
      </c>
      <c r="O430" s="406">
        <f>SUM(E415:E429,O415:O429)</f>
        <v>13.509999999999998</v>
      </c>
      <c r="P430" s="406">
        <f>SUM(F415:F429,P415:P429)</f>
        <v>19.610000000000003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828" t="s">
        <v>5555</v>
      </c>
      <c r="K431" s="3829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4136</v>
      </c>
      <c r="N432" s="1342">
        <v>0</v>
      </c>
      <c r="O432" s="1343">
        <v>0</v>
      </c>
      <c r="P432" s="1344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41" t="s">
        <v>5467</v>
      </c>
      <c r="J434" s="369"/>
      <c r="K434" s="370"/>
      <c r="L434" s="1152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2" t="s">
        <v>5472</v>
      </c>
      <c r="J435" s="378" t="s">
        <v>5551</v>
      </c>
      <c r="K435" s="379"/>
      <c r="L435" s="1153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818" t="s">
        <v>5560</v>
      </c>
      <c r="D443" s="3818"/>
      <c r="E443" s="3818"/>
      <c r="F443" s="3818"/>
      <c r="G443" s="351"/>
      <c r="H443" s="352"/>
      <c r="I443" s="352"/>
      <c r="J443" s="3828" t="s">
        <v>4636</v>
      </c>
      <c r="K443" s="3829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4136</v>
      </c>
      <c r="N444" s="1342">
        <v>5.5</v>
      </c>
      <c r="O444" s="1343">
        <v>7.2</v>
      </c>
      <c r="P444" s="1344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8" cm="1">
        <f t="array" ref="D446">INDEX('5층_부하량'!F3:F3000,MATCH(1,("5-DaHall 1-PDU-17"='5층_부하량'!A3:A3000)*(1='5층_부하량'!B3:B3000),0))</f>
        <v>0.73</v>
      </c>
      <c r="E446" s="395"/>
      <c r="F446" s="395"/>
      <c r="G446" s="368"/>
      <c r="H446" s="2348" t="s">
        <v>4171</v>
      </c>
      <c r="I446" s="2349" t="s">
        <v>4151</v>
      </c>
      <c r="J446" s="1021" t="s">
        <v>5563</v>
      </c>
      <c r="K446" s="1022" t="s">
        <v>5564</v>
      </c>
      <c r="L446" s="581" t="s">
        <v>4436</v>
      </c>
      <c r="M446" s="366" t="s">
        <v>4171</v>
      </c>
      <c r="N446" s="2568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5562</v>
      </c>
      <c r="S446" s="373" t="s">
        <v>4149</v>
      </c>
      <c r="T446" s="1207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2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4171</v>
      </c>
      <c r="I447" s="1294" t="s">
        <v>4156</v>
      </c>
      <c r="J447" s="1023" t="s">
        <v>5567</v>
      </c>
      <c r="K447" s="1024" t="s">
        <v>5568</v>
      </c>
      <c r="L447" s="571" t="s">
        <v>4438</v>
      </c>
      <c r="M447" s="1293" t="s">
        <v>4171</v>
      </c>
      <c r="N447" s="381"/>
      <c r="O447" s="2562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9" cm="1">
        <f t="array" ref="F448">INDEX('5층_부하량'!H3:H3000,MATCH(1,("5-DaHall 1-PDU-17"='5층_부하량'!A3:A3000)*(5='5층_부하량'!B3:B3000),0))</f>
        <v>0</v>
      </c>
      <c r="G448" s="381"/>
      <c r="H448" s="1293" t="s">
        <v>4171</v>
      </c>
      <c r="I448" s="1294" t="s">
        <v>4161</v>
      </c>
      <c r="J448" s="1023" t="s">
        <v>5571</v>
      </c>
      <c r="K448" s="1026" t="s">
        <v>5572</v>
      </c>
      <c r="L448" s="572" t="s">
        <v>4441</v>
      </c>
      <c r="M448" s="1293" t="s">
        <v>4171</v>
      </c>
      <c r="N448" s="381"/>
      <c r="O448" s="381"/>
      <c r="P448" s="2569" cm="1">
        <f t="array" ref="P448">INDEX('5층_부하량'!H3:H3000,MATCH(1,("5-DaHall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9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4171</v>
      </c>
      <c r="I449" s="1294" t="s">
        <v>4218</v>
      </c>
      <c r="J449" s="1023" t="s">
        <v>5575</v>
      </c>
      <c r="K449" s="1024" t="s">
        <v>5576</v>
      </c>
      <c r="L449" s="572" t="s">
        <v>4167</v>
      </c>
      <c r="M449" s="1293" t="s">
        <v>4171</v>
      </c>
      <c r="N449" s="2569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2" cm="1">
        <f t="array" ref="E450">INDEX('5층_부하량'!G3:G3000,MATCH(1,("5-DaHall 1-PDU-17"='5층_부하량'!A3:A3000)*(9='5층_부하량'!B3:B3000),0))</f>
        <v>7.36</v>
      </c>
      <c r="F450" s="381"/>
      <c r="G450" s="381"/>
      <c r="H450" s="1293" t="s">
        <v>4171</v>
      </c>
      <c r="I450" s="1294" t="s">
        <v>4221</v>
      </c>
      <c r="J450" s="1023" t="s">
        <v>5579</v>
      </c>
      <c r="K450" s="1026" t="s">
        <v>5580</v>
      </c>
      <c r="L450" s="572" t="s">
        <v>4170</v>
      </c>
      <c r="M450" s="1293" t="s">
        <v>4171</v>
      </c>
      <c r="N450" s="381"/>
      <c r="O450" s="2562" cm="1">
        <f t="array" ref="O450">INDEX('5층_부하량'!G3:G3000,MATCH(1,("5-DaHall 1-PDU-17"='5층_부하량'!A3:A3000)*(10='5층_부하량'!B3:B3000),0))</f>
        <v>6.65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9" cm="1">
        <f t="array" ref="F451">INDEX('5층_부하량'!H3:H3000,MATCH(1,("5-DaHall 1-PDU-17"='5층_부하량'!A3:A3000)*(11='5층_부하량'!B3:B3000),0))</f>
        <v>0.54</v>
      </c>
      <c r="G451" s="381"/>
      <c r="H451" s="1293" t="s">
        <v>4171</v>
      </c>
      <c r="I451" s="1294" t="s">
        <v>4226</v>
      </c>
      <c r="J451" s="1023" t="s">
        <v>5583</v>
      </c>
      <c r="K451" s="1024" t="s">
        <v>5584</v>
      </c>
      <c r="L451" s="572" t="s">
        <v>4173</v>
      </c>
      <c r="M451" s="1293" t="s">
        <v>4171</v>
      </c>
      <c r="N451" s="381"/>
      <c r="O451" s="381"/>
      <c r="P451" s="2569" cm="1">
        <f t="array" ref="P451">INDEX('5층_부하량'!H3:H3000,MATCH(1,("5-DaHall 1-PDU-17"='5층_부하량'!A3:A3000)*(12='5층_부하량'!B3:B3000),0))</f>
        <v>1.1400000000000001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9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4171</v>
      </c>
      <c r="I452" s="1294" t="s">
        <v>4230</v>
      </c>
      <c r="J452" s="1023" t="s">
        <v>5587</v>
      </c>
      <c r="K452" s="1026" t="s">
        <v>5588</v>
      </c>
      <c r="L452" s="572" t="s">
        <v>4175</v>
      </c>
      <c r="M452" s="1293" t="s">
        <v>4171</v>
      </c>
      <c r="N452" s="2569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6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6" t="s">
        <v>4296</v>
      </c>
      <c r="D453" s="381"/>
      <c r="E453" s="2569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5591</v>
      </c>
      <c r="I453" s="1294" t="s">
        <v>4234</v>
      </c>
      <c r="J453" s="1023" t="s">
        <v>5592</v>
      </c>
      <c r="K453" s="1024" t="s">
        <v>5593</v>
      </c>
      <c r="L453" s="572" t="s">
        <v>4177</v>
      </c>
      <c r="M453" s="1293" t="s">
        <v>4171</v>
      </c>
      <c r="N453" s="381"/>
      <c r="O453" s="2569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5562</v>
      </c>
      <c r="S453" s="1206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9" cm="1">
        <f t="array" ref="F454">INDEX('5층_부하량'!H3:H3000,MATCH(1,("5-DaHall 1-PDU-17"='5층_부하량'!A3:A3000)*(17='5층_부하량'!B3:B3000),0))</f>
        <v>0.78</v>
      </c>
      <c r="G454" s="381"/>
      <c r="H454" s="1206" t="s">
        <v>4171</v>
      </c>
      <c r="I454" s="1294" t="s">
        <v>4238</v>
      </c>
      <c r="J454" s="1023" t="s">
        <v>5596</v>
      </c>
      <c r="K454" s="1026" t="s">
        <v>5597</v>
      </c>
      <c r="L454" s="572" t="s">
        <v>4179</v>
      </c>
      <c r="M454" s="1293" t="s">
        <v>4171</v>
      </c>
      <c r="N454" s="381"/>
      <c r="O454" s="381"/>
      <c r="P454" s="2569" cm="1">
        <f t="array" ref="P454">INDEX('5층_부하량'!H3:H3000,MATCH(1,("5-DaHall 1-PDU-17"='5층_부하량'!A3:A3000)*(18='5층_부하량'!B3:B3000),0))</f>
        <v>0</v>
      </c>
      <c r="Q454" s="381"/>
      <c r="R454" s="382" t="s">
        <v>5562</v>
      </c>
      <c r="S454" s="1206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6" t="s">
        <v>4296</v>
      </c>
      <c r="D455" s="2569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4171</v>
      </c>
      <c r="I455" s="1294" t="s">
        <v>4243</v>
      </c>
      <c r="J455" s="1023" t="s">
        <v>5600</v>
      </c>
      <c r="K455" s="1024" t="s">
        <v>5601</v>
      </c>
      <c r="L455" s="572" t="s">
        <v>4183</v>
      </c>
      <c r="M455" s="1293" t="s">
        <v>4171</v>
      </c>
      <c r="N455" s="2569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6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6" t="s">
        <v>4296</v>
      </c>
      <c r="D456" s="381"/>
      <c r="E456" s="2562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4171</v>
      </c>
      <c r="I456" s="1294" t="s">
        <v>4186</v>
      </c>
      <c r="J456" s="1023" t="s">
        <v>5604</v>
      </c>
      <c r="K456" s="1026" t="s">
        <v>5605</v>
      </c>
      <c r="L456" s="572" t="s">
        <v>4466</v>
      </c>
      <c r="M456" s="1293" t="s">
        <v>4171</v>
      </c>
      <c r="N456" s="381"/>
      <c r="O456" s="2562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5562</v>
      </c>
      <c r="S456" s="1206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6" t="s">
        <v>4296</v>
      </c>
      <c r="D457" s="381"/>
      <c r="E457" s="381"/>
      <c r="F457" s="2569" cm="1">
        <f t="array" ref="F457">INDEX('5층_부하량'!H3:H3000,MATCH(1,("5-DaHall 1-PDU-17"='5층_부하량'!A3:A3000)*(23='5층_부하량'!B3:B3000),0))</f>
        <v>0</v>
      </c>
      <c r="G457" s="411"/>
      <c r="H457" s="1295" t="s">
        <v>4171</v>
      </c>
      <c r="I457" s="1294" t="s">
        <v>4469</v>
      </c>
      <c r="J457" s="1035" t="s">
        <v>5608</v>
      </c>
      <c r="K457" s="1024" t="s">
        <v>5609</v>
      </c>
      <c r="L457" s="572" t="s">
        <v>4470</v>
      </c>
      <c r="M457" s="1295" t="s">
        <v>4171</v>
      </c>
      <c r="N457" s="381"/>
      <c r="O457" s="381"/>
      <c r="P457" s="2569" cm="1">
        <f t="array" ref="P457">INDEX('5층_부하량'!H3:H3000,MATCH(1,("5-DaHall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9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4171</v>
      </c>
      <c r="I458" s="2350" t="s">
        <v>5612</v>
      </c>
      <c r="J458" s="1035" t="s">
        <v>5613</v>
      </c>
      <c r="K458" s="1026"/>
      <c r="L458" s="583" t="s">
        <v>4474</v>
      </c>
      <c r="M458" s="409" t="s">
        <v>4171</v>
      </c>
      <c r="N458" s="2569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4296</v>
      </c>
      <c r="T458" s="407"/>
    </row>
    <row r="459" spans="1:20" s="350" customFormat="1" ht="17.399999999999999">
      <c r="A459" s="390"/>
      <c r="B459" s="1289" t="s">
        <v>535</v>
      </c>
      <c r="C459" s="1290" t="s">
        <v>4296</v>
      </c>
      <c r="D459" s="381"/>
      <c r="E459" s="2569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4171</v>
      </c>
      <c r="I459" s="2350" t="s">
        <v>5614</v>
      </c>
      <c r="J459" s="1035"/>
      <c r="K459" s="1292"/>
      <c r="L459" s="583" t="s">
        <v>4479</v>
      </c>
      <c r="M459" s="409" t="s">
        <v>4171</v>
      </c>
      <c r="N459" s="381"/>
      <c r="O459" s="2569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4296</v>
      </c>
      <c r="T459" s="407"/>
    </row>
    <row r="460" spans="1:20" s="350" customFormat="1" ht="17.399999999999999">
      <c r="A460" s="390"/>
      <c r="B460" s="1289" t="s">
        <v>535</v>
      </c>
      <c r="C460" s="1290" t="s">
        <v>4296</v>
      </c>
      <c r="D460" s="381"/>
      <c r="E460" s="381"/>
      <c r="F460" s="2569" cm="1">
        <f t="array" ref="F460">INDEX('5층_부하량'!H3:H3000,MATCH(1,("5-DaHall 1-PDU-17"='5층_부하량'!A3:A3000)*(29='5층_부하량'!B3:B3000),0))</f>
        <v>0</v>
      </c>
      <c r="G460" s="411"/>
      <c r="H460" s="409" t="s">
        <v>4171</v>
      </c>
      <c r="I460" s="2350" t="s">
        <v>5615</v>
      </c>
      <c r="J460" s="1035"/>
      <c r="K460" s="1292"/>
      <c r="L460" s="583" t="s">
        <v>4484</v>
      </c>
      <c r="M460" s="409" t="s">
        <v>4171</v>
      </c>
      <c r="N460" s="381"/>
      <c r="O460" s="381"/>
      <c r="P460" s="2569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4296</v>
      </c>
      <c r="T460" s="407"/>
    </row>
    <row r="461" spans="1:20" s="350" customFormat="1" ht="17.399999999999999">
      <c r="A461" s="390"/>
      <c r="B461" s="1289" t="s">
        <v>535</v>
      </c>
      <c r="C461" s="1290" t="s">
        <v>4296</v>
      </c>
      <c r="D461" s="2569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50" t="s">
        <v>5616</v>
      </c>
      <c r="J461" s="1035"/>
      <c r="K461" s="1292"/>
      <c r="L461" s="583" t="s">
        <v>4488</v>
      </c>
      <c r="M461" s="409" t="s">
        <v>4171</v>
      </c>
      <c r="N461" s="2569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70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4171</v>
      </c>
      <c r="I462" s="2351" t="s">
        <v>5617</v>
      </c>
      <c r="J462" s="1040"/>
      <c r="K462" s="1204"/>
      <c r="L462" s="1205" t="s">
        <v>4492</v>
      </c>
      <c r="M462" s="426" t="s">
        <v>4171</v>
      </c>
      <c r="N462" s="427"/>
      <c r="O462" s="2570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3"/>
      <c r="M463" s="405" t="s">
        <v>5218</v>
      </c>
      <c r="N463" s="406">
        <f>SUM(D446:D462,N446:N462)</f>
        <v>5.87</v>
      </c>
      <c r="O463" s="406">
        <f>SUM(E446:E462,O446:O462)</f>
        <v>14.010000000000002</v>
      </c>
      <c r="P463" s="406">
        <f>SUM(F446:F462,P446:P462)</f>
        <v>2.46</v>
      </c>
    </row>
    <row r="464" spans="1:20" s="350" customFormat="1" ht="18.600000000000001" thickTop="1" thickBot="1">
      <c r="A464" s="349" t="s">
        <v>6535</v>
      </c>
      <c r="C464" s="3818" t="s">
        <v>5618</v>
      </c>
      <c r="D464" s="3818"/>
      <c r="E464" s="3818"/>
      <c r="F464" s="3818"/>
      <c r="G464" s="351"/>
      <c r="H464" s="352"/>
      <c r="I464" s="352"/>
      <c r="J464" s="3828" t="s">
        <v>4636</v>
      </c>
      <c r="K464" s="3829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4136</v>
      </c>
      <c r="N465" s="1342">
        <v>4.5999999999999996</v>
      </c>
      <c r="O465" s="1343">
        <v>5</v>
      </c>
      <c r="P465" s="1344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8" cm="1">
        <f t="array" ref="D467">INDEX('5층_부하량'!F3:F3000,MATCH(1,("5-DaHall 1-PDU-18"='5층_부하량'!A3:A3000)*(1='5층_부하량'!B3:B3000),0))</f>
        <v>1.1100000000000001</v>
      </c>
      <c r="E467" s="395"/>
      <c r="F467" s="395"/>
      <c r="G467" s="368"/>
      <c r="H467" s="2348" t="s">
        <v>4171</v>
      </c>
      <c r="I467" s="2349" t="s">
        <v>4151</v>
      </c>
      <c r="J467" s="1021" t="s">
        <v>5619</v>
      </c>
      <c r="K467" s="1022" t="s">
        <v>5620</v>
      </c>
      <c r="L467" s="581" t="s">
        <v>4436</v>
      </c>
      <c r="M467" s="366" t="s">
        <v>4171</v>
      </c>
      <c r="N467" s="2568" cm="1">
        <f t="array" ref="N467">INDEX('5층_부하량'!F3:F3000,MATCH(1,("5-DaHall 1-PDU-18"='5층_부하량'!A3:A3000)*(2='5층_부하량'!B3:B3000),0))</f>
        <v>0.8</v>
      </c>
      <c r="O467" s="395"/>
      <c r="P467" s="395"/>
      <c r="Q467" s="368"/>
      <c r="R467" s="372" t="s">
        <v>5562</v>
      </c>
      <c r="S467" s="373" t="s">
        <v>4149</v>
      </c>
      <c r="T467" s="1207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2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4171</v>
      </c>
      <c r="I468" s="1294" t="s">
        <v>4156</v>
      </c>
      <c r="J468" s="1023" t="s">
        <v>5621</v>
      </c>
      <c r="K468" s="1024" t="s">
        <v>5622</v>
      </c>
      <c r="L468" s="571" t="s">
        <v>4438</v>
      </c>
      <c r="M468" s="1293" t="s">
        <v>4171</v>
      </c>
      <c r="N468" s="381"/>
      <c r="O468" s="2562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9" cm="1">
        <f t="array" ref="F469">INDEX('5층_부하량'!H3:H3000,MATCH(1,("5-DaHall 1-PDU-18"='5층_부하량'!A3:A3000)*(5='5층_부하량'!B3:B3000),0))</f>
        <v>0</v>
      </c>
      <c r="G469" s="381"/>
      <c r="H469" s="1293" t="s">
        <v>4171</v>
      </c>
      <c r="I469" s="1294" t="s">
        <v>4161</v>
      </c>
      <c r="J469" s="1023" t="s">
        <v>5623</v>
      </c>
      <c r="K469" s="1026" t="s">
        <v>5624</v>
      </c>
      <c r="L469" s="572" t="s">
        <v>4441</v>
      </c>
      <c r="M469" s="1293" t="s">
        <v>4171</v>
      </c>
      <c r="N469" s="381"/>
      <c r="O469" s="381"/>
      <c r="P469" s="2569" cm="1">
        <f t="array" ref="P469">INDEX('5층_부하량'!H3:H3000,MATCH(1,("5-DaHall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9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4171</v>
      </c>
      <c r="I470" s="1294" t="s">
        <v>4218</v>
      </c>
      <c r="J470" s="1023" t="s">
        <v>5625</v>
      </c>
      <c r="K470" s="1024" t="s">
        <v>5626</v>
      </c>
      <c r="L470" s="572" t="s">
        <v>4167</v>
      </c>
      <c r="M470" s="1293" t="s">
        <v>4171</v>
      </c>
      <c r="N470" s="2569" cm="1">
        <f t="array" ref="N470">INDEX('5층_부하량'!F3:F3000,MATCH(1,("5-DaHall 1-PDU-18"='5층_부하량'!A3:A3000)*(8='5층_부하량'!B3:B3000),0))</f>
        <v>2.29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2" cm="1">
        <f t="array" ref="E471">INDEX('5층_부하량'!G3:G3000,MATCH(1,("5-DaHall 1-PDU-18"='5층_부하량'!A3:A3000)*(9='5층_부하량'!B3:B3000),0))</f>
        <v>5.03</v>
      </c>
      <c r="F471" s="381"/>
      <c r="G471" s="381"/>
      <c r="H471" s="1293" t="s">
        <v>4171</v>
      </c>
      <c r="I471" s="1294" t="s">
        <v>4221</v>
      </c>
      <c r="J471" s="1023" t="s">
        <v>5627</v>
      </c>
      <c r="K471" s="1026" t="s">
        <v>5628</v>
      </c>
      <c r="L471" s="572" t="s">
        <v>4170</v>
      </c>
      <c r="M471" s="1293" t="s">
        <v>4171</v>
      </c>
      <c r="N471" s="381"/>
      <c r="O471" s="2562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9" cm="1">
        <f t="array" ref="F472">INDEX('5층_부하량'!H3:H3000,MATCH(1,("5-DaHall 1-PDU-18"='5층_부하량'!A3:A3000)*(11='5층_부하량'!B3:B3000),0))</f>
        <v>0.42</v>
      </c>
      <c r="G472" s="381"/>
      <c r="H472" s="1293" t="s">
        <v>4171</v>
      </c>
      <c r="I472" s="1294" t="s">
        <v>4226</v>
      </c>
      <c r="J472" s="1023" t="s">
        <v>5629</v>
      </c>
      <c r="K472" s="1024" t="s">
        <v>5630</v>
      </c>
      <c r="L472" s="572" t="s">
        <v>4173</v>
      </c>
      <c r="M472" s="1293" t="s">
        <v>4171</v>
      </c>
      <c r="N472" s="381"/>
      <c r="O472" s="381"/>
      <c r="P472" s="2569" cm="1">
        <f t="array" ref="P472">INDEX('5층_부하량'!H3:H3000,MATCH(1,("5-DaHall 1-PDU-18"='5층_부하량'!A3:A3000)*(12='5층_부하량'!B3:B3000),0))</f>
        <v>1.07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9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4171</v>
      </c>
      <c r="I473" s="1294" t="s">
        <v>4230</v>
      </c>
      <c r="J473" s="1023" t="s">
        <v>5631</v>
      </c>
      <c r="K473" s="1026" t="s">
        <v>5632</v>
      </c>
      <c r="L473" s="572" t="s">
        <v>4175</v>
      </c>
      <c r="M473" s="1293" t="s">
        <v>4171</v>
      </c>
      <c r="N473" s="2569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6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6" t="s">
        <v>4296</v>
      </c>
      <c r="D474" s="381"/>
      <c r="E474" s="2569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5591</v>
      </c>
      <c r="I474" s="1294" t="s">
        <v>4234</v>
      </c>
      <c r="J474" s="1023" t="s">
        <v>5633</v>
      </c>
      <c r="K474" s="1024" t="s">
        <v>5634</v>
      </c>
      <c r="L474" s="572" t="s">
        <v>4177</v>
      </c>
      <c r="M474" s="1293" t="s">
        <v>4171</v>
      </c>
      <c r="N474" s="381"/>
      <c r="O474" s="2569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5562</v>
      </c>
      <c r="S474" s="1206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6" t="s">
        <v>4296</v>
      </c>
      <c r="D475" s="381"/>
      <c r="E475" s="381"/>
      <c r="F475" s="2569" cm="1">
        <f t="array" ref="F475">INDEX('5층_부하량'!H3:H3000,MATCH(1,("5-DaHall 1-PDU-18"='5층_부하량'!A3:A3000)*(17='5층_부하량'!B3:B3000),0))</f>
        <v>0</v>
      </c>
      <c r="G475" s="381"/>
      <c r="H475" s="1206" t="s">
        <v>4171</v>
      </c>
      <c r="I475" s="1294" t="s">
        <v>4238</v>
      </c>
      <c r="J475" s="1023" t="s">
        <v>5635</v>
      </c>
      <c r="K475" s="1026" t="s">
        <v>5636</v>
      </c>
      <c r="L475" s="572" t="s">
        <v>4179</v>
      </c>
      <c r="M475" s="1293" t="s">
        <v>4171</v>
      </c>
      <c r="N475" s="381"/>
      <c r="O475" s="381"/>
      <c r="P475" s="2569" cm="1">
        <f t="array" ref="P475">INDEX('5층_부하량'!H3:H3000,MATCH(1,("5-DaHall 1-PDU-18"='5층_부하량'!A3:A3000)*(18='5층_부하량'!B3:B3000),0))</f>
        <v>0</v>
      </c>
      <c r="Q475" s="381"/>
      <c r="R475" s="382" t="s">
        <v>5562</v>
      </c>
      <c r="S475" s="1206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6" t="s">
        <v>4296</v>
      </c>
      <c r="D476" s="2569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4171</v>
      </c>
      <c r="I476" s="1294" t="s">
        <v>4243</v>
      </c>
      <c r="J476" s="1023" t="s">
        <v>5637</v>
      </c>
      <c r="K476" s="1024" t="s">
        <v>5638</v>
      </c>
      <c r="L476" s="572" t="s">
        <v>4183</v>
      </c>
      <c r="M476" s="1293" t="s">
        <v>4171</v>
      </c>
      <c r="N476" s="2569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6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6" t="s">
        <v>4296</v>
      </c>
      <c r="D477" s="381"/>
      <c r="E477" s="2562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4171</v>
      </c>
      <c r="I477" s="1294" t="s">
        <v>4186</v>
      </c>
      <c r="J477" s="1023" t="s">
        <v>5639</v>
      </c>
      <c r="K477" s="1026" t="s">
        <v>5640</v>
      </c>
      <c r="L477" s="572" t="s">
        <v>4466</v>
      </c>
      <c r="M477" s="1293" t="s">
        <v>4171</v>
      </c>
      <c r="N477" s="381"/>
      <c r="O477" s="2562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5562</v>
      </c>
      <c r="S477" s="1206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6" t="s">
        <v>4296</v>
      </c>
      <c r="D478" s="381"/>
      <c r="E478" s="381"/>
      <c r="F478" s="2569" cm="1">
        <f t="array" ref="F478">INDEX('5층_부하량'!H3:H3000,MATCH(1,("5-DaHall 1-PDU-18"='5층_부하량'!A3:A3000)*(23='5층_부하량'!B3:B3000),0))</f>
        <v>0</v>
      </c>
      <c r="G478" s="411"/>
      <c r="H478" s="1295" t="s">
        <v>4171</v>
      </c>
      <c r="I478" s="1294" t="s">
        <v>4469</v>
      </c>
      <c r="J478" s="1023" t="s">
        <v>5641</v>
      </c>
      <c r="K478" s="1024" t="s">
        <v>5642</v>
      </c>
      <c r="L478" s="572" t="s">
        <v>4470</v>
      </c>
      <c r="M478" s="1295" t="s">
        <v>4171</v>
      </c>
      <c r="N478" s="381"/>
      <c r="O478" s="381"/>
      <c r="P478" s="2569" cm="1">
        <f t="array" ref="P478">INDEX('5층_부하량'!H3:H3000,MATCH(1,("5-DaHall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9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4171</v>
      </c>
      <c r="I479" s="2350" t="s">
        <v>5612</v>
      </c>
      <c r="J479" s="1023" t="s">
        <v>5644</v>
      </c>
      <c r="K479" s="1292"/>
      <c r="L479" s="583" t="s">
        <v>4474</v>
      </c>
      <c r="M479" s="409" t="s">
        <v>4171</v>
      </c>
      <c r="N479" s="2569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4296</v>
      </c>
      <c r="T479" s="407"/>
    </row>
    <row r="480" spans="1:20" s="350" customFormat="1" ht="17.399999999999999">
      <c r="A480" s="390"/>
      <c r="B480" s="1289" t="s">
        <v>535</v>
      </c>
      <c r="C480" s="1290" t="s">
        <v>4296</v>
      </c>
      <c r="D480" s="381"/>
      <c r="E480" s="2569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4171</v>
      </c>
      <c r="I480" s="2350" t="s">
        <v>5614</v>
      </c>
      <c r="J480" s="1291"/>
      <c r="K480" s="1292"/>
      <c r="L480" s="583" t="s">
        <v>4479</v>
      </c>
      <c r="M480" s="409" t="s">
        <v>4171</v>
      </c>
      <c r="N480" s="381"/>
      <c r="O480" s="2569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4296</v>
      </c>
      <c r="T480" s="407"/>
    </row>
    <row r="481" spans="1:20" s="350" customFormat="1" ht="17.399999999999999">
      <c r="A481" s="390"/>
      <c r="B481" s="1289" t="s">
        <v>535</v>
      </c>
      <c r="C481" s="1290" t="s">
        <v>4296</v>
      </c>
      <c r="D481" s="381"/>
      <c r="E481" s="381"/>
      <c r="F481" s="2569" cm="1">
        <f t="array" ref="F481">INDEX('5층_부하량'!H3:H3000,MATCH(1,("5-DaHall 1-PDU-18"='5층_부하량'!A3:A3000)*(29='5층_부하량'!B3:B3000),0))</f>
        <v>0</v>
      </c>
      <c r="G481" s="411"/>
      <c r="H481" s="409" t="s">
        <v>4171</v>
      </c>
      <c r="I481" s="2350" t="s">
        <v>5615</v>
      </c>
      <c r="J481" s="1291"/>
      <c r="K481" s="1292"/>
      <c r="L481" s="583" t="s">
        <v>4484</v>
      </c>
      <c r="M481" s="409" t="s">
        <v>4171</v>
      </c>
      <c r="N481" s="381"/>
      <c r="O481" s="381"/>
      <c r="P481" s="2569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4296</v>
      </c>
      <c r="T481" s="407"/>
    </row>
    <row r="482" spans="1:20" s="350" customFormat="1" ht="17.399999999999999">
      <c r="A482" s="390"/>
      <c r="B482" s="1289" t="s">
        <v>535</v>
      </c>
      <c r="C482" s="1290" t="s">
        <v>4296</v>
      </c>
      <c r="D482" s="2569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50" t="s">
        <v>5616</v>
      </c>
      <c r="J482" s="1291"/>
      <c r="K482" s="1292"/>
      <c r="L482" s="583" t="s">
        <v>4488</v>
      </c>
      <c r="M482" s="409" t="s">
        <v>4171</v>
      </c>
      <c r="N482" s="2569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70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4171</v>
      </c>
      <c r="I483" s="2351" t="s">
        <v>5617</v>
      </c>
      <c r="J483" s="1203"/>
      <c r="K483" s="1204"/>
      <c r="L483" s="1205" t="s">
        <v>4492</v>
      </c>
      <c r="M483" s="426" t="s">
        <v>4171</v>
      </c>
      <c r="N483" s="427"/>
      <c r="O483" s="2570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3"/>
      <c r="M484" s="405" t="s">
        <v>5218</v>
      </c>
      <c r="N484" s="406">
        <f>SUM(D467:D483,N467:N483)</f>
        <v>5.22</v>
      </c>
      <c r="O484" s="406">
        <f>SUM(E467:E483,O467:O483)</f>
        <v>5.03</v>
      </c>
      <c r="P484" s="406">
        <f>SUM(F467:F483,P467:P483)</f>
        <v>1.49</v>
      </c>
    </row>
    <row r="485" spans="1:20" s="350" customFormat="1" ht="18.600000000000001" thickTop="1" thickBot="1">
      <c r="A485" s="349" t="s">
        <v>6536</v>
      </c>
      <c r="C485" s="3818" t="s">
        <v>5645</v>
      </c>
      <c r="D485" s="3818"/>
      <c r="E485" s="3818"/>
      <c r="F485" s="3818"/>
      <c r="G485" s="351"/>
      <c r="H485" s="352"/>
      <c r="I485" s="352"/>
      <c r="J485" s="3828" t="s">
        <v>4288</v>
      </c>
      <c r="K485" s="3829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4136</v>
      </c>
      <c r="N486" s="1342">
        <v>35.1</v>
      </c>
      <c r="O486" s="1343">
        <v>38.9</v>
      </c>
      <c r="P486" s="1344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8" cm="1">
        <f t="array" ref="D488">INDEX('5층_부하량'!F3:F3000,MATCH(1,("5-DaHall 1-PDU-19"='5층_부하량'!A3:A3000)*(1='5층_부하량'!B3:B3000),0))</f>
        <v>5.51</v>
      </c>
      <c r="E488" s="395"/>
      <c r="F488" s="395"/>
      <c r="G488" s="368"/>
      <c r="H488" s="2348" t="s">
        <v>4509</v>
      </c>
      <c r="I488" s="2349" t="s">
        <v>4151</v>
      </c>
      <c r="J488" s="1021"/>
      <c r="K488" s="1022"/>
      <c r="L488" s="581" t="s">
        <v>4436</v>
      </c>
      <c r="M488" s="366" t="s">
        <v>4574</v>
      </c>
      <c r="N488" s="2568" cm="1">
        <f t="array" ref="N488">INDEX('5층_부하량'!F3:F3000,MATCH(1,("5-DaHall 1-PDU-19"='5층_부하량'!A3:A3000)*(2='5층_부하량'!B3:B3000),0))</f>
        <v>14.62</v>
      </c>
      <c r="O488" s="395"/>
      <c r="P488" s="395"/>
      <c r="Q488" s="368"/>
      <c r="R488" s="372" t="s">
        <v>5562</v>
      </c>
      <c r="S488" s="373" t="s">
        <v>4149</v>
      </c>
      <c r="T488" s="1207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2" cm="1">
        <f t="array" ref="E489">INDEX('5층_부하량'!G3:G3000,MATCH(1,("5-DaHall 1-PDU-19"='5층_부하량'!A3:A3000)*(3='5층_부하량'!B3:B3000),0))</f>
        <v>13.16</v>
      </c>
      <c r="F489" s="381"/>
      <c r="G489" s="377"/>
      <c r="H489" s="376" t="s">
        <v>4574</v>
      </c>
      <c r="I489" s="2350" t="s">
        <v>4156</v>
      </c>
      <c r="J489" s="1023"/>
      <c r="K489" s="1024"/>
      <c r="L489" s="582" t="s">
        <v>4438</v>
      </c>
      <c r="M489" s="376" t="s">
        <v>4574</v>
      </c>
      <c r="N489" s="381"/>
      <c r="O489" s="2562" cm="1">
        <f t="array" ref="O489">INDEX('5층_부하량'!G3:G3000,MATCH(1,("5-DaHall 1-PDU-19"='5층_부하량'!A3:A3000)*(4='5층_부하량'!B3:B3000),0))</f>
        <v>8.2100000000000009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9" cm="1">
        <f t="array" ref="F490">INDEX('5층_부하량'!H3:H3000,MATCH(1,("5-DaHall 1-PDU-19"='5층_부하량'!A3:A3000)*(5='5층_부하량'!B3:B3000),0))</f>
        <v>0</v>
      </c>
      <c r="G490" s="381"/>
      <c r="H490" s="376" t="s">
        <v>4574</v>
      </c>
      <c r="I490" s="2350" t="s">
        <v>4161</v>
      </c>
      <c r="J490" s="1025"/>
      <c r="K490" s="1026"/>
      <c r="L490" s="583" t="s">
        <v>4441</v>
      </c>
      <c r="M490" s="1208" t="s">
        <v>5651</v>
      </c>
      <c r="N490" s="381"/>
      <c r="O490" s="381"/>
      <c r="P490" s="2569" cm="1">
        <f t="array" ref="P490">INDEX('5층_부하량'!H3:H3000,MATCH(1,("5-DaHall 1-PDU-19"='5층_부하량'!A3:A3000)*(6='5층_부하량'!B3:B3000),0))</f>
        <v>3.12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9" cm="1">
        <f t="array" ref="D491">INDEX('5층_부하량'!F3:F3000,MATCH(1,("5-DaHall 1-PDU-19"='5층_부하량'!A3:A3000)*(7='5층_부하량'!B3:B3000),0))</f>
        <v>13.84</v>
      </c>
      <c r="E491" s="381"/>
      <c r="F491" s="381"/>
      <c r="G491" s="381"/>
      <c r="H491" s="376" t="s">
        <v>4574</v>
      </c>
      <c r="I491" s="552" t="s">
        <v>4218</v>
      </c>
      <c r="J491" s="1025"/>
      <c r="K491" s="1026"/>
      <c r="L491" s="572" t="s">
        <v>4167</v>
      </c>
      <c r="M491" s="376" t="s">
        <v>4574</v>
      </c>
      <c r="N491" s="2569" cm="1">
        <f t="array" ref="N491">INDEX('5층_부하량'!F3:F3000,MATCH(1,("5-DaHall 1-PDU-19"='5층_부하량'!A3:A3000)*(8='5층_부하량'!B3:B3000),0))</f>
        <v>9.06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2" cm="1">
        <f t="array" ref="E492">INDEX('5층_부하량'!G3:G3000,MATCH(1,("5-DaHall 1-PDU-19"='5층_부하량'!A3:A3000)*(9='5층_부하량'!B3:B3000),0))</f>
        <v>11.43</v>
      </c>
      <c r="F492" s="381"/>
      <c r="G492" s="381"/>
      <c r="H492" s="376" t="s">
        <v>4574</v>
      </c>
      <c r="I492" s="552" t="s">
        <v>4221</v>
      </c>
      <c r="J492" s="1025"/>
      <c r="K492" s="1026"/>
      <c r="L492" s="572" t="s">
        <v>4170</v>
      </c>
      <c r="M492" s="376" t="s">
        <v>4574</v>
      </c>
      <c r="N492" s="381"/>
      <c r="O492" s="2562" cm="1">
        <f t="array" ref="O492">INDEX('5층_부하량'!G3:G3000,MATCH(1,("5-DaHall 1-PDU-19"='5층_부하량'!A3:A3000)*(10='5층_부하량'!B3:B3000),0))</f>
        <v>9.66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9" cm="1">
        <f t="array" ref="F493">INDEX('5층_부하량'!H3:H3000,MATCH(1,("5-DaHall 1-PDU-19"='5층_부하량'!A3:A3000)*(11='5층_부하량'!B3:B3000),0))</f>
        <v>9.32</v>
      </c>
      <c r="G493" s="381"/>
      <c r="H493" s="376" t="s">
        <v>4574</v>
      </c>
      <c r="I493" s="552" t="s">
        <v>4226</v>
      </c>
      <c r="J493" s="1025"/>
      <c r="K493" s="1026"/>
      <c r="L493" s="572" t="s">
        <v>4173</v>
      </c>
      <c r="M493" s="1208" t="s">
        <v>5651</v>
      </c>
      <c r="N493" s="381"/>
      <c r="O493" s="381"/>
      <c r="P493" s="2569" cm="1">
        <f t="array" ref="P493">INDEX('5층_부하량'!H3:H3000,MATCH(1,("5-DaHall 1-PDU-19"='5층_부하량'!A3:A3000)*(12='5층_부하량'!B3:B3000),0))</f>
        <v>4.1900000000000004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9" cm="1">
        <f t="array" ref="D494">INDEX('5층_부하량'!F3:F3000,MATCH(1,("5-DaHall 1-PDU-19"='5층_부하량'!A3:A3000)*(13='5층_부하량'!B3:B3000),0))</f>
        <v>12.68</v>
      </c>
      <c r="E494" s="381"/>
      <c r="F494" s="381"/>
      <c r="G494" s="381"/>
      <c r="H494" s="376" t="s">
        <v>4574</v>
      </c>
      <c r="I494" s="552" t="s">
        <v>4230</v>
      </c>
      <c r="J494" s="1025"/>
      <c r="K494" s="1026"/>
      <c r="L494" s="572" t="s">
        <v>4175</v>
      </c>
      <c r="M494" s="1208" t="s">
        <v>5651</v>
      </c>
      <c r="N494" s="2569" cm="1">
        <f t="array" ref="N494">INDEX('5층_부하량'!F3:F3000,MATCH(1,("5-DaHall 1-PDU-19"='5층_부하량'!A3:A3000)*(14='5층_부하량'!B3:B3000),0))</f>
        <v>1.54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9" cm="1">
        <f t="array" ref="E495">INDEX('5층_부하량'!G3:G3000,MATCH(1,("5-DaHall 1-PDU-19"='5층_부하량'!A3:A3000)*(15='5층_부하량'!B3:B3000),0))</f>
        <v>9.85</v>
      </c>
      <c r="F495" s="381"/>
      <c r="G495" s="381"/>
      <c r="H495" s="1208" t="s">
        <v>5651</v>
      </c>
      <c r="I495" s="552" t="s">
        <v>4234</v>
      </c>
      <c r="J495" s="1025"/>
      <c r="K495" s="1026"/>
      <c r="L495" s="572" t="s">
        <v>4177</v>
      </c>
      <c r="M495" s="376" t="s">
        <v>4574</v>
      </c>
      <c r="N495" s="381"/>
      <c r="O495" s="2569" cm="1">
        <f t="array" ref="O495">INDEX('5층_부하량'!G3:G3000,MATCH(1,("5-DaHall 1-PDU-19"='5층_부하량'!A3:A3000)*(16='5층_부하량'!B3:B3000),0))</f>
        <v>15.41</v>
      </c>
      <c r="P495" s="381"/>
      <c r="Q495" s="381"/>
      <c r="R495" s="382" t="s">
        <v>5562</v>
      </c>
      <c r="S495" s="1206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9" cm="1">
        <f t="array" ref="F496">INDEX('5층_부하량'!H3:H3000,MATCH(1,("5-DaHall 1-PDU-19"='5층_부하량'!A3:A3000)*(17='5층_부하량'!B3:B3000),0))</f>
        <v>4.43</v>
      </c>
      <c r="G496" s="381"/>
      <c r="H496" s="1209" t="s">
        <v>4150</v>
      </c>
      <c r="I496" s="552" t="s">
        <v>4238</v>
      </c>
      <c r="J496" s="1025"/>
      <c r="K496" s="1026"/>
      <c r="L496" s="572" t="s">
        <v>4179</v>
      </c>
      <c r="M496" s="376" t="s">
        <v>4574</v>
      </c>
      <c r="N496" s="381"/>
      <c r="O496" s="381"/>
      <c r="P496" s="2569" cm="1">
        <f t="array" ref="P496">INDEX('5층_부하량'!H3:H3000,MATCH(1,("5-DaHall 1-PDU-19"='5층_부하량'!A3:A3000)*(18='5층_부하량'!B3:B3000),0))</f>
        <v>8.9</v>
      </c>
      <c r="Q496" s="381"/>
      <c r="R496" s="382" t="s">
        <v>5562</v>
      </c>
      <c r="S496" s="1206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9" cm="1">
        <f t="array" ref="D497">INDEX('5층_부하량'!F3:F3000,MATCH(1,("5-DaHall 1-PDU-19"='5층_부하량'!A3:A3000)*(19='5층_부하량'!B3:B3000),0))</f>
        <v>5.84</v>
      </c>
      <c r="E497" s="381"/>
      <c r="F497" s="381"/>
      <c r="G497" s="381"/>
      <c r="H497" s="1209" t="s">
        <v>4150</v>
      </c>
      <c r="I497" s="552" t="s">
        <v>4243</v>
      </c>
      <c r="J497" s="1025"/>
      <c r="K497" s="1026"/>
      <c r="L497" s="572" t="s">
        <v>4183</v>
      </c>
      <c r="M497" s="376" t="s">
        <v>4574</v>
      </c>
      <c r="N497" s="2569" cm="1">
        <f t="array" ref="N497">INDEX('5층_부하량'!F3:F3000,MATCH(1,("5-DaHall 1-PDU-19"='5층_부하량'!A3:A3000)*(20='5층_부하량'!B3:B3000),0))</f>
        <v>11.37</v>
      </c>
      <c r="O497" s="381"/>
      <c r="P497" s="381"/>
      <c r="Q497" s="381"/>
      <c r="R497" s="382" t="s">
        <v>5562</v>
      </c>
      <c r="S497" s="1206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6" t="s">
        <v>4296</v>
      </c>
      <c r="D498" s="381"/>
      <c r="E498" s="2562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4574</v>
      </c>
      <c r="I498" s="2350" t="s">
        <v>5667</v>
      </c>
      <c r="J498" s="1025"/>
      <c r="K498" s="1026"/>
      <c r="L498" s="583" t="s">
        <v>5668</v>
      </c>
      <c r="M498" s="376" t="s">
        <v>4574</v>
      </c>
      <c r="N498" s="381"/>
      <c r="O498" s="2562" cm="1">
        <f t="array" ref="O498">INDEX('5층_부하량'!G3:G3000,MATCH(1,("5-DaHall 1-PDU-19"='5층_부하량'!A3:A3000)*(22='5층_부하량'!B3:B3000),0))</f>
        <v>11.34</v>
      </c>
      <c r="P498" s="381"/>
      <c r="Q498" s="381"/>
      <c r="R498" s="382" t="s">
        <v>5562</v>
      </c>
      <c r="S498" s="1206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70" cm="1">
        <f t="array" ref="F499">INDEX('5층_부하량'!H3:H3000,MATCH(1,("5-DaHall 1-PDU-19"='5층_부하량'!A3:A3000)*(23='5층_부하량'!B3:B3000),0))</f>
        <v>7.18</v>
      </c>
      <c r="G499" s="427"/>
      <c r="H499" s="426" t="s">
        <v>4574</v>
      </c>
      <c r="I499" s="2351" t="s">
        <v>5670</v>
      </c>
      <c r="J499" s="1203"/>
      <c r="K499" s="1204"/>
      <c r="L499" s="1205" t="s">
        <v>5671</v>
      </c>
      <c r="M499" s="426" t="s">
        <v>4574</v>
      </c>
      <c r="N499" s="427"/>
      <c r="O499" s="427"/>
      <c r="P499" s="2570" cm="1">
        <f t="array" ref="P499">INDEX('5층_부하량'!H3:H3000,MATCH(1,("5-DaHall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3"/>
      <c r="M500" s="405" t="s">
        <v>5218</v>
      </c>
      <c r="N500" s="406">
        <f>SUM(D488:D499,N488:N499)</f>
        <v>74.460000000000008</v>
      </c>
      <c r="O500" s="406">
        <f>SUM(E488:E499,O488:O499)</f>
        <v>79.06</v>
      </c>
      <c r="P500" s="406">
        <f>SUM(F488:F499,P488:P499)</f>
        <v>37.14</v>
      </c>
    </row>
    <row r="501" spans="1:20" s="350" customFormat="1" ht="18.600000000000001" thickTop="1" thickBot="1">
      <c r="A501" s="349" t="s">
        <v>6537</v>
      </c>
      <c r="C501" s="3818" t="s">
        <v>5672</v>
      </c>
      <c r="D501" s="3818"/>
      <c r="E501" s="3818"/>
      <c r="F501" s="3818"/>
      <c r="G501" s="351"/>
      <c r="H501" s="352"/>
      <c r="I501" s="352"/>
      <c r="J501" s="3828" t="s">
        <v>4288</v>
      </c>
      <c r="K501" s="3829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4136</v>
      </c>
      <c r="N502" s="1342">
        <v>28.1</v>
      </c>
      <c r="O502" s="1343">
        <v>32.6</v>
      </c>
      <c r="P502" s="1344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8" cm="1">
        <f t="array" ref="D504">INDEX('5층_부하량'!F3:F3000,MATCH(1,("5-DaHall 1-PDU-20"='5층_부하량'!A3:A3000)*(1='5층_부하량'!B3:B3000),0))</f>
        <v>9.09</v>
      </c>
      <c r="E504" s="395"/>
      <c r="F504" s="395"/>
      <c r="G504" s="368"/>
      <c r="H504" s="2348" t="s">
        <v>4509</v>
      </c>
      <c r="I504" s="2349" t="s">
        <v>4151</v>
      </c>
      <c r="J504" s="1021"/>
      <c r="K504" s="1022"/>
      <c r="L504" s="581" t="s">
        <v>4436</v>
      </c>
      <c r="M504" s="366" t="s">
        <v>4574</v>
      </c>
      <c r="N504" s="2568" cm="1">
        <f t="array" ref="N504">INDEX('5층_부하량'!F3:F3000,MATCH(1,("5-DaHall 1-PDU-20"='5층_부하량'!A3:A3000)*(2='5층_부하량'!B3:B3000),0))</f>
        <v>14.82</v>
      </c>
      <c r="O504" s="395"/>
      <c r="P504" s="395"/>
      <c r="Q504" s="368"/>
      <c r="R504" s="372" t="s">
        <v>5562</v>
      </c>
      <c r="S504" s="373" t="s">
        <v>4149</v>
      </c>
      <c r="T504" s="1207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2" cm="1">
        <f t="array" ref="E505">INDEX('5층_부하량'!G3:G3000,MATCH(1,("5-DaHall 1-PDU-20"='5층_부하량'!A3:A3000)*(3='5층_부하량'!B3:B3000),0))</f>
        <v>9.2100000000000009</v>
      </c>
      <c r="F505" s="381"/>
      <c r="G505" s="377"/>
      <c r="H505" s="376" t="s">
        <v>4574</v>
      </c>
      <c r="I505" s="2350" t="s">
        <v>4156</v>
      </c>
      <c r="J505" s="1023"/>
      <c r="K505" s="1024"/>
      <c r="L505" s="582" t="s">
        <v>4438</v>
      </c>
      <c r="M505" s="376" t="s">
        <v>4574</v>
      </c>
      <c r="N505" s="381"/>
      <c r="O505" s="2562" cm="1">
        <f t="array" ref="O505">INDEX('5층_부하량'!G3:G3000,MATCH(1,("5-DaHall 1-PDU-20"='5층_부하량'!A3:A3000)*(4='5층_부하량'!B3:B3000),0))</f>
        <v>7.9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9" cm="1">
        <f t="array" ref="F506">INDEX('5층_부하량'!H3:H3000,MATCH(1,("5-DaHall 1-PDU-20"='5층_부하량'!A3:A3000)*(5='5층_부하량'!B3:B3000),0))</f>
        <v>0</v>
      </c>
      <c r="G506" s="381"/>
      <c r="H506" s="376" t="s">
        <v>4574</v>
      </c>
      <c r="I506" s="2350" t="s">
        <v>4161</v>
      </c>
      <c r="J506" s="1025"/>
      <c r="K506" s="1026"/>
      <c r="L506" s="583" t="s">
        <v>4441</v>
      </c>
      <c r="M506" s="1208" t="s">
        <v>5651</v>
      </c>
      <c r="N506" s="381"/>
      <c r="O506" s="381"/>
      <c r="P506" s="2569" cm="1">
        <f t="array" ref="P506">INDEX('5층_부하량'!H3:H3000,MATCH(1,("5-DaHall 1-PDU-20"='5층_부하량'!A3:A3000)*(6='5층_부하량'!B3:B3000),0))</f>
        <v>2.04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9" cm="1">
        <f t="array" ref="D507">INDEX('5층_부하량'!F3:F3000,MATCH(1,("5-DaHall 1-PDU-20"='5층_부하량'!A3:A3000)*(7='5층_부하량'!B3:B3000),0))</f>
        <v>13.33</v>
      </c>
      <c r="E507" s="381"/>
      <c r="F507" s="381"/>
      <c r="G507" s="381"/>
      <c r="H507" s="376" t="s">
        <v>4574</v>
      </c>
      <c r="I507" s="552" t="s">
        <v>4218</v>
      </c>
      <c r="J507" s="1025"/>
      <c r="K507" s="1026"/>
      <c r="L507" s="572" t="s">
        <v>4167</v>
      </c>
      <c r="M507" s="376" t="s">
        <v>4574</v>
      </c>
      <c r="N507" s="2569" cm="1">
        <f t="array" ref="N507">INDEX('5층_부하량'!F3:F3000,MATCH(1,("5-DaHall 1-PDU-20"='5층_부하량'!A3:A3000)*(8='5층_부하량'!B3:B3000),0))</f>
        <v>8.94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2" cm="1">
        <f t="array" ref="E508">INDEX('5층_부하량'!G3:G3000,MATCH(1,("5-DaHall 1-PDU-20"='5층_부하량'!A3:A3000)*(9='5층_부하량'!B3:B3000),0))</f>
        <v>11.35</v>
      </c>
      <c r="F508" s="381"/>
      <c r="G508" s="381"/>
      <c r="H508" s="376" t="s">
        <v>4574</v>
      </c>
      <c r="I508" s="552" t="s">
        <v>4221</v>
      </c>
      <c r="J508" s="1025"/>
      <c r="K508" s="1026"/>
      <c r="L508" s="572" t="s">
        <v>4170</v>
      </c>
      <c r="M508" s="376" t="s">
        <v>4574</v>
      </c>
      <c r="N508" s="381"/>
      <c r="O508" s="2562" cm="1">
        <f t="array" ref="O508">INDEX('5층_부하량'!G3:G3000,MATCH(1,("5-DaHall 1-PDU-20"='5층_부하량'!A3:A3000)*(10='5층_부하량'!B3:B3000),0))</f>
        <v>9.75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9" cm="1">
        <f t="array" ref="F509">INDEX('5층_부하량'!H3:H3000,MATCH(1,("5-DaHall 1-PDU-20"='5층_부하량'!A3:A3000)*(11='5층_부하량'!B3:B3000),0))</f>
        <v>8.91</v>
      </c>
      <c r="G509" s="381"/>
      <c r="H509" s="376" t="s">
        <v>4574</v>
      </c>
      <c r="I509" s="552" t="s">
        <v>4226</v>
      </c>
      <c r="J509" s="1025"/>
      <c r="K509" s="1026"/>
      <c r="L509" s="572" t="s">
        <v>4173</v>
      </c>
      <c r="M509" s="1208" t="s">
        <v>5651</v>
      </c>
      <c r="N509" s="381"/>
      <c r="O509" s="381"/>
      <c r="P509" s="2569" cm="1">
        <f t="array" ref="P509">INDEX('5층_부하량'!H3:H3000,MATCH(1,("5-DaHall 1-PDU-20"='5층_부하량'!A3:A3000)*(12='5층_부하량'!B3:B3000),0))</f>
        <v>4.09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9" cm="1">
        <f t="array" ref="D510">INDEX('5층_부하량'!F3:F3000,MATCH(1,("5-DaHall 1-PDU-20"='5층_부하량'!A3:A3000)*(13='5층_부하량'!B3:B3000),0))</f>
        <v>11.84</v>
      </c>
      <c r="E510" s="381"/>
      <c r="F510" s="381"/>
      <c r="G510" s="381"/>
      <c r="H510" s="376" t="s">
        <v>4574</v>
      </c>
      <c r="I510" s="552" t="s">
        <v>4230</v>
      </c>
      <c r="J510" s="1025"/>
      <c r="K510" s="1026"/>
      <c r="L510" s="572" t="s">
        <v>4175</v>
      </c>
      <c r="M510" s="1208" t="s">
        <v>5651</v>
      </c>
      <c r="N510" s="2569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9" cm="1">
        <f t="array" ref="E511">INDEX('5층_부하량'!G3:G3000,MATCH(1,("5-DaHall 1-PDU-20"='5층_부하량'!A3:A3000)*(15='5층_부하량'!B3:B3000),0))</f>
        <v>10.77</v>
      </c>
      <c r="F511" s="381"/>
      <c r="G511" s="381"/>
      <c r="H511" s="1208" t="s">
        <v>5651</v>
      </c>
      <c r="I511" s="552" t="s">
        <v>4234</v>
      </c>
      <c r="J511" s="1025"/>
      <c r="K511" s="1026"/>
      <c r="L511" s="572" t="s">
        <v>4177</v>
      </c>
      <c r="M511" s="376" t="s">
        <v>4574</v>
      </c>
      <c r="N511" s="381"/>
      <c r="O511" s="2569" cm="1">
        <f t="array" ref="O511">INDEX('5층_부하량'!G3:G3000,MATCH(1,("5-DaHall 1-PDU-20"='5층_부하량'!A3:A3000)*(16='5층_부하량'!B3:B3000),0))</f>
        <v>15.74</v>
      </c>
      <c r="P511" s="381"/>
      <c r="Q511" s="381"/>
      <c r="R511" s="382" t="s">
        <v>5562</v>
      </c>
      <c r="S511" s="1206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9" cm="1">
        <f t="array" ref="F512">INDEX('5층_부하량'!H3:H3000,MATCH(1,("5-DaHall 1-PDU-20"='5층_부하량'!A3:A3000)*(17='5층_부하량'!B3:B3000),0))</f>
        <v>4.75</v>
      </c>
      <c r="G512" s="381"/>
      <c r="H512" s="1209" t="s">
        <v>4150</v>
      </c>
      <c r="I512" s="552" t="s">
        <v>4238</v>
      </c>
      <c r="J512" s="1025"/>
      <c r="K512" s="1026"/>
      <c r="L512" s="572" t="s">
        <v>4179</v>
      </c>
      <c r="M512" s="376" t="s">
        <v>4574</v>
      </c>
      <c r="N512" s="381"/>
      <c r="O512" s="381"/>
      <c r="P512" s="2569" cm="1">
        <f t="array" ref="P512">INDEX('5층_부하량'!H3:H3000,MATCH(1,("5-DaHall 1-PDU-20"='5층_부하량'!A3:A3000)*(18='5층_부하량'!B3:B3000),0))</f>
        <v>9.1199999999999992</v>
      </c>
      <c r="Q512" s="381"/>
      <c r="R512" s="382" t="s">
        <v>5562</v>
      </c>
      <c r="S512" s="1206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9" cm="1">
        <f t="array" ref="D513">INDEX('5층_부하량'!F3:F3000,MATCH(1,("5-DaHall 1-PDU-20"='5층_부하량'!A3:A3000)*(19='5층_부하량'!B3:B3000),0))</f>
        <v>5.5600000000000005</v>
      </c>
      <c r="E513" s="381"/>
      <c r="F513" s="381"/>
      <c r="G513" s="381"/>
      <c r="H513" s="1209" t="s">
        <v>4150</v>
      </c>
      <c r="I513" s="552" t="s">
        <v>4243</v>
      </c>
      <c r="J513" s="1025"/>
      <c r="K513" s="1026"/>
      <c r="L513" s="572" t="s">
        <v>4183</v>
      </c>
      <c r="M513" s="376" t="s">
        <v>4574</v>
      </c>
      <c r="N513" s="2569" cm="1">
        <f t="array" ref="N513">INDEX('5층_부하량'!F3:F3000,MATCH(1,("5-DaHall 1-PDU-20"='5층_부하량'!A3:A3000)*(20='5층_부하량'!B3:B3000),0))</f>
        <v>7.25</v>
      </c>
      <c r="O513" s="381"/>
      <c r="P513" s="381"/>
      <c r="Q513" s="381"/>
      <c r="R513" s="382" t="s">
        <v>5562</v>
      </c>
      <c r="S513" s="1206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6" t="s">
        <v>4296</v>
      </c>
      <c r="D514" s="381"/>
      <c r="E514" s="2562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4574</v>
      </c>
      <c r="I514" s="2350" t="s">
        <v>5667</v>
      </c>
      <c r="J514" s="1025"/>
      <c r="K514" s="1026"/>
      <c r="L514" s="583" t="s">
        <v>5668</v>
      </c>
      <c r="M514" s="376" t="s">
        <v>4574</v>
      </c>
      <c r="N514" s="381"/>
      <c r="O514" s="2562" cm="1">
        <f t="array" ref="O514">INDEX('5층_부하량'!G3:G3000,MATCH(1,("5-DaHall 1-PDU-20"='5층_부하량'!A3:A3000)*(22='5층_부하량'!B3:B3000),0))</f>
        <v>4.97</v>
      </c>
      <c r="P514" s="381"/>
      <c r="Q514" s="381"/>
      <c r="R514" s="382" t="s">
        <v>5562</v>
      </c>
      <c r="S514" s="1206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70" cm="1">
        <f t="array" ref="F515">INDEX('5층_부하량'!H3:H3000,MATCH(1,("5-DaHall 1-PDU-20"='5층_부하량'!A3:A3000)*(23='5층_부하량'!B3:B3000),0))</f>
        <v>7.23</v>
      </c>
      <c r="G515" s="427"/>
      <c r="H515" s="426" t="s">
        <v>4574</v>
      </c>
      <c r="I515" s="2351" t="s">
        <v>5670</v>
      </c>
      <c r="J515" s="1203"/>
      <c r="K515" s="1204"/>
      <c r="L515" s="1205" t="s">
        <v>5671</v>
      </c>
      <c r="M515" s="426" t="s">
        <v>4574</v>
      </c>
      <c r="N515" s="427"/>
      <c r="O515" s="427"/>
      <c r="P515" s="2570" cm="1">
        <f t="array" ref="P515">INDEX('5층_부하량'!H3:H3000,MATCH(1,("5-DaHall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3"/>
      <c r="M516" s="405" t="s">
        <v>5218</v>
      </c>
      <c r="N516" s="406">
        <f>SUM(D504:D515,N504:N515)</f>
        <v>72.23</v>
      </c>
      <c r="O516" s="406">
        <f>SUM(E504:E515,O504:O515)</f>
        <v>69.69</v>
      </c>
      <c r="P516" s="406">
        <f>SUM(F504:F515,P504:P515)</f>
        <v>36.14</v>
      </c>
    </row>
    <row r="517" spans="1:20" s="350" customFormat="1" ht="18.600000000000001" thickTop="1" thickBot="1">
      <c r="A517" s="349" t="s">
        <v>6538</v>
      </c>
      <c r="C517" s="3818" t="s">
        <v>5694</v>
      </c>
      <c r="D517" s="3818"/>
      <c r="E517" s="3818"/>
      <c r="F517" s="3818"/>
      <c r="G517" s="351"/>
      <c r="H517" s="352"/>
      <c r="I517" s="352"/>
      <c r="J517" s="3828" t="s">
        <v>4288</v>
      </c>
      <c r="K517" s="3829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4136</v>
      </c>
      <c r="N518" s="1342">
        <v>41.9</v>
      </c>
      <c r="O518" s="1343">
        <v>33.6</v>
      </c>
      <c r="P518" s="1344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8" cm="1">
        <f t="array" ref="D520">INDEX('5층_부하량'!F3:F3000,MATCH(1,("5-DaHall 1-PDU-21"='5층_부하량'!A3:A3000)*(1='5층_부하량'!B3:B3000),0))</f>
        <v>10.039999999999999</v>
      </c>
      <c r="E520" s="395"/>
      <c r="F520" s="395"/>
      <c r="G520" s="368"/>
      <c r="H520" s="2348" t="s">
        <v>4509</v>
      </c>
      <c r="I520" s="2349" t="s">
        <v>4151</v>
      </c>
      <c r="J520" s="1021"/>
      <c r="K520" s="1022"/>
      <c r="L520" s="581" t="s">
        <v>4436</v>
      </c>
      <c r="M520" s="366" t="s">
        <v>4574</v>
      </c>
      <c r="N520" s="2568" cm="1">
        <f t="array" ref="N520">INDEX('5층_부하량'!F3:F3000,MATCH(1,("5-DaHall 1-PDU-21"='5층_부하량'!A3:A3000)*(2='5층_부하량'!B3:B3000),0))</f>
        <v>11.88</v>
      </c>
      <c r="O520" s="395"/>
      <c r="P520" s="395"/>
      <c r="Q520" s="368"/>
      <c r="R520" s="372" t="s">
        <v>5562</v>
      </c>
      <c r="S520" s="373" t="s">
        <v>4149</v>
      </c>
      <c r="T520" s="1207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2" cm="1">
        <f t="array" ref="E521">INDEX('5층_부하량'!G3:G3000,MATCH(1,("5-DaHall 1-PDU-21"='5층_부하량'!A3:A3000)*(3='5층_부하량'!B3:B3000),0))</f>
        <v>17.25</v>
      </c>
      <c r="F521" s="381"/>
      <c r="G521" s="377"/>
      <c r="H521" s="376" t="s">
        <v>4574</v>
      </c>
      <c r="I521" s="2350" t="s">
        <v>4156</v>
      </c>
      <c r="J521" s="1023"/>
      <c r="K521" s="1024"/>
      <c r="L521" s="582" t="s">
        <v>4438</v>
      </c>
      <c r="M521" s="376" t="s">
        <v>4574</v>
      </c>
      <c r="N521" s="381"/>
      <c r="O521" s="2562" cm="1">
        <f t="array" ref="O521">INDEX('5층_부하량'!G3:G3000,MATCH(1,("5-DaHall 1-PDU-21"='5층_부하량'!A3:A3000)*(4='5층_부하량'!B3:B3000),0))</f>
        <v>4.97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9" cm="1">
        <f t="array" ref="F522">INDEX('5층_부하량'!H3:H3000,MATCH(1,("5-DaHall 1-PDU-21"='5층_부하량'!A3:A3000)*(5='5층_부하량'!B3:B3000),0))</f>
        <v>2.35</v>
      </c>
      <c r="G522" s="381"/>
      <c r="H522" s="376" t="s">
        <v>4574</v>
      </c>
      <c r="I522" s="2350" t="s">
        <v>4161</v>
      </c>
      <c r="J522" s="1025"/>
      <c r="K522" s="1026"/>
      <c r="L522" s="583" t="s">
        <v>4441</v>
      </c>
      <c r="M522" s="1208" t="s">
        <v>5651</v>
      </c>
      <c r="N522" s="381"/>
      <c r="O522" s="381"/>
      <c r="P522" s="2569" cm="1">
        <f t="array" ref="P522">INDEX('5층_부하량'!H3:H3000,MATCH(1,("5-DaHall 1-PDU-21"='5층_부하량'!A3:A3000)*(6='5층_부하량'!B3:B3000),0))</f>
        <v>4.92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9" cm="1">
        <f t="array" ref="D523">INDEX('5층_부하량'!F3:F3000,MATCH(1,("5-DaHall 1-PDU-21"='5층_부하량'!A3:A3000)*(7='5층_부하량'!B3:B3000),0))</f>
        <v>7.76</v>
      </c>
      <c r="E523" s="381"/>
      <c r="F523" s="381"/>
      <c r="G523" s="381"/>
      <c r="H523" s="376" t="s">
        <v>4574</v>
      </c>
      <c r="I523" s="552" t="s">
        <v>4218</v>
      </c>
      <c r="J523" s="1025"/>
      <c r="K523" s="1026"/>
      <c r="L523" s="572" t="s">
        <v>4167</v>
      </c>
      <c r="M523" s="376" t="s">
        <v>4574</v>
      </c>
      <c r="N523" s="2569" cm="1">
        <f t="array" ref="N523">INDEX('5층_부하량'!F3:F3000,MATCH(1,("5-DaHall 1-PDU-21"='5층_부하량'!A3:A3000)*(8='5층_부하량'!B3:B3000),0))</f>
        <v>6.36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2" cm="1">
        <f t="array" ref="E524">INDEX('5층_부하량'!G3:G3000,MATCH(1,("5-DaHall 1-PDU-21"='5층_부하량'!A3:A3000)*(9='5층_부하량'!B3:B3000),0))</f>
        <v>14.84</v>
      </c>
      <c r="F524" s="381"/>
      <c r="G524" s="381"/>
      <c r="H524" s="376" t="s">
        <v>4574</v>
      </c>
      <c r="I524" s="552" t="s">
        <v>4221</v>
      </c>
      <c r="J524" s="1025"/>
      <c r="K524" s="1026"/>
      <c r="L524" s="572" t="s">
        <v>4170</v>
      </c>
      <c r="M524" s="376" t="s">
        <v>4574</v>
      </c>
      <c r="N524" s="381"/>
      <c r="O524" s="2562" cm="1">
        <f t="array" ref="O524">INDEX('5층_부하량'!G3:G3000,MATCH(1,("5-DaHall 1-PDU-21"='5층_부하량'!A3:A3000)*(10='5층_부하량'!B3:B3000),0))</f>
        <v>11.69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9" cm="1">
        <f t="array" ref="F525">INDEX('5층_부하량'!H3:H3000,MATCH(1,("5-DaHall 1-PDU-21"='5층_부하량'!A3:A3000)*(11='5층_부하량'!B3:B3000),0))</f>
        <v>8.51</v>
      </c>
      <c r="G525" s="381"/>
      <c r="H525" s="376" t="s">
        <v>4574</v>
      </c>
      <c r="I525" s="552" t="s">
        <v>4226</v>
      </c>
      <c r="J525" s="1025"/>
      <c r="K525" s="1026"/>
      <c r="L525" s="572" t="s">
        <v>4173</v>
      </c>
      <c r="M525" s="1208" t="s">
        <v>5651</v>
      </c>
      <c r="N525" s="381"/>
      <c r="O525" s="381"/>
      <c r="P525" s="2569" cm="1">
        <f t="array" ref="P525">INDEX('5층_부하량'!H3:H3000,MATCH(1,("5-DaHall 1-PDU-21"='5층_부하량'!A3:A3000)*(12='5층_부하량'!B3:B3000),0))</f>
        <v>3.19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9" cm="1">
        <f t="array" ref="D526">INDEX('5층_부하량'!F3:F3000,MATCH(1,("5-DaHall 1-PDU-21"='5층_부하량'!A3:A3000)*(13='5층_부하량'!B3:B3000),0))</f>
        <v>13.78</v>
      </c>
      <c r="E526" s="381"/>
      <c r="F526" s="381"/>
      <c r="G526" s="381"/>
      <c r="H526" s="376" t="s">
        <v>4574</v>
      </c>
      <c r="I526" s="552" t="s">
        <v>4230</v>
      </c>
      <c r="J526" s="1025"/>
      <c r="K526" s="1026"/>
      <c r="L526" s="572" t="s">
        <v>4175</v>
      </c>
      <c r="M526" s="1208" t="s">
        <v>5651</v>
      </c>
      <c r="N526" s="2569" cm="1">
        <f t="array" ref="N526">INDEX('5층_부하량'!F3:F3000,MATCH(1,("5-DaHall 1-PDU-21"='5층_부하량'!A3:A3000)*(14='5층_부하량'!B3:B3000),0))</f>
        <v>2.4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9" cm="1">
        <f t="array" ref="E527">INDEX('5층_부하량'!G3:G3000,MATCH(1,("5-DaHall 1-PDU-21"='5층_부하량'!A3:A3000)*(15='5층_부하량'!B3:B3000),0))</f>
        <v>5.16</v>
      </c>
      <c r="F527" s="381"/>
      <c r="G527" s="381"/>
      <c r="H527" s="1208" t="s">
        <v>5651</v>
      </c>
      <c r="I527" s="552" t="s">
        <v>4234</v>
      </c>
      <c r="J527" s="1025"/>
      <c r="K527" s="1026"/>
      <c r="L527" s="572" t="s">
        <v>4177</v>
      </c>
      <c r="M527" s="376" t="s">
        <v>4574</v>
      </c>
      <c r="N527" s="381"/>
      <c r="O527" s="2569" cm="1">
        <f t="array" ref="O527">INDEX('5층_부하량'!G3:G3000,MATCH(1,("5-DaHall 1-PDU-21"='5층_부하량'!A3:A3000)*(16='5층_부하량'!B3:B3000),0))</f>
        <v>13.91</v>
      </c>
      <c r="P527" s="381"/>
      <c r="Q527" s="381"/>
      <c r="R527" s="382" t="s">
        <v>5562</v>
      </c>
      <c r="S527" s="1206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9" cm="1">
        <f t="array" ref="F528">INDEX('5층_부하량'!H3:H3000,MATCH(1,("5-DaHall 1-PDU-21"='5층_부하량'!A3:A3000)*(17='5층_부하량'!B3:B3000),0))</f>
        <v>5.25</v>
      </c>
      <c r="G528" s="381"/>
      <c r="H528" s="1209" t="s">
        <v>4150</v>
      </c>
      <c r="I528" s="552" t="s">
        <v>4238</v>
      </c>
      <c r="J528" s="1025"/>
      <c r="K528" s="1026"/>
      <c r="L528" s="572" t="s">
        <v>4179</v>
      </c>
      <c r="M528" s="376" t="s">
        <v>4574</v>
      </c>
      <c r="N528" s="381"/>
      <c r="O528" s="381"/>
      <c r="P528" s="2569" cm="1">
        <f t="array" ref="P528">INDEX('5층_부하량'!H3:H3000,MATCH(1,("5-DaHall 1-PDU-21"='5층_부하량'!A3:A3000)*(18='5층_부하량'!B3:B3000),0))</f>
        <v>7.7</v>
      </c>
      <c r="Q528" s="381"/>
      <c r="R528" s="382" t="s">
        <v>5562</v>
      </c>
      <c r="S528" s="1206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9" cm="1">
        <f t="array" ref="D529">INDEX('5층_부하량'!F3:F3000,MATCH(1,("5-DaHall 1-PDU-21"='5층_부하량'!A3:A3000)*(19='5층_부하량'!B3:B3000),0))</f>
        <v>5.84</v>
      </c>
      <c r="E529" s="381"/>
      <c r="F529" s="381"/>
      <c r="G529" s="381"/>
      <c r="H529" s="1209" t="s">
        <v>4150</v>
      </c>
      <c r="I529" s="552" t="s">
        <v>4243</v>
      </c>
      <c r="J529" s="1025"/>
      <c r="K529" s="1026"/>
      <c r="L529" s="572" t="s">
        <v>4183</v>
      </c>
      <c r="M529" s="376" t="s">
        <v>4574</v>
      </c>
      <c r="N529" s="2569" cm="1">
        <f t="array" ref="N529">INDEX('5층_부하량'!F3:F3000,MATCH(1,("5-DaHall 1-PDU-21"='5층_부하량'!A3:A3000)*(20='5층_부하량'!B3:B3000),0))</f>
        <v>10.42</v>
      </c>
      <c r="O529" s="381"/>
      <c r="P529" s="381"/>
      <c r="Q529" s="381"/>
      <c r="R529" s="382" t="s">
        <v>5562</v>
      </c>
      <c r="S529" s="1206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6" t="s">
        <v>4296</v>
      </c>
      <c r="D530" s="381"/>
      <c r="E530" s="2562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4574</v>
      </c>
      <c r="I530" s="2350" t="s">
        <v>5667</v>
      </c>
      <c r="J530" s="1025"/>
      <c r="K530" s="1026"/>
      <c r="L530" s="583" t="s">
        <v>5668</v>
      </c>
      <c r="M530" s="376" t="s">
        <v>4574</v>
      </c>
      <c r="N530" s="381"/>
      <c r="O530" s="2562" cm="1">
        <f t="array" ref="O530">INDEX('5층_부하량'!G3:G3000,MATCH(1,("5-DaHall 1-PDU-21"='5층_부하량'!A3:A3000)*(22='5층_부하량'!B3:B3000),0))</f>
        <v>7.83</v>
      </c>
      <c r="P530" s="381"/>
      <c r="Q530" s="381"/>
      <c r="R530" s="382" t="s">
        <v>5562</v>
      </c>
      <c r="S530" s="1206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70" cm="1">
        <f t="array" ref="F531">INDEX('5층_부하량'!H3:H3000,MATCH(1,("5-DaHall 1-PDU-21"='5층_부하량'!A3:A3000)*(23='5층_부하량'!B3:B3000),0))</f>
        <v>9.6</v>
      </c>
      <c r="G531" s="427"/>
      <c r="H531" s="426" t="s">
        <v>4574</v>
      </c>
      <c r="I531" s="2351" t="s">
        <v>5670</v>
      </c>
      <c r="J531" s="1203"/>
      <c r="K531" s="1204"/>
      <c r="L531" s="1205" t="s">
        <v>5671</v>
      </c>
      <c r="M531" s="426" t="s">
        <v>4574</v>
      </c>
      <c r="N531" s="427"/>
      <c r="O531" s="427"/>
      <c r="P531" s="2570" cm="1">
        <f t="array" ref="P531">INDEX('5층_부하량'!H3:H3000,MATCH(1,("5-DaHall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3"/>
      <c r="M532" s="405" t="s">
        <v>5218</v>
      </c>
      <c r="N532" s="406">
        <f>SUM(D520:D531,N520:N531)</f>
        <v>68.48</v>
      </c>
      <c r="O532" s="406">
        <f>SUM(E520:E531,O520:O531)</f>
        <v>75.649999999999991</v>
      </c>
      <c r="P532" s="406">
        <f>SUM(F520:F531,P520:P531)</f>
        <v>41.52</v>
      </c>
    </row>
    <row r="533" spans="1:20" s="350" customFormat="1" ht="18.600000000000001" thickTop="1" thickBot="1">
      <c r="A533" s="349" t="s">
        <v>6540</v>
      </c>
      <c r="C533" s="3818" t="s">
        <v>5716</v>
      </c>
      <c r="D533" s="3818"/>
      <c r="E533" s="3818"/>
      <c r="F533" s="3818"/>
      <c r="G533" s="351"/>
      <c r="H533" s="352"/>
      <c r="I533" s="352"/>
      <c r="J533" s="3828" t="s">
        <v>4288</v>
      </c>
      <c r="K533" s="3829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4136</v>
      </c>
      <c r="N534" s="1342">
        <v>37</v>
      </c>
      <c r="O534" s="1343">
        <v>27.7</v>
      </c>
      <c r="P534" s="1344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8" cm="1">
        <f t="array" ref="D536">INDEX('5층_부하량'!F3:F3000,MATCH(1,("5-DaHall 1-PDU-22"='5층_부하량'!A3:A3000)*(1='5층_부하량'!B3:B3000),0))</f>
        <v>10.050000000000001</v>
      </c>
      <c r="E536" s="395"/>
      <c r="F536" s="395"/>
      <c r="G536" s="368"/>
      <c r="H536" s="2348" t="s">
        <v>4509</v>
      </c>
      <c r="I536" s="2349" t="s">
        <v>4151</v>
      </c>
      <c r="J536" s="1021"/>
      <c r="K536" s="1022"/>
      <c r="L536" s="581" t="s">
        <v>4436</v>
      </c>
      <c r="M536" s="366" t="s">
        <v>4574</v>
      </c>
      <c r="N536" s="2568" cm="1">
        <f t="array" ref="N536">INDEX('5층_부하량'!F3:F3000,MATCH(1,("5-DaHall 1-PDU-22"='5층_부하량'!A3:A3000)*(2='5층_부하량'!B3:B3000),0))</f>
        <v>11.47</v>
      </c>
      <c r="O536" s="395"/>
      <c r="P536" s="395"/>
      <c r="Q536" s="368"/>
      <c r="R536" s="372" t="s">
        <v>5562</v>
      </c>
      <c r="S536" s="373" t="s">
        <v>4149</v>
      </c>
      <c r="T536" s="1207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2" cm="1">
        <f t="array" ref="E537">INDEX('5층_부하량'!G3:G3000,MATCH(1,("5-DaHall 1-PDU-22"='5층_부하량'!A3:A3000)*(3='5층_부하량'!B3:B3000),0))</f>
        <v>9.48</v>
      </c>
      <c r="F537" s="381"/>
      <c r="G537" s="377"/>
      <c r="H537" s="376" t="s">
        <v>4574</v>
      </c>
      <c r="I537" s="2350" t="s">
        <v>4156</v>
      </c>
      <c r="J537" s="1023"/>
      <c r="K537" s="1024"/>
      <c r="L537" s="582" t="s">
        <v>4438</v>
      </c>
      <c r="M537" s="376" t="s">
        <v>4574</v>
      </c>
      <c r="N537" s="381"/>
      <c r="O537" s="2562" cm="1">
        <f t="array" ref="O537">INDEX('5층_부하량'!G3:G3000,MATCH(1,("5-DaHall 1-PDU-22"='5층_부하량'!A3:A3000)*(4='5층_부하량'!B3:B3000),0))</f>
        <v>4.84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9" cm="1">
        <f t="array" ref="F538">INDEX('5층_부하량'!H3:H3000,MATCH(1,("5-DaHall 1-PDU-22"='5층_부하량'!A3:A3000)*(5='5층_부하량'!B3:B3000),0))</f>
        <v>2.37</v>
      </c>
      <c r="G538" s="381"/>
      <c r="H538" s="376" t="s">
        <v>4574</v>
      </c>
      <c r="I538" s="2350" t="s">
        <v>4161</v>
      </c>
      <c r="J538" s="1025"/>
      <c r="K538" s="1026"/>
      <c r="L538" s="583" t="s">
        <v>4441</v>
      </c>
      <c r="M538" s="1208" t="s">
        <v>5651</v>
      </c>
      <c r="N538" s="381"/>
      <c r="O538" s="381"/>
      <c r="P538" s="2569" cm="1">
        <f t="array" ref="P538">INDEX('5층_부하량'!H3:H3000,MATCH(1,("5-DaHall 1-PDU-22"='5층_부하량'!A3:A3000)*(6='5층_부하량'!B3:B3000),0))</f>
        <v>3.92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9" cm="1">
        <f t="array" ref="D539">INDEX('5층_부하량'!F3:F3000,MATCH(1,("5-DaHall 1-PDU-22"='5층_부하량'!A3:A3000)*(7='5층_부하량'!B3:B3000),0))</f>
        <v>7.67</v>
      </c>
      <c r="E539" s="381"/>
      <c r="F539" s="381"/>
      <c r="G539" s="381"/>
      <c r="H539" s="376" t="s">
        <v>4574</v>
      </c>
      <c r="I539" s="552" t="s">
        <v>4218</v>
      </c>
      <c r="J539" s="1025"/>
      <c r="K539" s="1026"/>
      <c r="L539" s="572" t="s">
        <v>4167</v>
      </c>
      <c r="M539" s="376" t="s">
        <v>4574</v>
      </c>
      <c r="N539" s="2569" cm="1">
        <f t="array" ref="N539">INDEX('5층_부하량'!F3:F3000,MATCH(1,("5-DaHall 1-PDU-22"='5층_부하량'!A3:A3000)*(8='5층_부하량'!B3:B3000),0))</f>
        <v>7.64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2" cm="1">
        <f t="array" ref="E540">INDEX('5층_부하량'!G3:G3000,MATCH(1,("5-DaHall 1-PDU-22"='5층_부하량'!A3:A3000)*(9='5층_부하량'!B3:B3000),0))</f>
        <v>14.4</v>
      </c>
      <c r="F540" s="381"/>
      <c r="G540" s="381"/>
      <c r="H540" s="376" t="s">
        <v>4574</v>
      </c>
      <c r="I540" s="552" t="s">
        <v>4221</v>
      </c>
      <c r="J540" s="1025"/>
      <c r="K540" s="1026"/>
      <c r="L540" s="572" t="s">
        <v>4170</v>
      </c>
      <c r="M540" s="376" t="s">
        <v>4574</v>
      </c>
      <c r="N540" s="381"/>
      <c r="O540" s="2562" cm="1">
        <f t="array" ref="O540">INDEX('5층_부하량'!G3:G3000,MATCH(1,("5-DaHall 1-PDU-22"='5층_부하량'!A3:A3000)*(10='5층_부하량'!B3:B3000),0))</f>
        <v>12.01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9" cm="1">
        <f t="array" ref="F541">INDEX('5층_부하량'!H3:H3000,MATCH(1,("5-DaHall 1-PDU-22"='5층_부하량'!A3:A3000)*(11='5층_부하량'!B3:B3000),0))</f>
        <v>8.59</v>
      </c>
      <c r="G541" s="381"/>
      <c r="H541" s="376" t="s">
        <v>4574</v>
      </c>
      <c r="I541" s="552" t="s">
        <v>4226</v>
      </c>
      <c r="J541" s="1025"/>
      <c r="K541" s="1026"/>
      <c r="L541" s="572" t="s">
        <v>4173</v>
      </c>
      <c r="M541" s="1208" t="s">
        <v>5651</v>
      </c>
      <c r="N541" s="381"/>
      <c r="O541" s="381"/>
      <c r="P541" s="2569" cm="1">
        <f t="array" ref="P541">INDEX('5층_부하량'!H3:H3000,MATCH(1,("5-DaHall 1-PDU-22"='5층_부하량'!A3:A3000)*(12='5층_부하량'!B3:B3000),0))</f>
        <v>3.26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9" cm="1">
        <f t="array" ref="D542">INDEX('5층_부하량'!F3:F3000,MATCH(1,("5-DaHall 1-PDU-22"='5층_부하량'!A3:A3000)*(13='5층_부하량'!B3:B3000),0))</f>
        <v>13.17</v>
      </c>
      <c r="E542" s="381"/>
      <c r="F542" s="381"/>
      <c r="G542" s="381"/>
      <c r="H542" s="376" t="s">
        <v>4574</v>
      </c>
      <c r="I542" s="552" t="s">
        <v>4230</v>
      </c>
      <c r="J542" s="1025"/>
      <c r="K542" s="1026"/>
      <c r="L542" s="572" t="s">
        <v>4175</v>
      </c>
      <c r="M542" s="1208" t="s">
        <v>5651</v>
      </c>
      <c r="N542" s="2569" cm="1">
        <f t="array" ref="N542">INDEX('5층_부하량'!F3:F3000,MATCH(1,("5-DaHall 1-PDU-22"='5층_부하량'!A3:A3000)*(14='5층_부하량'!B3:B3000),0))</f>
        <v>2.4699999999999998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9" cm="1">
        <f t="array" ref="E543">INDEX('5층_부하량'!G3:G3000,MATCH(1,("5-DaHall 1-PDU-22"='5층_부하량'!A3:A3000)*(15='5층_부하량'!B3:B3000),0))</f>
        <v>5.85</v>
      </c>
      <c r="F543" s="381"/>
      <c r="G543" s="381"/>
      <c r="H543" s="1208" t="s">
        <v>5651</v>
      </c>
      <c r="I543" s="552" t="s">
        <v>4234</v>
      </c>
      <c r="J543" s="1025"/>
      <c r="K543" s="1026"/>
      <c r="L543" s="572" t="s">
        <v>4177</v>
      </c>
      <c r="M543" s="376" t="s">
        <v>4574</v>
      </c>
      <c r="N543" s="381"/>
      <c r="O543" s="2569" cm="1">
        <f t="array" ref="O543">INDEX('5층_부하량'!G3:G3000,MATCH(1,("5-DaHall 1-PDU-22"='5층_부하량'!A3:A3000)*(16='5층_부하량'!B3:B3000),0))</f>
        <v>13.68</v>
      </c>
      <c r="P543" s="381"/>
      <c r="Q543" s="381"/>
      <c r="R543" s="382" t="s">
        <v>5562</v>
      </c>
      <c r="S543" s="1206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9" cm="1">
        <f t="array" ref="F544">INDEX('5층_부하량'!H3:H3000,MATCH(1,("5-DaHall 1-PDU-22"='5층_부하량'!A3:A3000)*(17='5층_부하량'!B3:B3000),0))</f>
        <v>5.4</v>
      </c>
      <c r="G544" s="381"/>
      <c r="H544" s="1209" t="s">
        <v>4150</v>
      </c>
      <c r="I544" s="552" t="s">
        <v>4238</v>
      </c>
      <c r="J544" s="1025"/>
      <c r="K544" s="1026"/>
      <c r="L544" s="572" t="s">
        <v>4179</v>
      </c>
      <c r="M544" s="376" t="s">
        <v>4574</v>
      </c>
      <c r="N544" s="381"/>
      <c r="O544" s="381"/>
      <c r="P544" s="2569" cm="1">
        <f t="array" ref="P544">INDEX('5층_부하량'!H3:H3000,MATCH(1,("5-DaHall 1-PDU-22"='5층_부하량'!A3:A3000)*(18='5층_부하량'!B3:B3000),0))</f>
        <v>8.01</v>
      </c>
      <c r="Q544" s="381"/>
      <c r="R544" s="382" t="s">
        <v>5562</v>
      </c>
      <c r="S544" s="1206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9" cm="1">
        <f t="array" ref="D545">INDEX('5층_부하량'!F3:F3000,MATCH(1,("5-DaHall 1-PDU-22"='5층_부하량'!A3:A3000)*(19='5층_부하량'!B3:B3000),0))</f>
        <v>5.92</v>
      </c>
      <c r="E545" s="381"/>
      <c r="F545" s="381"/>
      <c r="G545" s="381"/>
      <c r="H545" s="1209" t="s">
        <v>4150</v>
      </c>
      <c r="I545" s="552" t="s">
        <v>4243</v>
      </c>
      <c r="J545" s="1025"/>
      <c r="K545" s="1026"/>
      <c r="L545" s="572" t="s">
        <v>4183</v>
      </c>
      <c r="M545" s="376" t="s">
        <v>4574</v>
      </c>
      <c r="N545" s="2569" cm="1">
        <f t="array" ref="N545">INDEX('5층_부하량'!F3:F3000,MATCH(1,("5-DaHall 1-PDU-22"='5층_부하량'!A3:A3000)*(20='5층_부하량'!B3:B3000),0))</f>
        <v>7.54</v>
      </c>
      <c r="O545" s="381"/>
      <c r="P545" s="381"/>
      <c r="Q545" s="381"/>
      <c r="R545" s="382" t="s">
        <v>5562</v>
      </c>
      <c r="S545" s="1206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6" t="s">
        <v>4296</v>
      </c>
      <c r="D546" s="381"/>
      <c r="E546" s="2562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4574</v>
      </c>
      <c r="I546" s="2350" t="s">
        <v>5667</v>
      </c>
      <c r="J546" s="1025"/>
      <c r="K546" s="1026"/>
      <c r="L546" s="583" t="s">
        <v>5668</v>
      </c>
      <c r="M546" s="376" t="s">
        <v>4574</v>
      </c>
      <c r="N546" s="381"/>
      <c r="O546" s="2562" cm="1">
        <f t="array" ref="O546">INDEX('5층_부하량'!G3:G3000,MATCH(1,("5-DaHall 1-PDU-22"='5층_부하량'!A3:A3000)*(22='5층_부하량'!B3:B3000),0))</f>
        <v>3.7800000000000002</v>
      </c>
      <c r="P546" s="381"/>
      <c r="Q546" s="381"/>
      <c r="R546" s="382" t="s">
        <v>5562</v>
      </c>
      <c r="S546" s="1206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70" cm="1">
        <f t="array" ref="F547">INDEX('5층_부하량'!H3:H3000,MATCH(1,("5-DaHall 1-PDU-22"='5층_부하량'!A3:A3000)*(23='5층_부하량'!B3:B3000),0))</f>
        <v>13.45</v>
      </c>
      <c r="G547" s="427"/>
      <c r="H547" s="426" t="s">
        <v>4574</v>
      </c>
      <c r="I547" s="2351" t="s">
        <v>5670</v>
      </c>
      <c r="J547" s="1203"/>
      <c r="K547" s="1204"/>
      <c r="L547" s="1205" t="s">
        <v>5671</v>
      </c>
      <c r="M547" s="426" t="s">
        <v>4574</v>
      </c>
      <c r="N547" s="427"/>
      <c r="O547" s="427"/>
      <c r="P547" s="2570" cm="1">
        <f t="array" ref="P547">INDEX('5층_부하량'!H3:H3000,MATCH(1,("5-DaHall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3"/>
      <c r="M548" s="405" t="s">
        <v>5218</v>
      </c>
      <c r="N548" s="406">
        <f>SUM(D536:D547,N536:N547)</f>
        <v>65.930000000000007</v>
      </c>
      <c r="O548" s="406">
        <f>SUM(E536:E547,O536:O547)</f>
        <v>64.040000000000006</v>
      </c>
      <c r="P548" s="406">
        <f>SUM(F536:F547,P536:P547)</f>
        <v>44.999999999999993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3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8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2" t="s">
        <v>5740</v>
      </c>
      <c r="I552" s="2353" t="s">
        <v>5741</v>
      </c>
      <c r="J552" s="369" t="s">
        <v>5742</v>
      </c>
      <c r="K552" s="370" t="s">
        <v>3917</v>
      </c>
      <c r="L552" s="581" t="s">
        <v>4444</v>
      </c>
      <c r="M552" s="2348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4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50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51" t="s">
        <v>5751</v>
      </c>
      <c r="J554" s="443" t="s">
        <v>5747</v>
      </c>
      <c r="K554" s="435" t="s">
        <v>5747</v>
      </c>
      <c r="L554" s="1205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3"/>
    </row>
    <row r="556" spans="1:20" s="350" customFormat="1" ht="17.399999999999999">
      <c r="D556" s="350" t="s">
        <v>4542</v>
      </c>
      <c r="E556" s="350" t="s">
        <v>5754</v>
      </c>
      <c r="L556" s="2343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585.78</v>
      </c>
      <c r="E557" s="449">
        <f t="shared" ref="E557:E564" si="0">D557/$D$564</f>
        <v>0.37995719011480827</v>
      </c>
      <c r="L557" s="2343"/>
      <c r="M557" s="350" t="s">
        <v>6461</v>
      </c>
      <c r="N557" s="406">
        <f>N53</f>
        <v>39.35</v>
      </c>
      <c r="O557" s="406">
        <f t="shared" ref="O557:P557" si="1">O53</f>
        <v>41.46</v>
      </c>
      <c r="P557" s="406">
        <f t="shared" si="1"/>
        <v>31.62</v>
      </c>
    </row>
    <row r="558" spans="1:20" s="350" customFormat="1" ht="17.399999999999999">
      <c r="A558" s="450"/>
      <c r="B558" s="2355" t="s">
        <v>3509</v>
      </c>
      <c r="D558" s="406">
        <f>SUM(N356:P356,N415:P415,D356:F356,D415:F415,D425:F425)</f>
        <v>45.11</v>
      </c>
      <c r="E558" s="449">
        <f t="shared" si="0"/>
        <v>2.9259907893883375E-2</v>
      </c>
      <c r="L558" s="2343"/>
      <c r="M558" s="350" t="s">
        <v>6462</v>
      </c>
      <c r="N558" s="406">
        <f>N83</f>
        <v>38.849999999999994</v>
      </c>
      <c r="O558" s="406">
        <f t="shared" ref="O558:P558" si="2">O83</f>
        <v>38.64</v>
      </c>
      <c r="P558" s="406">
        <f t="shared" si="2"/>
        <v>30.200000000000003</v>
      </c>
    </row>
    <row r="559" spans="1:20" s="350" customFormat="1" ht="17.399999999999999">
      <c r="A559" s="450"/>
      <c r="B559" s="2355" t="s">
        <v>5756</v>
      </c>
      <c r="D559" s="406">
        <f>SUM(D553:F554,N553:P554)</f>
        <v>128.30000000000001</v>
      </c>
      <c r="E559" s="449">
        <f t="shared" si="0"/>
        <v>8.3219822274112995E-2</v>
      </c>
      <c r="L559" s="2343"/>
      <c r="M559" s="350" t="s">
        <v>6463</v>
      </c>
      <c r="N559" s="406">
        <f>N113</f>
        <v>31.849999999999998</v>
      </c>
      <c r="O559" s="406">
        <f t="shared" ref="O559:P559" si="3">O113</f>
        <v>21.470000000000002</v>
      </c>
      <c r="P559" s="406">
        <f t="shared" si="3"/>
        <v>16.29</v>
      </c>
    </row>
    <row r="560" spans="1:20" s="350" customFormat="1" ht="17.399999999999999">
      <c r="A560" s="450"/>
      <c r="B560" s="2355" t="s">
        <v>5757</v>
      </c>
      <c r="D560" s="989">
        <f>SUM(N463:P463)</f>
        <v>22.340000000000003</v>
      </c>
      <c r="E560" s="990">
        <f t="shared" si="0"/>
        <v>1.4490497502756699E-2</v>
      </c>
      <c r="L560" s="2343"/>
      <c r="M560" s="350" t="s">
        <v>6464</v>
      </c>
      <c r="N560" s="406">
        <f>N143</f>
        <v>29.64</v>
      </c>
      <c r="O560" s="406">
        <f t="shared" ref="O560:P560" si="4">O143</f>
        <v>19.759999999999998</v>
      </c>
      <c r="P560" s="406">
        <f t="shared" si="4"/>
        <v>16.07</v>
      </c>
    </row>
    <row r="561" spans="1:17" s="350" customFormat="1" ht="17.399999999999999">
      <c r="A561" s="450"/>
      <c r="B561" s="2355" t="s">
        <v>5758</v>
      </c>
      <c r="D561" s="989">
        <f>SUM(N484:P484)</f>
        <v>11.74</v>
      </c>
      <c r="E561" s="990">
        <f t="shared" si="0"/>
        <v>7.6149704871246024E-3</v>
      </c>
      <c r="F561" s="2356" t="s">
        <v>5759</v>
      </c>
      <c r="G561" s="991">
        <f>SUM(E560:E561)</f>
        <v>2.2105467989881302E-2</v>
      </c>
      <c r="H561" s="406"/>
      <c r="L561" s="2343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5" t="s">
        <v>5760</v>
      </c>
      <c r="D562" s="989">
        <f>SUM(D362:F362,D367:F367,D370:F370,D421:F424,D426:F429,N426:P426,N429:P429)</f>
        <v>19.090000000000003</v>
      </c>
      <c r="E562" s="990">
        <f t="shared" si="0"/>
        <v>1.2382434974378935E-2</v>
      </c>
      <c r="F562" s="2356"/>
      <c r="G562" s="991"/>
      <c r="L562" s="2343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5761</v>
      </c>
      <c r="C563" s="1211"/>
      <c r="D563" s="1212">
        <f>SUM(N500:P500,N516:P516,N532:P532,N548:P548)</f>
        <v>729.33999999999992</v>
      </c>
      <c r="E563" s="1213">
        <f t="shared" si="0"/>
        <v>0.47307517675293498</v>
      </c>
      <c r="F563" s="2343"/>
      <c r="L563" s="2343"/>
      <c r="M563" s="350" t="s">
        <v>6467</v>
      </c>
      <c r="N563" s="406">
        <f>N244</f>
        <v>8.9700000000000006</v>
      </c>
      <c r="O563" s="406">
        <f t="shared" ref="O563:P563" si="7">O244</f>
        <v>1.45</v>
      </c>
      <c r="P563" s="406">
        <f t="shared" si="7"/>
        <v>0.8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1541.7</v>
      </c>
      <c r="E564" s="451">
        <f t="shared" si="0"/>
        <v>1</v>
      </c>
      <c r="J564" s="406"/>
      <c r="L564" s="2343"/>
      <c r="M564" s="350" t="s">
        <v>6468</v>
      </c>
      <c r="N564" s="406">
        <f>N289</f>
        <v>6.69</v>
      </c>
      <c r="O564" s="406">
        <f t="shared" ref="O564:P564" si="8">O289</f>
        <v>1.48</v>
      </c>
      <c r="P564" s="406">
        <f t="shared" si="8"/>
        <v>1.3900000000000001</v>
      </c>
    </row>
    <row r="565" spans="1:17" s="350" customFormat="1" ht="17.399999999999999">
      <c r="D565" s="406"/>
      <c r="E565" s="406"/>
      <c r="L565" s="2343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3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3"/>
      <c r="M567" s="350" t="s">
        <v>6471</v>
      </c>
      <c r="N567" s="406">
        <f>N332</f>
        <v>16.490000000000002</v>
      </c>
      <c r="O567" s="406">
        <f t="shared" ref="O567:P567" si="11">O332</f>
        <v>11.18</v>
      </c>
      <c r="P567" s="406">
        <f t="shared" si="11"/>
        <v>10.719999999999999</v>
      </c>
    </row>
    <row r="568" spans="1:17" s="350" customFormat="1" ht="18" thickBot="1">
      <c r="L568" s="2343"/>
      <c r="M568" s="350" t="s">
        <v>6472</v>
      </c>
      <c r="N568" s="406">
        <f>N391</f>
        <v>23</v>
      </c>
      <c r="O568" s="406">
        <f t="shared" ref="O568:P568" si="12">O391</f>
        <v>13.77</v>
      </c>
      <c r="P568" s="406">
        <f t="shared" si="12"/>
        <v>15.370000000000001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6473</v>
      </c>
      <c r="N569" s="406">
        <f>N352</f>
        <v>13.870000000000001</v>
      </c>
      <c r="O569" s="406">
        <f t="shared" ref="O569:P569" si="13">O352</f>
        <v>20.020000000000003</v>
      </c>
      <c r="P569" s="406">
        <f t="shared" si="13"/>
        <v>15.38</v>
      </c>
    </row>
    <row r="570" spans="1:17" s="350" customFormat="1" ht="17.399999999999999">
      <c r="B570" s="3826" t="s">
        <v>5746</v>
      </c>
      <c r="C570" s="3827"/>
      <c r="J570" s="455"/>
      <c r="L570" s="2343"/>
      <c r="M570" s="350" t="s">
        <v>5964</v>
      </c>
      <c r="N570" s="406">
        <f>N411</f>
        <v>17.39</v>
      </c>
      <c r="O570" s="406">
        <f t="shared" ref="O570:P570" si="14">O411</f>
        <v>12.530000000000001</v>
      </c>
      <c r="P570" s="406">
        <f t="shared" si="14"/>
        <v>7.73</v>
      </c>
    </row>
    <row r="571" spans="1:17" s="350" customFormat="1" ht="18" thickBot="1">
      <c r="B571" s="456"/>
      <c r="C571" s="457"/>
      <c r="J571" s="455"/>
      <c r="L571" s="2343"/>
      <c r="M571" s="350" t="s">
        <v>5966</v>
      </c>
      <c r="N571" s="406">
        <f>N371</f>
        <v>20.100000000000001</v>
      </c>
      <c r="O571" s="406">
        <f t="shared" ref="O571:P571" si="15">O371</f>
        <v>13.63</v>
      </c>
      <c r="P571" s="406">
        <f t="shared" si="15"/>
        <v>15.38</v>
      </c>
    </row>
    <row r="572" spans="1:17" s="350" customFormat="1" ht="17.399999999999999">
      <c r="B572" s="458"/>
      <c r="J572" s="455"/>
      <c r="L572" s="2343"/>
      <c r="M572" s="350" t="s">
        <v>5968</v>
      </c>
      <c r="N572" s="406">
        <f>N430</f>
        <v>21.339999999999996</v>
      </c>
      <c r="O572" s="406">
        <f t="shared" ref="O572:P572" si="16">O430</f>
        <v>13.509999999999998</v>
      </c>
      <c r="P572" s="406">
        <f t="shared" si="16"/>
        <v>19.610000000000003</v>
      </c>
    </row>
    <row r="573" spans="1:17" s="350" customFormat="1" ht="17.399999999999999">
      <c r="B573" s="458"/>
      <c r="E573" s="459"/>
      <c r="J573" s="455"/>
      <c r="L573" s="2343"/>
      <c r="M573" s="350" t="s">
        <v>6474</v>
      </c>
      <c r="N573" s="406">
        <f>N463</f>
        <v>5.87</v>
      </c>
      <c r="O573" s="406">
        <f t="shared" ref="O573:P573" si="17">O463</f>
        <v>14.010000000000002</v>
      </c>
      <c r="P573" s="406">
        <f t="shared" si="17"/>
        <v>2.46</v>
      </c>
      <c r="Q573" s="406">
        <f>SUM(N573:P573)</f>
        <v>22.340000000000003</v>
      </c>
    </row>
    <row r="574" spans="1:17" s="350" customFormat="1" ht="17.399999999999999">
      <c r="B574" s="458"/>
      <c r="E574" s="460"/>
      <c r="J574" s="455"/>
      <c r="L574" s="2343"/>
      <c r="M574" s="350" t="s">
        <v>6475</v>
      </c>
      <c r="N574" s="406">
        <f>N484</f>
        <v>5.22</v>
      </c>
      <c r="O574" s="406">
        <f t="shared" ref="O574:P574" si="18">O484</f>
        <v>5.03</v>
      </c>
      <c r="P574" s="406">
        <f t="shared" si="18"/>
        <v>1.49</v>
      </c>
      <c r="Q574" s="406">
        <f>SUM(N574:P574)</f>
        <v>11.74</v>
      </c>
    </row>
    <row r="575" spans="1:17" s="350" customFormat="1" ht="17.399999999999999">
      <c r="B575" s="458"/>
      <c r="E575" s="460"/>
      <c r="J575" s="455"/>
      <c r="L575" s="2343"/>
      <c r="M575" s="350" t="s">
        <v>6476</v>
      </c>
      <c r="N575" s="406">
        <f>N500</f>
        <v>74.460000000000008</v>
      </c>
      <c r="O575" s="406">
        <f t="shared" ref="O575:P575" si="19">O500</f>
        <v>79.06</v>
      </c>
      <c r="P575" s="406">
        <f t="shared" si="19"/>
        <v>37.14</v>
      </c>
    </row>
    <row r="576" spans="1:17" s="350" customFormat="1" ht="17.399999999999999">
      <c r="B576" s="458"/>
      <c r="E576" s="461" t="s">
        <v>5763</v>
      </c>
      <c r="J576" s="455"/>
      <c r="L576" s="2343"/>
      <c r="M576" s="350" t="s">
        <v>6477</v>
      </c>
      <c r="N576" s="406">
        <f>N516</f>
        <v>72.23</v>
      </c>
      <c r="O576" s="406">
        <f t="shared" ref="O576:P576" si="20">O516</f>
        <v>69.69</v>
      </c>
      <c r="P576" s="406">
        <f t="shared" si="20"/>
        <v>36.14</v>
      </c>
    </row>
    <row r="577" spans="2:18" s="350" customFormat="1" ht="17.399999999999999">
      <c r="B577" s="458"/>
      <c r="E577" s="460"/>
      <c r="J577" s="455"/>
      <c r="L577" s="2343"/>
      <c r="M577" s="350" t="s">
        <v>6478</v>
      </c>
      <c r="N577" s="406">
        <f>N532</f>
        <v>68.48</v>
      </c>
      <c r="O577" s="406">
        <f t="shared" ref="O577:P577" si="21">O532</f>
        <v>75.649999999999991</v>
      </c>
      <c r="P577" s="406">
        <f t="shared" si="21"/>
        <v>41.52</v>
      </c>
    </row>
    <row r="578" spans="2:18" s="350" customFormat="1" ht="17.399999999999999">
      <c r="B578" s="458"/>
      <c r="E578" s="460"/>
      <c r="J578" s="455"/>
      <c r="L578" s="2343"/>
      <c r="M578" s="350" t="s">
        <v>6479</v>
      </c>
      <c r="N578" s="406">
        <f>N548</f>
        <v>65.930000000000007</v>
      </c>
      <c r="O578" s="406">
        <f t="shared" ref="O578:P578" si="22">O548</f>
        <v>64.040000000000006</v>
      </c>
      <c r="P578" s="406">
        <f t="shared" si="22"/>
        <v>44.999999999999993</v>
      </c>
      <c r="R578" s="406">
        <f>SUM(N575:P578)</f>
        <v>729.33999999999992</v>
      </c>
    </row>
    <row r="579" spans="2:18" s="350" customFormat="1" ht="18" thickBot="1">
      <c r="B579" s="458"/>
      <c r="E579" s="462" t="s">
        <v>5764</v>
      </c>
      <c r="J579" s="455"/>
      <c r="L579" s="2343"/>
      <c r="N579" s="406">
        <f>SUM(N557:N578)</f>
        <v>559.73</v>
      </c>
      <c r="O579" s="406">
        <f t="shared" ref="O579:P579" si="23">SUM(O557:O578)</f>
        <v>516.38</v>
      </c>
      <c r="P579" s="406">
        <f t="shared" si="23"/>
        <v>344.31</v>
      </c>
      <c r="Q579" s="406">
        <f>SUM(N579:P579)</f>
        <v>1420.42</v>
      </c>
    </row>
    <row r="580" spans="2:18" s="350" customFormat="1" ht="17.399999999999999">
      <c r="B580" s="458"/>
      <c r="J580" s="455"/>
      <c r="L580" s="2343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43"/>
      <c r="Q581" s="406">
        <f>SUM(Q579:Q580)</f>
        <v>1548.72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>
      <c r="B583" s="458"/>
      <c r="F583" s="3826" t="s">
        <v>5765</v>
      </c>
      <c r="G583" s="3827"/>
      <c r="H583" s="464" t="s">
        <v>5766</v>
      </c>
      <c r="I583" s="464"/>
      <c r="J583" s="464" t="s">
        <v>5767</v>
      </c>
      <c r="L583" s="2343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>
      <c r="L586" s="2343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4" t="s">
        <v>9312</v>
      </c>
    </row>
    <row r="2" spans="1:22" ht="18" customHeight="1" thickBot="1">
      <c r="V2" s="2071"/>
    </row>
    <row r="3" spans="1:22" ht="18" customHeight="1" thickTop="1" thickBot="1">
      <c r="A3" s="2371" t="s">
        <v>6516</v>
      </c>
      <c r="D3" s="53"/>
      <c r="E3" s="53"/>
      <c r="F3" s="53"/>
      <c r="G3" s="53"/>
      <c r="H3" s="123"/>
      <c r="I3" s="123"/>
      <c r="J3" s="3819" t="s">
        <v>4562</v>
      </c>
      <c r="K3" s="382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4136</v>
      </c>
      <c r="N4" s="1342">
        <v>62.2</v>
      </c>
      <c r="O4" s="1343">
        <v>67</v>
      </c>
      <c r="P4" s="1344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4" t="s">
        <v>6556</v>
      </c>
      <c r="B6" s="11" t="s">
        <v>4208</v>
      </c>
      <c r="C6" s="18" t="s">
        <v>4149</v>
      </c>
      <c r="D6" s="2560" cm="1">
        <f t="array" ref="D6">INDEX('5층_부하량'!I3:I3000,MATCH(1,("5-DaHall 1-CEP-05"='5층_부하량'!A3:A3000)*(1='5층_부하량'!B3:B3000),0))</f>
        <v>0</v>
      </c>
      <c r="E6" s="2560" cm="1">
        <f t="array" ref="E6">INDEX('5층_부하량'!J3:J3000,MATCH(1,("5-DaHall 1-CEP-05"='5층_부하량'!A3:A3000)*(1='5층_부하량'!B3:B3000),0))</f>
        <v>0</v>
      </c>
      <c r="F6" s="2560" cm="1">
        <f t="array" ref="F6">INDEX('5층_부하량'!K3:K3000,MATCH(1,("5-DaHall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9" cm="1">
        <f t="array" ref="N6">INDEX('5층_부하량'!I3:I3000,MATCH(1,("5-DaHall 1-CEP-05"='5층_부하량'!A3:A3000)*(2='5층_부하량'!B3:B3000),0))</f>
        <v>0</v>
      </c>
      <c r="O6" s="2559" cm="1">
        <f t="array" ref="O6">INDEX('5층_부하량'!J3:J3000,MATCH(1,("5-DaHall 1-CEP-05"='5층_부하량'!A3:A3000)*(2='5층_부하량'!B3:B3000),0))</f>
        <v>0</v>
      </c>
      <c r="P6" s="2559" cm="1">
        <f t="array" ref="P6">INDEX('5층_부하량'!K3:K3000,MATCH(1,("5-DaHall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60" cm="1">
        <f t="array" ref="D7">INDEX('5층_부하량'!I3:I3000,MATCH(1,("5-DaHall 1-CEP-05"='5층_부하량'!A3:A3000)*(3='5층_부하량'!B3:B3000),0))</f>
        <v>8.9631944444444445E-2</v>
      </c>
      <c r="E7" s="2560" cm="1">
        <f t="array" ref="E7">INDEX('5층_부하량'!J3:J3000,MATCH(1,("5-DaHall 1-CEP-05"='5층_부하량'!A3:A3000)*(3='5층_부하량'!B3:B3000),0))</f>
        <v>9.0312500000000004E-2</v>
      </c>
      <c r="F7" s="2560" cm="1">
        <f t="array" ref="F7">INDEX('5층_부하량'!K3:K3000,MATCH(1,("5-DaHall 1-CEP-05"='5층_부하량'!A3:A3000)*(3='5층_부하량'!B3:B3000),0))</f>
        <v>9.0187500000000004E-2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60" cm="1">
        <f t="array" ref="N7">INDEX('5층_부하량'!I3:I3000,MATCH(1,("5-DaHall 1-CEP-05"='5층_부하량'!A3:A3000)*(4='5층_부하량'!B3:B3000),0))</f>
        <v>18.489158901043886</v>
      </c>
      <c r="O7" s="2560" cm="1">
        <f t="array" ref="O7">INDEX('5층_부하량'!J3:J3000,MATCH(1,("5-DaHall 1-CEP-05"='5층_부하량'!A3:A3000)*(4='5층_부하량'!B3:B3000),0))</f>
        <v>18.644782231911346</v>
      </c>
      <c r="P7" s="2560" cm="1">
        <f t="array" ref="P7">INDEX('5층_부하량'!K3:K3000,MATCH(1,("5-DaHall 1-CEP-05"='5층_부하량'!A3:A3000)*(4='5층_부하량'!B3:B3000),0))</f>
        <v>18.312332697406603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2" cm="1">
        <f t="array" ref="D8">INDEX('5층_부하량'!I3:I3000,MATCH(1,("5-DaHall 1-CEP-05"='5층_부하량'!A3:A3000)*(5='5층_부하량'!B3:B3000),0))</f>
        <v>0.10713194444444443</v>
      </c>
      <c r="E8" s="2562" cm="1">
        <f t="array" ref="E8">INDEX('5층_부하량'!J3:J3000,MATCH(1,("5-DaHall 1-CEP-05"='5층_부하량'!A3:A3000)*(5='5층_부하량'!B3:B3000),0))</f>
        <v>0.10782638888888892</v>
      </c>
      <c r="F8" s="2562" cm="1">
        <f t="array" ref="F8">INDEX('5층_부하량'!K3:K3000,MATCH(1,("5-DaHall 1-CEP-05"='5층_부하량'!A3:A3000)*(5='5층_부하량'!B3:B3000),0))</f>
        <v>0.10769444444444444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2" cm="1">
        <f t="array" ref="N8">INDEX('5층_부하량'!I3:I3000,MATCH(1,("5-DaHall 1-CEP-05"='5층_부하량'!A3:A3000)*(6='5층_부하량'!B3:B3000),0))</f>
        <v>19.472525091664998</v>
      </c>
      <c r="O8" s="2562" cm="1">
        <f t="array" ref="O8">INDEX('5층_부하량'!J3:J3000,MATCH(1,("5-DaHall 1-CEP-05"='5층_부하량'!A3:A3000)*(6='5층_부하량'!B3:B3000),0))</f>
        <v>19.097159537032105</v>
      </c>
      <c r="P8" s="2562" cm="1">
        <f t="array" ref="P8">INDEX('5층_부하량'!K3:K3000,MATCH(1,("5-DaHall 1-CEP-05"='5층_부하량'!A3:A3000)*(6='5층_부하량'!B3:B3000),0))</f>
        <v>19.443690508223796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2" cm="1">
        <f t="array" ref="D9">INDEX('5층_부하량'!I3:I3000,MATCH(1,("5-DaHall 1-CEP-05"='5층_부하량'!A3:A3000)*(7='5층_부하량'!B3:B3000),0))</f>
        <v>16.942003171020083</v>
      </c>
      <c r="E9" s="2562" cm="1">
        <f t="array" ref="E9">INDEX('5층_부하량'!J3:J3000,MATCH(1,("5-DaHall 1-CEP-05"='5층_부하량'!A3:A3000)*(7='5층_부하량'!B3:B3000),0))</f>
        <v>16.960594720984748</v>
      </c>
      <c r="F9" s="2562" cm="1">
        <f t="array" ref="F9">INDEX('5층_부하량'!K3:K3000,MATCH(1,("5-DaHall 1-CEP-05"='5층_부하량'!A3:A3000)*(7='5층_부하량'!B3:B3000),0))</f>
        <v>16.632447939011897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2" cm="1">
        <f t="array" ref="N9">INDEX('5층_부하량'!I3:I3000,MATCH(1,("5-DaHall 1-CEP-05"='5층_부하량'!A3:A3000)*(8='5층_부하량'!B3:B3000),0))</f>
        <v>10.647513408947125</v>
      </c>
      <c r="O9" s="2562" cm="1">
        <f t="array" ref="O9">INDEX('5층_부하량'!J3:J3000,MATCH(1,("5-DaHall 1-CEP-05"='5층_부하량'!A3:A3000)*(8='5층_부하량'!B3:B3000),0))</f>
        <v>10.751144957669229</v>
      </c>
      <c r="P9" s="2562" cm="1">
        <f t="array" ref="P9">INDEX('5층_부하량'!K3:K3000,MATCH(1,("5-DaHall 1-CEP-05"='5층_부하량'!A3:A3000)*(8='5층_부하량'!B3:B3000),0))</f>
        <v>10.674669259877806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2" cm="1">
        <f t="array" ref="D10">INDEX('5층_부하량'!I3:I3000,MATCH(1,("5-DaHall 1-CEP-05"='5층_부하량'!A3:A3000)*(9='5층_부하량'!B3:B3000),0))</f>
        <v>0.11087499999999997</v>
      </c>
      <c r="E10" s="2562" cm="1">
        <f t="array" ref="E10">INDEX('5층_부하량'!J3:J3000,MATCH(1,("5-DaHall 1-CEP-05"='5층_부하량'!A3:A3000)*(9='5층_부하량'!B3:B3000),0))</f>
        <v>0.11231250000000001</v>
      </c>
      <c r="F10" s="2562" cm="1">
        <f t="array" ref="F10">INDEX('5층_부하량'!K3:K3000,MATCH(1,("5-DaHall 1-CEP-05"='5층_부하량'!A3:A3000)*(9='5층_부하량'!B3:B3000),0))</f>
        <v>0.11120138888888889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2" cm="1">
        <f t="array" ref="N10">INDEX('5층_부하량'!I3:I3000,MATCH(1,("5-DaHall 1-CEP-05"='5층_부하량'!A3:A3000)*(10='5층_부하량'!B3:B3000),0))</f>
        <v>6.2152777777777779E-2</v>
      </c>
      <c r="O10" s="2562" cm="1">
        <f t="array" ref="O10">INDEX('5층_부하량'!J3:J3000,MATCH(1,("5-DaHall 1-CEP-05"='5층_부하량'!A3:A3000)*(10='5층_부하량'!B3:B3000),0))</f>
        <v>6.3291666666666663E-2</v>
      </c>
      <c r="P10" s="2562" cm="1">
        <f t="array" ref="P10">INDEX('5층_부하량'!K3:K3000,MATCH(1,("5-DaHall 1-CEP-05"='5층_부하량'!A3:A3000)*(10='5층_부하량'!B3:B3000),0))</f>
        <v>6.2590277777777772E-2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3" cm="1">
        <f t="array" ref="D11">INDEX('5층_부하량'!I3:I3000,MATCH(1,("5-DaHall 1-CEP-05"='5층_부하량'!A3:A3000)*(11='5층_부하량'!B3:B3000),0))</f>
        <v>7.1827658095899929E-2</v>
      </c>
      <c r="E11" s="2563" cm="1">
        <f t="array" ref="E11">INDEX('5층_부하량'!J3:J3000,MATCH(1,("5-DaHall 1-CEP-05"='5층_부하량'!A3:A3000)*(11='5층_부하량'!B3:B3000),0))</f>
        <v>7.4086170952050029E-2</v>
      </c>
      <c r="F11" s="2563" cm="1">
        <f t="array" ref="F11">INDEX('5층_부하량'!K3:K3000,MATCH(1,("5-DaHall 1-CEP-05"='5층_부하량'!A3:A3000)*(11='5층_부하량'!B3:B3000),0))</f>
        <v>7.2307157748436407E-2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3" cm="1">
        <f t="array" ref="N11">INDEX('5층_부하량'!I3:I3000,MATCH(1,("5-DaHall 1-CEP-05"='5층_부하량'!A3:A3000)*(12='5층_부하량'!B3:B3000),0))</f>
        <v>4.0979166666666664E-2</v>
      </c>
      <c r="O11" s="2563" cm="1">
        <f t="array" ref="O11">INDEX('5층_부하량'!J3:J3000,MATCH(1,("5-DaHall 1-CEP-05"='5층_부하량'!A3:A3000)*(12='5층_부하량'!B3:B3000),0))</f>
        <v>3.7326388888888895E-2</v>
      </c>
      <c r="P11" s="2563" cm="1">
        <f t="array" ref="P11">INDEX('5층_부하량'!K3:K3000,MATCH(1,("5-DaHall 1-CEP-05"='5층_부하량'!A3:A3000)*(12='5층_부하량'!B3:B3000),0))</f>
        <v>4.0680555555555546E-2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80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80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2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6" cm="1">
        <f t="array" ref="O13">INDEX('5층_부하량'!J3:J3000,MATCH(1,("5-DaHall 1-CEP-05"='5층_부하량'!A3:A3000)*(16='5층_부하량'!B3:B3000),0))</f>
        <v>13.151715920398475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61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9" cm="1">
        <f t="array" ref="P14">INDEX('5층_부하량'!K3:K3000,MATCH(1,("5-DaHall 1-CEP-05"='5층_부하량'!A3:A3000)*(18='5층_부하량'!B3:B3000),0))</f>
        <v>10.07515281358271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66.033799064105338</v>
      </c>
      <c r="O15" s="33">
        <f>SUM(E6:E14,O6:O14)</f>
        <v>79.090552983392399</v>
      </c>
      <c r="P15" s="33">
        <f>SUM(F6:F14,P6:P14)</f>
        <v>75.622954542517903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819" t="s">
        <v>5219</v>
      </c>
      <c r="K16" s="382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4136</v>
      </c>
      <c r="N17" s="1342">
        <v>0.7</v>
      </c>
      <c r="O17" s="1343">
        <v>0</v>
      </c>
      <c r="P17" s="1344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5216</v>
      </c>
      <c r="L19" s="542" t="s">
        <v>4151</v>
      </c>
      <c r="M19" s="11" t="s">
        <v>5220</v>
      </c>
      <c r="N19" s="2559" cm="1">
        <f t="array" ref="N19">INDEX('5층_부하량'!I3:I3000,MATCH(1,("5-DaHall 1-CEP-06"='5층_부하량'!A3:A3000)*(1='5층_부하량'!B3:B3000),0))</f>
        <v>0.24261258497424204</v>
      </c>
      <c r="O19" s="2559" cm="1">
        <f t="array" ref="O19">INDEX('5층_부하량'!J3:J3000,MATCH(1,("5-DaHall 1-CEP-06"='5층_부하량'!A3:A3000)*(1='5층_부하량'!B3:B3000),0))</f>
        <v>3.4978004167631395E-2</v>
      </c>
      <c r="P19" s="2559" cm="1">
        <f t="array" ref="P19">INDEX('5층_부하량'!K3:K3000,MATCH(1,("5-DaHall 1-CEP-06"='5층_부하량'!A3:A3000)*(1='5층_부하량'!B3:B3000),0))</f>
        <v>0.24612127125692088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5216</v>
      </c>
      <c r="L20" s="543" t="s">
        <v>4436</v>
      </c>
      <c r="M20" s="17" t="s">
        <v>5220</v>
      </c>
      <c r="N20" s="2560" cm="1">
        <f t="array" ref="N20">INDEX('5층_부하량'!I3:I3000,MATCH(1,("5-DaHall 1-CEP-06"='5층_부하량'!A3:A3000)*(2='5층_부하량'!B3:B3000),0))</f>
        <v>0.24323465539033007</v>
      </c>
      <c r="O20" s="2560" cm="1">
        <f t="array" ref="O20">INDEX('5층_부하량'!J3:J3000,MATCH(1,("5-DaHall 1-CEP-06"='5층_부하량'!A3:A3000)*(2='5층_부하량'!B3:B3000),0))</f>
        <v>4.3730030099560085E-2</v>
      </c>
      <c r="P20" s="2560" cm="1">
        <f t="array" ref="P20">INDEX('5층_부하량'!K3:K3000,MATCH(1,("5-DaHall 1-CEP-06"='5층_부하량'!A3:A3000)*(2='5층_부하량'!B3:B3000),0))</f>
        <v>0.247325452799422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5216</v>
      </c>
      <c r="L21" s="544" t="s">
        <v>4156</v>
      </c>
      <c r="M21" s="71" t="s">
        <v>5220</v>
      </c>
      <c r="N21" s="2562" cm="1">
        <f t="array" ref="N21">INDEX('5층_부하량'!I3:I3000,MATCH(1,("5-DaHall 1-CEP-06"='5층_부하량'!A3:A3000)*(3='5층_부하량'!B3:B3000),0))</f>
        <v>0.24398074784735665</v>
      </c>
      <c r="O21" s="2562" cm="1">
        <f t="array" ref="O21">INDEX('5층_부하량'!J3:J3000,MATCH(1,("5-DaHall 1-CEP-06"='5층_부하량'!A3:A3000)*(3='5층_부하량'!B3:B3000),0))</f>
        <v>3.7798101412363977E-2</v>
      </c>
      <c r="P21" s="2562" cm="1">
        <f t="array" ref="P21">INDEX('5층_부하량'!K3:K3000,MATCH(1,("5-DaHall 1-CEP-06"='5층_부하량'!A3:A3000)*(3='5층_부하량'!B3:B3000),0))</f>
        <v>0.23424420687304523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5216</v>
      </c>
      <c r="L22" s="545" t="s">
        <v>4438</v>
      </c>
      <c r="M22" s="35" t="s">
        <v>5220</v>
      </c>
      <c r="N22" s="2561" cm="1">
        <f t="array" ref="N22">INDEX('5층_부하량'!I3:I3000,MATCH(1,("5-DaHall 1-CEP-06"='5층_부하량'!A3:A3000)*(4='5층_부하량'!B3:B3000),0))</f>
        <v>0</v>
      </c>
      <c r="O22" s="2561" cm="1">
        <f t="array" ref="O22">INDEX('5층_부하량'!J3:J3000,MATCH(1,("5-DaHall 1-CEP-06"='5층_부하량'!A3:A3000)*(4='5층_부하량'!B3:B3000),0))</f>
        <v>0</v>
      </c>
      <c r="P22" s="2561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0.72982798821192874</v>
      </c>
      <c r="O23" s="33">
        <f>SUM(E19:E22,O19:O22)</f>
        <v>0.11650613567955545</v>
      </c>
      <c r="P23" s="33">
        <f>SUM(F19:F22,P19:P22)</f>
        <v>0.72769093092938808</v>
      </c>
    </row>
    <row r="24" spans="1:20" ht="18" customHeight="1" thickTop="1" thickBot="1">
      <c r="A24" s="2" t="s">
        <v>6518</v>
      </c>
      <c r="C24" s="3818" t="s">
        <v>5225</v>
      </c>
      <c r="D24" s="3818"/>
      <c r="E24" s="3818"/>
      <c r="F24" s="3818"/>
      <c r="G24" s="53"/>
      <c r="H24" s="123"/>
      <c r="I24" s="123"/>
      <c r="J24" s="3819" t="s">
        <v>5226</v>
      </c>
      <c r="K24" s="382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4136</v>
      </c>
      <c r="N25" s="1342">
        <v>34.6</v>
      </c>
      <c r="O25" s="1343">
        <v>37.799999999999997</v>
      </c>
      <c r="P25" s="1344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9" cm="1">
        <f t="array" ref="D27">INDEX('5층_부하량'!I3:I3000,MATCH(1,("5-DaHall 1-PDU-01"='5층_부하량'!A3:A3000)*(1='5층_부하량'!B3:B3000),0))</f>
        <v>0</v>
      </c>
      <c r="E27" s="2559" cm="1">
        <f t="array" ref="E27">INDEX('5층_부하량'!J3:J3000,MATCH(1,("5-DaHall 1-PDU-01"='5층_부하량'!A3:A3000)*(1='5층_부하량'!B3:B3000),0))</f>
        <v>0</v>
      </c>
      <c r="F27" s="2559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6" t="s">
        <v>5228</v>
      </c>
      <c r="J27" s="60"/>
      <c r="K27" s="61"/>
      <c r="L27" s="561" t="s">
        <v>5229</v>
      </c>
      <c r="M27" s="11" t="s">
        <v>5227</v>
      </c>
      <c r="N27" s="2559" cm="1">
        <f t="array" ref="N27">INDEX('5층_부하량'!I3:I3000,MATCH(1,("5-DaHall 1-PDU-01"='5층_부하량'!A3:A3000)*(55='5층_부하량'!B3:B3000),0))</f>
        <v>0</v>
      </c>
      <c r="O27" s="2559" cm="1">
        <f t="array" ref="O27">INDEX('5층_부하량'!J3:J3000,MATCH(1,("5-DaHall 1-PDU-01"='5층_부하량'!A3:A3000)*(55='5층_부하량'!B3:B3000),0))</f>
        <v>0.58977884924955293</v>
      </c>
      <c r="P27" s="2559" cm="1">
        <f t="array" ref="P27">INDEX('5층_부하량'!K3:K3000,MATCH(1,("5-DaHall 1-PDU-01"='5층_부하량'!A3:A3000)*(55='5층_부하량'!B3:B3000),0))</f>
        <v>0.73531572481168983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2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2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6" t="s">
        <v>5233</v>
      </c>
      <c r="D29" s="21"/>
      <c r="E29" s="2562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2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6" t="s">
        <v>5233</v>
      </c>
      <c r="D30" s="21"/>
      <c r="E30" s="21"/>
      <c r="F30" s="2562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2" cm="1">
        <f t="array" ref="P30">INDEX('5층_부하량'!K3:K3000,MATCH(1,("5-DaHall 1-PDU-01"='5층_부하량'!A3:A3000)*(58='5층_부하량'!B3:B3000),0))</f>
        <v>1.5285285637310571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6" t="s">
        <v>5233</v>
      </c>
      <c r="D31" s="2562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2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4" t="s">
        <v>5238</v>
      </c>
      <c r="B32" s="17" t="s">
        <v>4204</v>
      </c>
      <c r="C32" s="18" t="s">
        <v>4149</v>
      </c>
      <c r="D32" s="21"/>
      <c r="E32" s="2562" cm="1">
        <f t="array" ref="E32">INDEX('5층_부하량'!J3:J3000,MATCH(1,("5-DaHall 1-PDU-01"='5층_부하량'!A3:A3000)*(6='5층_부하량'!B3:B3000),0))</f>
        <v>12.666275002960514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2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5" t="s">
        <v>5241</v>
      </c>
      <c r="B33" s="17" t="s">
        <v>4204</v>
      </c>
      <c r="C33" s="18" t="s">
        <v>4149</v>
      </c>
      <c r="D33" s="21"/>
      <c r="E33" s="21"/>
      <c r="F33" s="2562" cm="1">
        <f t="array" ref="F33">INDEX('5층_부하량'!K3:K3000,MATCH(1,("5-DaHall 1-PDU-01"='5층_부하량'!A3:A3000)*(7='5층_부하량'!B3:B3000),0))</f>
        <v>11.468918966039302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2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4" t="s">
        <v>5244</v>
      </c>
      <c r="B34" s="17" t="s">
        <v>4204</v>
      </c>
      <c r="C34" s="18" t="s">
        <v>4149</v>
      </c>
      <c r="D34" s="2562" cm="1">
        <f t="array" ref="D34">INDEX('5층_부하량'!I3:I3000,MATCH(1,("5-DaHall 1-PDU-01"='5층_부하량'!A3:A3000)*(8='5층_부하량'!B3:B3000),0))</f>
        <v>13.732746221524845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2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5" t="s">
        <v>5245</v>
      </c>
      <c r="B35" s="17" t="s">
        <v>4204</v>
      </c>
      <c r="C35" s="18" t="s">
        <v>4149</v>
      </c>
      <c r="D35" s="21"/>
      <c r="E35" s="2562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2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5" t="s">
        <v>5246</v>
      </c>
      <c r="B36" s="17" t="s">
        <v>4204</v>
      </c>
      <c r="C36" s="18" t="s">
        <v>4149</v>
      </c>
      <c r="D36" s="21"/>
      <c r="E36" s="21"/>
      <c r="F36" s="2562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2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2" cm="1">
        <f t="array" ref="D37">INDEX('5층_부하량'!I3:I3000,MATCH(1,("5-DaHall 1-PDU-01"='5층_부하량'!A3:A3000)*(11='5층_부하량'!B3:B3000),0))</f>
        <v>1.0397182116716963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2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2" cm="1">
        <f t="array" ref="E38">INDEX('5층_부하량'!J3:J3000,MATCH(1,("5-DaHall 1-PDU-01"='5층_부하량'!A3:A3000)*(12='5층_부하량'!B3:B3000),0))</f>
        <v>1.4690545237342105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2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2" cm="1">
        <f t="array" ref="F39">INDEX('5층_부하량'!K3:K3000,MATCH(1,("5-DaHall 1-PDU-01"='5층_부하량'!A3:A3000)*(13='5층_부하량'!B3:B3000),0))</f>
        <v>1.5392538122517241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2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2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2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2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2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2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2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5" t="s">
        <v>5253</v>
      </c>
      <c r="B43" s="17" t="s">
        <v>4204</v>
      </c>
      <c r="C43" s="18" t="s">
        <v>4149</v>
      </c>
      <c r="D43" s="2562" cm="1">
        <f t="array" ref="D43">INDEX('5층_부하량'!I3:I3000,MATCH(1,("5-DaHall 1-PDU-01"='5층_부하량'!A3:A3000)*(17='5층_부하량'!B3:B3000),0))</f>
        <v>11.134044988152482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2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5" t="s">
        <v>5255</v>
      </c>
      <c r="B44" s="17" t="s">
        <v>4204</v>
      </c>
      <c r="C44" s="18" t="s">
        <v>4149</v>
      </c>
      <c r="D44" s="21"/>
      <c r="E44" s="2562" cm="1">
        <f t="array" ref="E44">INDEX('5층_부하량'!J3:J3000,MATCH(1,("5-DaHall 1-PDU-01"='5층_부하량'!A3:A3000)*(18='5층_부하량'!B3:B3000),0))</f>
        <v>9.9932397988825556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2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5" t="s">
        <v>5258</v>
      </c>
      <c r="B45" s="17" t="s">
        <v>4204</v>
      </c>
      <c r="C45" s="18" t="s">
        <v>4149</v>
      </c>
      <c r="D45" s="21"/>
      <c r="E45" s="19"/>
      <c r="F45" s="2560" cm="1">
        <f t="array" ref="F45">INDEX('5층_부하량'!K3:K3000,MATCH(1,("5-DaHall 1-PDU-01"='5층_부하량'!A3:A3000)*(19='5층_부하량'!B3:B3000),0))</f>
        <v>11.758315303143744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60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5" t="s">
        <v>5260</v>
      </c>
      <c r="B46" s="17" t="s">
        <v>4204</v>
      </c>
      <c r="C46" s="18" t="s">
        <v>4149</v>
      </c>
      <c r="D46" s="2562" cm="1">
        <f t="array" ref="D46">INDEX('5층_부하량'!I3:I3000,MATCH(1,("5-DaHall 1-PDU-01"='5층_부하량'!A3:A3000)*(20='5층_부하량'!B3:B3000),0))</f>
        <v>9.598684548806192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2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5" t="s">
        <v>5262</v>
      </c>
      <c r="B47" s="17" t="s">
        <v>4204</v>
      </c>
      <c r="C47" s="18" t="s">
        <v>4149</v>
      </c>
      <c r="D47" s="21"/>
      <c r="E47" s="2562" cm="1">
        <f t="array" ref="E47">INDEX('5층_부하량'!J3:J3000,MATCH(1,("5-DaHall 1-PDU-01"='5층_부하량'!A3:A3000)*(21='5층_부하량'!B3:B3000),0))</f>
        <v>11.858039982831528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7" t="s">
        <v>4284</v>
      </c>
      <c r="M47" s="17" t="s">
        <v>4171</v>
      </c>
      <c r="N47" s="21"/>
      <c r="O47" s="2562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6" t="s">
        <v>3028</v>
      </c>
      <c r="D48" s="21"/>
      <c r="E48" s="19"/>
      <c r="F48" s="2562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2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6" t="s">
        <v>3028</v>
      </c>
      <c r="D49" s="2562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2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6" t="s">
        <v>3028</v>
      </c>
      <c r="D50" s="21"/>
      <c r="E50" s="2562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7" t="s">
        <v>4421</v>
      </c>
      <c r="M50" s="17" t="s">
        <v>4171</v>
      </c>
      <c r="N50" s="21"/>
      <c r="O50" s="2562" cm="1">
        <f t="array" ref="O50">INDEX('5층_부하량'!J3:J3000,MATCH(1,("5-DaHall 1-PDU-01"='5층_부하량'!A3:A3000)*(78='5층_부하량'!B3:B3000),0))</f>
        <v>0.62169435433097731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6" t="s">
        <v>3028</v>
      </c>
      <c r="D51" s="21"/>
      <c r="E51" s="21"/>
      <c r="F51" s="2562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2" cm="1">
        <f t="array" ref="P51">INDEX('5층_부하량'!K3:K3000,MATCH(1,("5-DaHall 1-PDU-01"='5층_부하량'!A3:A3000)*(79='5층_부하량'!B3:B3000),0))</f>
        <v>1.7359622786536317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61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61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35.505193970155212</v>
      </c>
      <c r="O53" s="33">
        <f>SUM(E27:E52,O27:O52)</f>
        <v>37.198082511989341</v>
      </c>
      <c r="P53" s="33">
        <f>SUM(F27:F52,P27:P52)</f>
        <v>28.766294648631153</v>
      </c>
    </row>
    <row r="54" spans="1:20" ht="18" customHeight="1" thickTop="1" thickBot="1">
      <c r="A54" s="2" t="s">
        <v>6519</v>
      </c>
      <c r="C54" s="3818" t="s">
        <v>5270</v>
      </c>
      <c r="D54" s="3818"/>
      <c r="E54" s="3818"/>
      <c r="F54" s="3818"/>
      <c r="G54" s="53"/>
      <c r="H54" s="123"/>
      <c r="I54" s="123"/>
      <c r="J54" s="3819" t="s">
        <v>5226</v>
      </c>
      <c r="K54" s="382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4136</v>
      </c>
      <c r="N55" s="1342">
        <v>34.6</v>
      </c>
      <c r="O55" s="1343">
        <v>35.200000000000003</v>
      </c>
      <c r="P55" s="1344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9" cm="1">
        <f t="array" ref="D57">INDEX('5층_부하량'!I3:I3000,MATCH(1,("5-DaHall 1-PDU-02"='5층_부하량'!A3:A3000)*(1='5층_부하량'!B3:B3000),0))</f>
        <v>0</v>
      </c>
      <c r="E57" s="2559" cm="1">
        <f t="array" ref="E57">INDEX('5층_부하량'!J3:J3000,MATCH(1,("5-DaHall 1-PDU-02"='5층_부하량'!A3:A3000)*(1='5층_부하량'!B3:B3000),0))</f>
        <v>0</v>
      </c>
      <c r="F57" s="2559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6" t="s">
        <v>5228</v>
      </c>
      <c r="J57" s="60"/>
      <c r="K57" s="61"/>
      <c r="L57" s="561" t="s">
        <v>5229</v>
      </c>
      <c r="M57" s="11" t="s">
        <v>5227</v>
      </c>
      <c r="N57" s="2559" cm="1">
        <f t="array" ref="N57">INDEX('5층_부하량'!I3:I3000,MATCH(1,("5-DaHall 1-PDU-02"='5층_부하량'!A3:A3000)*(55='5층_부하량'!B3:B3000),0))</f>
        <v>0</v>
      </c>
      <c r="O57" s="2559" cm="1">
        <f t="array" ref="O57">INDEX('5층_부하량'!J3:J3000,MATCH(1,("5-DaHall 1-PDU-02"='5층_부하량'!A3:A3000)*(55='5층_부하량'!B3:B3000),0))</f>
        <v>0.66039429524223348</v>
      </c>
      <c r="P57" s="2559" cm="1">
        <f t="array" ref="P57">INDEX('5층_부하량'!K3:K3000,MATCH(1,("5-DaHall 1-PDU-02"='5층_부하량'!A3:A3000)*(55='5층_부하량'!B3:B3000),0))</f>
        <v>0.73749320772197668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6" t="s">
        <v>3028</v>
      </c>
      <c r="D58" s="2562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2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6" t="s">
        <v>3028</v>
      </c>
      <c r="D59" s="21"/>
      <c r="E59" s="2562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2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6" t="s">
        <v>3028</v>
      </c>
      <c r="D60" s="21"/>
      <c r="E60" s="21"/>
      <c r="F60" s="2562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2" cm="1">
        <f t="array" ref="P60">INDEX('5층_부하량'!K3:K3000,MATCH(1,("5-DaHall 1-PDU-02"='5층_부하량'!A3:A3000)*(58='5층_부하량'!B3:B3000),0))</f>
        <v>1.2510701107002125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6" t="s">
        <v>3028</v>
      </c>
      <c r="D61" s="2562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2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4" t="s">
        <v>5274</v>
      </c>
      <c r="B62" s="17" t="s">
        <v>4204</v>
      </c>
      <c r="C62" s="18" t="s">
        <v>4149</v>
      </c>
      <c r="D62" s="21"/>
      <c r="E62" s="2562" cm="1">
        <f t="array" ref="E62">INDEX('5층_부하량'!J3:J3000,MATCH(1,("5-DaHall 1-PDU-02"='5층_부하량'!A3:A3000)*(6='5층_부하량'!B3:B3000),0))</f>
        <v>10.622465085920162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2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5" t="s">
        <v>5276</v>
      </c>
      <c r="B63" s="17" t="s">
        <v>4204</v>
      </c>
      <c r="C63" s="18" t="s">
        <v>4149</v>
      </c>
      <c r="D63" s="21"/>
      <c r="E63" s="21"/>
      <c r="F63" s="2562" cm="1">
        <f t="array" ref="F63">INDEX('5층_부하량'!K3:K3000,MATCH(1,("5-DaHall 1-PDU-02"='5층_부하량'!A3:A3000)*(7='5층_부하량'!B3:B3000),0))</f>
        <v>13.055166285645971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2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4" t="s">
        <v>5278</v>
      </c>
      <c r="B64" s="17" t="s">
        <v>4204</v>
      </c>
      <c r="C64" s="18" t="s">
        <v>4149</v>
      </c>
      <c r="D64" s="2562" cm="1">
        <f t="array" ref="D64">INDEX('5층_부하량'!I3:I3000,MATCH(1,("5-DaHall 1-PDU-02"='5층_부하량'!A3:A3000)*(8='5층_부하량'!B3:B3000),0))</f>
        <v>11.415899852950707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2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5" t="s">
        <v>5279</v>
      </c>
      <c r="B65" s="17" t="s">
        <v>4204</v>
      </c>
      <c r="C65" s="18" t="s">
        <v>4149</v>
      </c>
      <c r="D65" s="21"/>
      <c r="E65" s="2562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2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5" t="s">
        <v>5280</v>
      </c>
      <c r="B66" s="17" t="s">
        <v>4204</v>
      </c>
      <c r="C66" s="18" t="s">
        <v>4149</v>
      </c>
      <c r="D66" s="21"/>
      <c r="E66" s="21"/>
      <c r="F66" s="2562" cm="1">
        <f t="array" ref="F66">INDEX('5층_부하량'!K3:K3000,MATCH(1,("5-DaHall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2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2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2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2" cm="1">
        <f t="array" ref="E68">INDEX('5층_부하량'!J3:J3000,MATCH(1,("5-DaHall 1-PDU-02"='5층_부하량'!A3:A3000)*(12='5층_부하량'!B3:B3000),0))</f>
        <v>1.6399666308120915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2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2" cm="1">
        <f t="array" ref="F69">INDEX('5층_부하량'!K3:K3000,MATCH(1,("5-DaHall 1-PDU-02"='5층_부하량'!A3:A3000)*(13='5층_부하량'!B3:B3000),0))</f>
        <v>1.3200646720363869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2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2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2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2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2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2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2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5" t="s">
        <v>5253</v>
      </c>
      <c r="B73" s="17" t="s">
        <v>4204</v>
      </c>
      <c r="C73" s="18" t="s">
        <v>4149</v>
      </c>
      <c r="D73" s="2562" cm="1">
        <f t="array" ref="D73">INDEX('5층_부하량'!I3:I3000,MATCH(1,("5-DaHall 1-PDU-02"='5층_부하량'!A3:A3000)*(17='5층_부하량'!B3:B3000),0))</f>
        <v>11.537900424145283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2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5" t="s">
        <v>5284</v>
      </c>
      <c r="B74" s="17" t="s">
        <v>4204</v>
      </c>
      <c r="C74" s="18" t="s">
        <v>4149</v>
      </c>
      <c r="D74" s="21"/>
      <c r="E74" s="2562" cm="1">
        <f t="array" ref="E74">INDEX('5층_부하량'!J3:J3000,MATCH(1,("5-DaHall 1-PDU-02"='5층_부하량'!A3:A3000)*(18='5층_부하량'!B3:B3000),0))</f>
        <v>11.679852358529383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2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5" t="s">
        <v>5286</v>
      </c>
      <c r="B75" s="17" t="s">
        <v>4204</v>
      </c>
      <c r="C75" s="18" t="s">
        <v>4149</v>
      </c>
      <c r="D75" s="21"/>
      <c r="E75" s="19"/>
      <c r="F75" s="2560" cm="1">
        <f t="array" ref="F75">INDEX('5층_부하량'!K3:K3000,MATCH(1,("5-DaHall 1-PDU-02"='5층_부하량'!A3:A3000)*(19='5층_부하량'!B3:B3000),0))</f>
        <v>9.7876376071845606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60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5" t="s">
        <v>5288</v>
      </c>
      <c r="B76" s="17" t="s">
        <v>4204</v>
      </c>
      <c r="C76" s="18" t="s">
        <v>4149</v>
      </c>
      <c r="D76" s="2562" cm="1">
        <f t="array" ref="D76">INDEX('5층_부하량'!I3:I3000,MATCH(1,("5-DaHall 1-PDU-02"='5층_부하량'!A3:A3000)*(20='5층_부하량'!B3:B3000),0))</f>
        <v>11.485677673348082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2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5" t="s">
        <v>5290</v>
      </c>
      <c r="B77" s="17" t="s">
        <v>4204</v>
      </c>
      <c r="C77" s="18" t="s">
        <v>4149</v>
      </c>
      <c r="D77" s="21"/>
      <c r="E77" s="2562" cm="1">
        <f t="array" ref="E77">INDEX('5층_부하량'!J3:J3000,MATCH(1,("5-DaHall 1-PDU-02"='5층_부하량'!A3:A3000)*(21='5층_부하량'!B3:B3000),0))</f>
        <v>9.5480765988241227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2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6" t="s">
        <v>3028</v>
      </c>
      <c r="D78" s="21"/>
      <c r="E78" s="19"/>
      <c r="F78" s="2562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2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6" t="s">
        <v>3028</v>
      </c>
      <c r="D79" s="2562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2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6" t="s">
        <v>3028</v>
      </c>
      <c r="D80" s="21"/>
      <c r="E80" s="2562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2" cm="1">
        <f t="array" ref="O80">INDEX('5층_부하량'!J3:J3000,MATCH(1,("5-DaHall 1-PDU-02"='5층_부하량'!A3:A3000)*(78='5층_부하량'!B3:B3000),0))</f>
        <v>0.63014245013717596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6" t="s">
        <v>3028</v>
      </c>
      <c r="D81" s="21"/>
      <c r="E81" s="21"/>
      <c r="F81" s="2562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2" cm="1">
        <f t="array" ref="P81">INDEX('5층_부하량'!K3:K3000,MATCH(1,("5-DaHall 1-PDU-02"='5층_부하량'!A3:A3000)*(79='5층_부하량'!B3:B3000),0))</f>
        <v>1.1050628246562362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61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61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34.439477950444072</v>
      </c>
      <c r="O83" s="33">
        <f>SUM(E57:E82,O57:O82)</f>
        <v>34.78089741946517</v>
      </c>
      <c r="P83" s="33">
        <f>SUM(F57:F82,P57:P82)</f>
        <v>27.256494707945343</v>
      </c>
    </row>
    <row r="84" spans="1:20" ht="18" customHeight="1" thickTop="1" thickBot="1">
      <c r="A84" s="2" t="s">
        <v>6520</v>
      </c>
      <c r="C84" s="3818" t="s">
        <v>5295</v>
      </c>
      <c r="D84" s="3818"/>
      <c r="E84" s="3818"/>
      <c r="F84" s="3818"/>
      <c r="G84" s="53"/>
      <c r="H84" s="123"/>
      <c r="I84" s="123"/>
      <c r="J84" s="3819" t="s">
        <v>5226</v>
      </c>
      <c r="K84" s="382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4136</v>
      </c>
      <c r="N85" s="1342">
        <v>26.8</v>
      </c>
      <c r="O85" s="1343">
        <v>15.9</v>
      </c>
      <c r="P85" s="1344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9" cm="1">
        <f t="array" ref="D87">INDEX('5층_부하량'!I3:I3000,MATCH(1,("5-DaHall 1-PDU-03"='5층_부하량'!A3:A3000)*(1='5층_부하량'!B3:B3000),0))</f>
        <v>0</v>
      </c>
      <c r="E87" s="2559" cm="1">
        <f t="array" ref="E87">INDEX('5층_부하량'!J3:J3000,MATCH(1,("5-DaHall 1-PDU-03"='5층_부하량'!A3:A3000)*(1='5층_부하량'!B3:B3000),0))</f>
        <v>0</v>
      </c>
      <c r="F87" s="2559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9" cm="1">
        <f t="array" ref="N87">INDEX('5층_부하량'!I3:I3000,MATCH(1,("5-DaHall 1-PDU-03"='5층_부하량'!A3:A3000)*(55='5층_부하량'!B3:B3000),0))</f>
        <v>0</v>
      </c>
      <c r="O87" s="2559" cm="1">
        <f t="array" ref="O87">INDEX('5층_부하량'!J3:J3000,MATCH(1,("5-DaHall 1-PDU-03"='5층_부하량'!A3:A3000)*(55='5층_부하량'!B3:B3000),0))</f>
        <v>0</v>
      </c>
      <c r="P87" s="2559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2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7" t="s">
        <v>2834</v>
      </c>
      <c r="L88" s="543" t="s">
        <v>4152</v>
      </c>
      <c r="M88" s="17" t="s">
        <v>4150</v>
      </c>
      <c r="N88" s="2562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2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7" t="s">
        <v>2834</v>
      </c>
      <c r="L89" s="543" t="s">
        <v>4157</v>
      </c>
      <c r="M89" s="17" t="s">
        <v>4150</v>
      </c>
      <c r="N89" s="21"/>
      <c r="O89" s="2562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2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7" t="s">
        <v>2834</v>
      </c>
      <c r="L90" s="543" t="s">
        <v>4162</v>
      </c>
      <c r="M90" s="17" t="s">
        <v>4150</v>
      </c>
      <c r="N90" s="21"/>
      <c r="O90" s="21"/>
      <c r="P90" s="2562" cm="1">
        <f t="array" ref="P90">INDEX('5층_부하량'!K3:K3000,MATCH(1,("5-DaHall 1-PDU-03"='5층_부하량'!A3:A3000)*(58='5층_부하량'!B3:B3000),0))</f>
        <v>0.56954148656478276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2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7" t="s">
        <v>2834</v>
      </c>
      <c r="L91" s="543" t="s">
        <v>4167</v>
      </c>
      <c r="M91" s="17" t="s">
        <v>4171</v>
      </c>
      <c r="N91" s="2562" cm="1">
        <f t="array" ref="N91">INDEX('5층_부하량'!I3:I3000,MATCH(1,("5-DaHall 1-PDU-03"='5층_부하량'!A3:A3000)*(59='5층_부하량'!B3:B3000),0))</f>
        <v>1.4420839736171336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2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7" t="s">
        <v>2834</v>
      </c>
      <c r="L92" s="543" t="s">
        <v>4170</v>
      </c>
      <c r="M92" s="17" t="s">
        <v>4171</v>
      </c>
      <c r="N92" s="21"/>
      <c r="O92" s="2562" cm="1">
        <f t="array" ref="O92">INDEX('5층_부하량'!J3:J3000,MATCH(1,("5-DaHall 1-PDU-03"='5층_부하량'!A3:A3000)*(60='5층_부하량'!B3:B3000),0))</f>
        <v>3.5616843289395939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2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7" t="s">
        <v>2834</v>
      </c>
      <c r="L93" s="543" t="s">
        <v>4173</v>
      </c>
      <c r="M93" s="17" t="s">
        <v>4171</v>
      </c>
      <c r="N93" s="21"/>
      <c r="O93" s="21"/>
      <c r="P93" s="2562" cm="1">
        <f t="array" ref="P93">INDEX('5층_부하량'!K3:K3000,MATCH(1,("5-DaHall 1-PDU-03"='5층_부하량'!A3:A3000)*(61='5층_부하량'!B3:B3000),0))</f>
        <v>1.7726515321071188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2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7" t="s">
        <v>2834</v>
      </c>
      <c r="L94" s="543" t="s">
        <v>4175</v>
      </c>
      <c r="M94" s="17" t="s">
        <v>4171</v>
      </c>
      <c r="N94" s="2562" cm="1">
        <f t="array" ref="N94">INDEX('5층_부하량'!I3:I3000,MATCH(1,("5-DaHall 1-PDU-03"='5층_부하량'!A3:A3000)*(62='5층_부하량'!B3:B3000),0))</f>
        <v>0.35327930356234394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2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7" t="s">
        <v>2834</v>
      </c>
      <c r="L95" s="543" t="s">
        <v>4177</v>
      </c>
      <c r="M95" s="17" t="s">
        <v>4171</v>
      </c>
      <c r="N95" s="21"/>
      <c r="O95" s="2562" cm="1">
        <f t="array" ref="O95">INDEX('5층_부하량'!J3:J3000,MATCH(1,("5-DaHall 1-PDU-03"='5층_부하량'!A3:A3000)*(63='5층_부하량'!B3:B3000),0))</f>
        <v>3.889354679219581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2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7" t="s">
        <v>2834</v>
      </c>
      <c r="L96" s="543" t="s">
        <v>4179</v>
      </c>
      <c r="M96" s="17" t="s">
        <v>4171</v>
      </c>
      <c r="N96" s="21"/>
      <c r="O96" s="21"/>
      <c r="P96" s="2562" cm="1">
        <f t="array" ref="P96">INDEX('5층_부하량'!K3:K3000,MATCH(1,("5-DaHall 1-PDU-03"='5층_부하량'!A3:A3000)*(64='5층_부하량'!B3:B3000),0))</f>
        <v>0.84997679531998849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2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7" t="s">
        <v>2834</v>
      </c>
      <c r="L97" s="543" t="s">
        <v>4183</v>
      </c>
      <c r="M97" s="17" t="s">
        <v>4171</v>
      </c>
      <c r="N97" s="2562" cm="1">
        <f t="array" ref="N97">INDEX('5층_부하량'!I3:I3000,MATCH(1,("5-DaHall 1-PDU-03"='5층_부하량'!A3:A3000)*(65='5층_부하량'!B3:B3000),0))</f>
        <v>2.8358334802097156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2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7" t="s">
        <v>2834</v>
      </c>
      <c r="L98" s="543" t="s">
        <v>4187</v>
      </c>
      <c r="M98" s="17" t="s">
        <v>4171</v>
      </c>
      <c r="N98" s="21"/>
      <c r="O98" s="2562" cm="1">
        <f t="array" ref="O98">INDEX('5층_부하량'!J3:J3000,MATCH(1,("5-DaHall 1-PDU-03"='5층_부하량'!A3:A3000)*(66='5층_부하량'!B3:B3000),0))</f>
        <v>3.0081968000988852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2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7" t="s">
        <v>2834</v>
      </c>
      <c r="L99" s="543" t="s">
        <v>4253</v>
      </c>
      <c r="M99" s="17" t="s">
        <v>4171</v>
      </c>
      <c r="N99" s="21"/>
      <c r="O99" s="21"/>
      <c r="P99" s="2562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2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7" t="s">
        <v>2834</v>
      </c>
      <c r="L100" s="543" t="s">
        <v>4258</v>
      </c>
      <c r="M100" s="17" t="s">
        <v>4171</v>
      </c>
      <c r="N100" s="2562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2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7" t="s">
        <v>2834</v>
      </c>
      <c r="L101" s="544" t="s">
        <v>4262</v>
      </c>
      <c r="M101" s="71" t="s">
        <v>4171</v>
      </c>
      <c r="N101" s="21"/>
      <c r="O101" s="2562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2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7" t="s">
        <v>2834</v>
      </c>
      <c r="L102" s="543" t="s">
        <v>4265</v>
      </c>
      <c r="M102" s="17" t="s">
        <v>4171</v>
      </c>
      <c r="N102" s="21"/>
      <c r="O102" s="21"/>
      <c r="P102" s="2562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2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7" t="s">
        <v>2834</v>
      </c>
      <c r="L103" s="543" t="s">
        <v>4267</v>
      </c>
      <c r="M103" s="17" t="s">
        <v>4171</v>
      </c>
      <c r="N103" s="2562" cm="1">
        <f t="array" ref="N103">INDEX('5층_부하량'!I3:I3000,MATCH(1,("5-DaHall 1-PDU-03"='5층_부하량'!A3:A3000)*(71='5층_부하량'!B3:B3000),0))</f>
        <v>2.4835800426580157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2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7" t="s">
        <v>2834</v>
      </c>
      <c r="L104" s="543" t="s">
        <v>4271</v>
      </c>
      <c r="M104" s="17" t="s">
        <v>4171</v>
      </c>
      <c r="N104" s="21"/>
      <c r="O104" s="2562" cm="1">
        <f t="array" ref="O104">INDEX('5층_부하량'!J3:J3000,MATCH(1,("5-DaHall 1-PDU-03"='5층_부하량'!A3:A3000)*(72='5층_부하량'!B3:B3000),0))</f>
        <v>2.2300600464748865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60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7" t="s">
        <v>2834</v>
      </c>
      <c r="L105" s="543" t="s">
        <v>4276</v>
      </c>
      <c r="M105" s="17" t="s">
        <v>4171</v>
      </c>
      <c r="N105" s="21"/>
      <c r="O105" s="19"/>
      <c r="P105" s="2560" cm="1">
        <f t="array" ref="P105">INDEX('5층_부하량'!K3:K3000,MATCH(1,("5-DaHall 1-PDU-03"='5층_부하량'!A3:A3000)*(73='5층_부하량'!B3:B3000),0))</f>
        <v>2.169753754378025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2" cm="1">
        <f t="array" ref="D106">INDEX('5층_부하량'!I3:I3000,MATCH(1,("5-DaHall 1-PDU-03"='5층_부하량'!A3:A3000)*(20='5층_부하량'!B3:B3000),0))</f>
        <v>3.2987515293294485</v>
      </c>
      <c r="E106" s="19"/>
      <c r="F106" s="19"/>
      <c r="G106" s="21"/>
      <c r="H106" s="17" t="s">
        <v>4171</v>
      </c>
      <c r="I106" s="543" t="s">
        <v>4279</v>
      </c>
      <c r="J106" s="2155" t="s">
        <v>2837</v>
      </c>
      <c r="K106" s="2157" t="s">
        <v>2834</v>
      </c>
      <c r="L106" s="543" t="s">
        <v>4280</v>
      </c>
      <c r="M106" s="17" t="s">
        <v>4171</v>
      </c>
      <c r="N106" s="2562" cm="1">
        <f t="array" ref="N106">INDEX('5층_부하량'!I3:I3000,MATCH(1,("5-DaHall 1-PDU-03"='5층_부하량'!A3:A3000)*(74='5층_부하량'!B3:B3000),0))</f>
        <v>2.3497612255741931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2" cm="1">
        <f t="array" ref="E107">INDEX('5층_부하량'!J3:J3000,MATCH(1,("5-DaHall 1-PDU-03"='5층_부하량'!A3:A3000)*(21='5층_부하량'!B3:B3000),0))</f>
        <v>1.8928419745593879</v>
      </c>
      <c r="F107" s="19"/>
      <c r="G107" s="21"/>
      <c r="H107" s="17" t="s">
        <v>4171</v>
      </c>
      <c r="I107" s="543" t="s">
        <v>4283</v>
      </c>
      <c r="J107" s="2155" t="s">
        <v>2837</v>
      </c>
      <c r="K107" s="2157" t="s">
        <v>2834</v>
      </c>
      <c r="L107" s="543" t="s">
        <v>4284</v>
      </c>
      <c r="M107" s="17" t="s">
        <v>4171</v>
      </c>
      <c r="N107" s="21"/>
      <c r="O107" s="2562" cm="1">
        <f t="array" ref="O107">INDEX('5층_부하량'!J3:J3000,MATCH(1,("5-DaHall 1-PDU-03"='5층_부하량'!A3:A3000)*(75='5층_부하량'!B3:B3000),0))</f>
        <v>1.3663275591561961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20" t="s">
        <v>5334</v>
      </c>
      <c r="B108" s="17" t="s">
        <v>5335</v>
      </c>
      <c r="C108" s="17" t="s">
        <v>4296</v>
      </c>
      <c r="D108" s="21"/>
      <c r="E108" s="19"/>
      <c r="F108" s="2562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5" t="s">
        <v>2837</v>
      </c>
      <c r="K108" s="2157" t="s">
        <v>2834</v>
      </c>
      <c r="L108" s="543" t="s">
        <v>4416</v>
      </c>
      <c r="M108" s="17" t="s">
        <v>4171</v>
      </c>
      <c r="N108" s="21"/>
      <c r="O108" s="19"/>
      <c r="P108" s="2562" cm="1">
        <f t="array" ref="P108">INDEX('5층_부하량'!K3:K3000,MATCH(1,("5-DaHall 1-PDU-03"='5층_부하량'!A3:A3000)*(76='5층_부하량'!B3:B3000),0))</f>
        <v>1.7864158903803427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20" t="s">
        <v>5337</v>
      </c>
      <c r="B109" s="71" t="s">
        <v>4204</v>
      </c>
      <c r="C109" s="72" t="s">
        <v>4149</v>
      </c>
      <c r="D109" s="2562" cm="1">
        <f t="array" ref="D109">INDEX('5층_부하량'!I3:I3000,MATCH(1,("5-DaHall 1-PDU-03"='5층_부하량'!A3:A3000)*(23='5층_부하량'!B3:B3000),0))</f>
        <v>2.3917238224454902</v>
      </c>
      <c r="E109" s="19"/>
      <c r="F109" s="19"/>
      <c r="G109" s="21"/>
      <c r="H109" s="17" t="s">
        <v>4171</v>
      </c>
      <c r="I109" s="543" t="s">
        <v>4418</v>
      </c>
      <c r="J109" s="2155" t="s">
        <v>2837</v>
      </c>
      <c r="K109" s="2157" t="s">
        <v>2834</v>
      </c>
      <c r="L109" s="543" t="s">
        <v>4419</v>
      </c>
      <c r="M109" s="17" t="s">
        <v>4171</v>
      </c>
      <c r="N109" s="2562" cm="1">
        <f t="array" ref="N109">INDEX('5층_부하량'!I3:I3000,MATCH(1,("5-DaHall 1-PDU-03"='5층_부하량'!A3:A3000)*(77='5층_부하량'!B3:B3000),0))</f>
        <v>2.9285989738663813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20" t="s">
        <v>5339</v>
      </c>
      <c r="B110" s="17" t="s">
        <v>4204</v>
      </c>
      <c r="C110" s="18" t="s">
        <v>4149</v>
      </c>
      <c r="D110" s="21"/>
      <c r="E110" s="2562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5" t="s">
        <v>2837</v>
      </c>
      <c r="K110" s="2157" t="s">
        <v>2834</v>
      </c>
      <c r="L110" s="543" t="s">
        <v>4421</v>
      </c>
      <c r="M110" s="17" t="s">
        <v>4171</v>
      </c>
      <c r="N110" s="21"/>
      <c r="O110" s="2562" cm="1">
        <f t="array" ref="O110">INDEX('5층_부하량'!J3:J3000,MATCH(1,("5-DaHall 1-PDU-03"='5층_부하량'!A3:A3000)*(78='5층_부하량'!B3:B3000),0))</f>
        <v>2.8975328741061479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2" cm="1">
        <f t="array" ref="F111">INDEX('5층_부하량'!K3:K3000,MATCH(1,("5-DaHall 1-PDU-03"='5층_부하량'!A3:A3000)*(25='5층_부하량'!B3:B3000),0))</f>
        <v>4.0430487864291038</v>
      </c>
      <c r="G111" s="21"/>
      <c r="H111" s="17" t="s">
        <v>4171</v>
      </c>
      <c r="I111" s="543" t="s">
        <v>4422</v>
      </c>
      <c r="J111" s="2155" t="s">
        <v>2837</v>
      </c>
      <c r="K111" s="2157" t="s">
        <v>2834</v>
      </c>
      <c r="L111" s="543" t="s">
        <v>4423</v>
      </c>
      <c r="M111" s="17" t="s">
        <v>4171</v>
      </c>
      <c r="N111" s="21"/>
      <c r="O111" s="21"/>
      <c r="P111" s="2562" cm="1">
        <f t="array" ref="P111">INDEX('5층_부하량'!K3:K3000,MATCH(1,("5-DaHall 1-PDU-03"='5층_부하량'!A3:A3000)*(79='5층_부하량'!B3:B3000),0))</f>
        <v>3.7016369794777977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61" cm="1">
        <f t="array" ref="D112">INDEX('5층_부하량'!I3:I3000,MATCH(1,("5-DaHall 1-PDU-03"='5층_부하량'!A3:A3000)*(26='5층_부하량'!B3:B3000),0))</f>
        <v>5.7013612216774074</v>
      </c>
      <c r="E112" s="36"/>
      <c r="F112" s="36"/>
      <c r="G112" s="36"/>
      <c r="H112" s="35" t="s">
        <v>4171</v>
      </c>
      <c r="I112" s="545" t="s">
        <v>4424</v>
      </c>
      <c r="J112" s="2156" t="s">
        <v>2837</v>
      </c>
      <c r="K112" s="2158" t="s">
        <v>2834</v>
      </c>
      <c r="L112" s="545" t="s">
        <v>4425</v>
      </c>
      <c r="M112" s="35" t="s">
        <v>4171</v>
      </c>
      <c r="N112" s="2561" cm="1">
        <f t="array" ref="N112">INDEX('5층_부하량'!I3:I3000,MATCH(1,("5-DaHall 1-PDU-03"='5층_부하량'!A3:A3000)*(80='5층_부하량'!B3:B3000),0))</f>
        <v>4.0925549543895912</v>
      </c>
      <c r="O112" s="36"/>
      <c r="P112" s="36"/>
      <c r="Q112" s="36"/>
      <c r="R112" s="35" t="s">
        <v>5319</v>
      </c>
      <c r="S112" s="39" t="s">
        <v>4149</v>
      </c>
      <c r="T112" s="2159" t="s">
        <v>5344</v>
      </c>
    </row>
    <row r="113" spans="1:20" ht="18" customHeight="1" thickTop="1" thickBot="1">
      <c r="M113" s="79" t="s">
        <v>5218</v>
      </c>
      <c r="N113" s="33">
        <f>SUM(D87:D112,N87:N112)</f>
        <v>27.877528527329719</v>
      </c>
      <c r="O113" s="33">
        <f>SUM(E87:E112,O87:O112)</f>
        <v>18.845998262554676</v>
      </c>
      <c r="P113" s="33">
        <f>SUM(F87:F112,P87:P112)</f>
        <v>14.893025224657158</v>
      </c>
    </row>
    <row r="114" spans="1:20" ht="18" customHeight="1" thickTop="1" thickBot="1">
      <c r="A114" s="2" t="s">
        <v>6521</v>
      </c>
      <c r="C114" s="3818" t="s">
        <v>5345</v>
      </c>
      <c r="D114" s="3818"/>
      <c r="E114" s="3818"/>
      <c r="F114" s="3818"/>
      <c r="G114" s="53"/>
      <c r="H114" s="123"/>
      <c r="I114" s="123"/>
      <c r="J114" s="3819" t="s">
        <v>5226</v>
      </c>
      <c r="K114" s="382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4136</v>
      </c>
      <c r="N115" s="1342">
        <v>25.1</v>
      </c>
      <c r="O115" s="1343">
        <v>15.5</v>
      </c>
      <c r="P115" s="1344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9" cm="1">
        <f t="array" ref="D117">INDEX('5층_부하량'!I3:I3000,MATCH(1,("5-DaHall 1-PDU-04"='5층_부하량'!A3:A3000)*(1='5층_부하량'!B3:B3000),0))</f>
        <v>0</v>
      </c>
      <c r="E117" s="2559" cm="1">
        <f t="array" ref="E117">INDEX('5층_부하량'!J3:J3000,MATCH(1,("5-DaHall 1-PDU-04"='5층_부하량'!A3:A3000)*(1='5층_부하량'!B3:B3000),0))</f>
        <v>0</v>
      </c>
      <c r="F117" s="2559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6" t="s">
        <v>5228</v>
      </c>
      <c r="J117" s="60"/>
      <c r="K117" s="61"/>
      <c r="L117" s="1409" t="s">
        <v>5229</v>
      </c>
      <c r="M117" s="11" t="s">
        <v>5227</v>
      </c>
      <c r="N117" s="2559" cm="1">
        <f t="array" ref="N117">INDEX('5층_부하량'!I3:I3000,MATCH(1,("5-DaHall 1-PDU-04"='5층_부하량'!A3:A3000)*(55='5층_부하량'!B3:B3000),0))</f>
        <v>0</v>
      </c>
      <c r="O117" s="2559" cm="1">
        <f t="array" ref="O117">INDEX('5층_부하량'!J3:J3000,MATCH(1,("5-DaHall 1-PDU-04"='5층_부하량'!A3:A3000)*(55='5층_부하량'!B3:B3000),0))</f>
        <v>0</v>
      </c>
      <c r="P117" s="2559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2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7" t="s">
        <v>2834</v>
      </c>
      <c r="L118" s="543" t="s">
        <v>4152</v>
      </c>
      <c r="M118" s="17" t="s">
        <v>4150</v>
      </c>
      <c r="N118" s="2562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2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7" t="s">
        <v>2834</v>
      </c>
      <c r="L119" s="543" t="s">
        <v>4157</v>
      </c>
      <c r="M119" s="17" t="s">
        <v>4150</v>
      </c>
      <c r="N119" s="21"/>
      <c r="O119" s="2562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2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7" t="s">
        <v>2834</v>
      </c>
      <c r="L120" s="543" t="s">
        <v>4162</v>
      </c>
      <c r="M120" s="17" t="s">
        <v>4150</v>
      </c>
      <c r="N120" s="21"/>
      <c r="O120" s="21"/>
      <c r="P120" s="2562" cm="1">
        <f t="array" ref="P120">INDEX('5층_부하량'!K3:K3000,MATCH(1,("5-DaHall 1-PDU-04"='5층_부하량'!A3:A3000)*(58='5층_부하량'!B3:B3000),0))</f>
        <v>0.57017690296085766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2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7" t="s">
        <v>2834</v>
      </c>
      <c r="L121" s="543" t="s">
        <v>4167</v>
      </c>
      <c r="M121" s="17" t="s">
        <v>4171</v>
      </c>
      <c r="N121" s="2562" cm="1">
        <f t="array" ref="N121">INDEX('5층_부하량'!I3:I3000,MATCH(1,("5-DaHall 1-PDU-04"='5층_부하량'!A3:A3000)*(59='5층_부하량'!B3:B3000),0))</f>
        <v>1.7480598206689908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2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7" t="s">
        <v>2834</v>
      </c>
      <c r="L122" s="543" t="s">
        <v>4170</v>
      </c>
      <c r="M122" s="17" t="s">
        <v>4171</v>
      </c>
      <c r="N122" s="21"/>
      <c r="O122" s="2562" cm="1">
        <f t="array" ref="O122">INDEX('5층_부하량'!J3:J3000,MATCH(1,("5-DaHall 1-PDU-04"='5층_부하량'!A3:A3000)*(60='5층_부하량'!B3:B3000),0))</f>
        <v>3.5397931238741522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2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7" t="s">
        <v>2834</v>
      </c>
      <c r="L123" s="543" t="s">
        <v>4173</v>
      </c>
      <c r="M123" s="17" t="s">
        <v>4171</v>
      </c>
      <c r="N123" s="21"/>
      <c r="O123" s="21"/>
      <c r="P123" s="2562" cm="1">
        <f t="array" ref="P123">INDEX('5층_부하량'!K3:K3000,MATCH(1,("5-DaHall 1-PDU-04"='5층_부하량'!A3:A3000)*(61='5층_부하량'!B3:B3000),0))</f>
        <v>1.8130438649886913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2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7" t="s">
        <v>2834</v>
      </c>
      <c r="L124" s="543" t="s">
        <v>4175</v>
      </c>
      <c r="M124" s="17" t="s">
        <v>4171</v>
      </c>
      <c r="N124" s="2562" cm="1">
        <f t="array" ref="N124">INDEX('5층_부하량'!I3:I3000,MATCH(1,("5-DaHall 1-PDU-04"='5층_부하량'!A3:A3000)*(62='5층_부하량'!B3:B3000),0))</f>
        <v>0.93726269126214068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2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7" t="s">
        <v>2834</v>
      </c>
      <c r="L125" s="543" t="s">
        <v>4177</v>
      </c>
      <c r="M125" s="17" t="s">
        <v>4171</v>
      </c>
      <c r="N125" s="21"/>
      <c r="O125" s="2562" cm="1">
        <f t="array" ref="O125">INDEX('5층_부하량'!J3:J3000,MATCH(1,("5-DaHall 1-PDU-04"='5층_부하량'!A3:A3000)*(63='5층_부하량'!B3:B3000),0))</f>
        <v>3.8761523265648785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2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7" t="s">
        <v>2834</v>
      </c>
      <c r="L126" s="543" t="s">
        <v>4179</v>
      </c>
      <c r="M126" s="17" t="s">
        <v>4171</v>
      </c>
      <c r="N126" s="21"/>
      <c r="O126" s="21"/>
      <c r="P126" s="2562" cm="1">
        <f t="array" ref="P126">INDEX('5층_부하량'!K3:K3000,MATCH(1,("5-DaHall 1-PDU-04"='5층_부하량'!A3:A3000)*(64='5층_부하량'!B3:B3000),0))</f>
        <v>0.85031646412686934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2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7" t="s">
        <v>4243</v>
      </c>
      <c r="J127" s="585" t="s">
        <v>4210</v>
      </c>
      <c r="K127" s="2157" t="s">
        <v>2834</v>
      </c>
      <c r="L127" s="543" t="s">
        <v>4183</v>
      </c>
      <c r="M127" s="17" t="s">
        <v>4171</v>
      </c>
      <c r="N127" s="2562" cm="1">
        <f t="array" ref="N127">INDEX('5층_부하량'!I3:I3000,MATCH(1,("5-DaHall 1-PDU-04"='5층_부하량'!A3:A3000)*(65='5층_부하량'!B3:B3000),0))</f>
        <v>1.8381848661446427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2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7" t="s">
        <v>2834</v>
      </c>
      <c r="L128" s="543" t="s">
        <v>4187</v>
      </c>
      <c r="M128" s="17" t="s">
        <v>4171</v>
      </c>
      <c r="N128" s="21"/>
      <c r="O128" s="2562" cm="1">
        <f t="array" ref="O128">INDEX('5층_부하량'!J3:J3000,MATCH(1,("5-DaHall 1-PDU-04"='5층_부하량'!A3:A3000)*(66='5층_부하량'!B3:B3000),0))</f>
        <v>3.4431537094775968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2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7" t="s">
        <v>2834</v>
      </c>
      <c r="L129" s="543" t="s">
        <v>4253</v>
      </c>
      <c r="M129" s="17" t="s">
        <v>4171</v>
      </c>
      <c r="N129" s="21"/>
      <c r="O129" s="21"/>
      <c r="P129" s="2562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2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7" t="s">
        <v>2834</v>
      </c>
      <c r="L130" s="543" t="s">
        <v>4258</v>
      </c>
      <c r="M130" s="17" t="s">
        <v>4171</v>
      </c>
      <c r="N130" s="2562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2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7" t="s">
        <v>2834</v>
      </c>
      <c r="L131" s="544" t="s">
        <v>4262</v>
      </c>
      <c r="M131" s="71" t="s">
        <v>4171</v>
      </c>
      <c r="N131" s="21"/>
      <c r="O131" s="2562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2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7" t="s">
        <v>2834</v>
      </c>
      <c r="L132" s="543" t="s">
        <v>4265</v>
      </c>
      <c r="M132" s="17" t="s">
        <v>4171</v>
      </c>
      <c r="N132" s="21"/>
      <c r="O132" s="21"/>
      <c r="P132" s="2562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20"/>
      <c r="B133" s="1411" t="s">
        <v>4164</v>
      </c>
      <c r="C133" s="17" t="s">
        <v>4296</v>
      </c>
      <c r="D133" s="2562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7" t="s">
        <v>2834</v>
      </c>
      <c r="L133" s="1407" t="s">
        <v>4267</v>
      </c>
      <c r="M133" s="17" t="s">
        <v>4171</v>
      </c>
      <c r="N133" s="2562" cm="1">
        <f t="array" ref="N133">INDEX('5층_부하량'!I3:I3000,MATCH(1,("5-DaHall 1-PDU-04"='5층_부하량'!A3:A3000)*(71='5층_부하량'!B3:B3000),0))</f>
        <v>0.27016486416878249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20"/>
      <c r="B134" s="1411" t="s">
        <v>4164</v>
      </c>
      <c r="C134" s="17" t="s">
        <v>4296</v>
      </c>
      <c r="D134" s="21"/>
      <c r="E134" s="2562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7" t="s">
        <v>2834</v>
      </c>
      <c r="L134" s="1407" t="s">
        <v>4271</v>
      </c>
      <c r="M134" s="17" t="s">
        <v>4171</v>
      </c>
      <c r="N134" s="21"/>
      <c r="O134" s="2562" cm="1">
        <f t="array" ref="O134">INDEX('5층_부하량'!J3:J3000,MATCH(1,("5-DaHall 1-PDU-04"='5층_부하량'!A3:A3000)*(72='5층_부하량'!B3:B3000),0))</f>
        <v>0.28993658493597502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20"/>
      <c r="B135" s="1411" t="s">
        <v>4164</v>
      </c>
      <c r="C135" s="17" t="s">
        <v>4296</v>
      </c>
      <c r="D135" s="21"/>
      <c r="E135" s="19"/>
      <c r="F135" s="2560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7" t="s">
        <v>2834</v>
      </c>
      <c r="L135" s="1407" t="s">
        <v>4276</v>
      </c>
      <c r="M135" s="17" t="s">
        <v>4171</v>
      </c>
      <c r="N135" s="21"/>
      <c r="O135" s="19"/>
      <c r="P135" s="2560" cm="1">
        <f t="array" ref="P135">INDEX('5층_부하량'!K3:K3000,MATCH(1,("5-DaHall 1-PDU-04"='5층_부하량'!A3:A3000)*(73='5층_부하량'!B3:B3000),0))</f>
        <v>2.2881298072334189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2" cm="1">
        <f t="array" ref="D136">INDEX('5층_부하량'!I3:I3000,MATCH(1,("5-DaHall 1-PDU-04"='5층_부하량'!A3:A3000)*(20='5층_부하량'!B3:B3000),0))</f>
        <v>3.9102325568625713</v>
      </c>
      <c r="E136" s="19"/>
      <c r="F136" s="19"/>
      <c r="G136" s="21"/>
      <c r="H136" s="17" t="s">
        <v>4171</v>
      </c>
      <c r="I136" s="543" t="s">
        <v>4279</v>
      </c>
      <c r="J136" s="2155" t="s">
        <v>2837</v>
      </c>
      <c r="K136" s="2157" t="s">
        <v>2834</v>
      </c>
      <c r="L136" s="1407" t="s">
        <v>4280</v>
      </c>
      <c r="M136" s="17" t="s">
        <v>4171</v>
      </c>
      <c r="N136" s="2562" cm="1">
        <f t="array" ref="N136">INDEX('5층_부하량'!I3:I3000,MATCH(1,("5-DaHall 1-PDU-04"='5층_부하량'!A3:A3000)*(74='5층_부하량'!B3:B3000),0))</f>
        <v>2.4815305140040516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2" cm="1">
        <f t="array" ref="E137">INDEX('5층_부하량'!J3:J3000,MATCH(1,("5-DaHall 1-PDU-04"='5층_부하량'!A3:A3000)*(21='5층_부하량'!B3:B3000),0))</f>
        <v>1.3027793271444812</v>
      </c>
      <c r="F137" s="19"/>
      <c r="G137" s="21"/>
      <c r="H137" s="17" t="s">
        <v>4171</v>
      </c>
      <c r="I137" s="543" t="s">
        <v>4283</v>
      </c>
      <c r="J137" s="2155" t="s">
        <v>2837</v>
      </c>
      <c r="K137" s="2157" t="s">
        <v>2834</v>
      </c>
      <c r="L137" s="1407" t="s">
        <v>4284</v>
      </c>
      <c r="M137" s="17" t="s">
        <v>4171</v>
      </c>
      <c r="N137" s="21"/>
      <c r="O137" s="2562" cm="1">
        <f t="array" ref="O137">INDEX('5층_부하량'!J3:J3000,MATCH(1,("5-DaHall 1-PDU-04"='5층_부하량'!A3:A3000)*(75='5층_부하량'!B3:B3000),0))</f>
        <v>1.4536357579162333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20" t="s">
        <v>5334</v>
      </c>
      <c r="B138" s="17" t="s">
        <v>5335</v>
      </c>
      <c r="C138" s="17" t="s">
        <v>4296</v>
      </c>
      <c r="D138" s="21"/>
      <c r="E138" s="19"/>
      <c r="F138" s="2562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5" t="s">
        <v>2837</v>
      </c>
      <c r="K138" s="2157" t="s">
        <v>2834</v>
      </c>
      <c r="L138" s="1407" t="s">
        <v>4416</v>
      </c>
      <c r="M138" s="17" t="s">
        <v>4171</v>
      </c>
      <c r="N138" s="21"/>
      <c r="O138" s="19"/>
      <c r="P138" s="2562" cm="1">
        <f t="array" ref="P138">INDEX('5층_부하량'!K3:K3000,MATCH(1,("5-DaHall 1-PDU-04"='5층_부하량'!A3:A3000)*(76='5층_부하량'!B3:B3000),0))</f>
        <v>1.5837082486723026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20" t="s">
        <v>5337</v>
      </c>
      <c r="B139" s="71" t="s">
        <v>4204</v>
      </c>
      <c r="C139" s="72" t="s">
        <v>4149</v>
      </c>
      <c r="D139" s="2562" cm="1">
        <f t="array" ref="D139">INDEX('5층_부하량'!I3:I3000,MATCH(1,("5-DaHall 1-PDU-04"='5층_부하량'!A3:A3000)*(23='5층_부하량'!B3:B3000),0))</f>
        <v>2.4671058576385083</v>
      </c>
      <c r="E139" s="19"/>
      <c r="F139" s="19"/>
      <c r="G139" s="21"/>
      <c r="H139" s="17" t="s">
        <v>4171</v>
      </c>
      <c r="I139" s="543" t="s">
        <v>4418</v>
      </c>
      <c r="J139" s="2155" t="s">
        <v>2837</v>
      </c>
      <c r="K139" s="2157" t="s">
        <v>2834</v>
      </c>
      <c r="L139" s="1407" t="s">
        <v>4419</v>
      </c>
      <c r="M139" s="17" t="s">
        <v>4171</v>
      </c>
      <c r="N139" s="2562" cm="1">
        <f t="array" ref="N139">INDEX('5층_부하량'!I3:I3000,MATCH(1,("5-DaHall 1-PDU-04"='5층_부하량'!A3:A3000)*(77='5층_부하량'!B3:B3000),0))</f>
        <v>2.3164287076763221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20" t="s">
        <v>5339</v>
      </c>
      <c r="B140" s="17" t="s">
        <v>4204</v>
      </c>
      <c r="C140" s="18" t="s">
        <v>4149</v>
      </c>
      <c r="D140" s="21"/>
      <c r="E140" s="2562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5" t="s">
        <v>2837</v>
      </c>
      <c r="K140" s="2157" t="s">
        <v>2834</v>
      </c>
      <c r="L140" s="1407" t="s">
        <v>4421</v>
      </c>
      <c r="M140" s="17" t="s">
        <v>4171</v>
      </c>
      <c r="N140" s="21"/>
      <c r="O140" s="2562" cm="1">
        <f t="array" ref="O140">INDEX('5층_부하량'!J3:J3000,MATCH(1,("5-DaHall 1-PDU-04"='5층_부하량'!A3:A3000)*(78='5층_부하량'!B3:B3000),0))</f>
        <v>2.3506067792556653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20" t="s">
        <v>5353</v>
      </c>
      <c r="B141" s="17" t="s">
        <v>5335</v>
      </c>
      <c r="C141" s="18" t="s">
        <v>4149</v>
      </c>
      <c r="D141" s="21"/>
      <c r="E141" s="21"/>
      <c r="F141" s="2562" cm="1">
        <f t="array" ref="F141">INDEX('5층_부하량'!K3:K3000,MATCH(1,("5-DaHall 1-PDU-04"='5층_부하량'!A3:A3000)*(25='5층_부하량'!B3:B3000),0))</f>
        <v>4.3931848767981521</v>
      </c>
      <c r="G141" s="21"/>
      <c r="H141" s="17" t="s">
        <v>4171</v>
      </c>
      <c r="I141" s="543" t="s">
        <v>4422</v>
      </c>
      <c r="J141" s="2155" t="s">
        <v>2837</v>
      </c>
      <c r="K141" s="2157" t="s">
        <v>2834</v>
      </c>
      <c r="L141" s="1407" t="s">
        <v>4423</v>
      </c>
      <c r="M141" s="17" t="s">
        <v>4171</v>
      </c>
      <c r="N141" s="21"/>
      <c r="O141" s="21"/>
      <c r="P141" s="2562" cm="1">
        <f t="array" ref="P141">INDEX('5층_부하량'!K3:K3000,MATCH(1,("5-DaHall 1-PDU-04"='5층_부하량'!A3:A3000)*(79='5층_부하량'!B3:B3000),0))</f>
        <v>3.1745623881315059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21" t="s">
        <v>5354</v>
      </c>
      <c r="B142" s="35" t="s">
        <v>5335</v>
      </c>
      <c r="C142" s="39" t="s">
        <v>4149</v>
      </c>
      <c r="D142" s="2561" cm="1">
        <f t="array" ref="D142">INDEX('5층_부하량'!I3:I3000,MATCH(1,("5-DaHall 1-PDU-04"='5층_부하량'!A3:A3000)*(26='5층_부하량'!B3:B3000),0))</f>
        <v>5.4150097410050355</v>
      </c>
      <c r="E142" s="36"/>
      <c r="F142" s="36"/>
      <c r="G142" s="36"/>
      <c r="H142" s="35" t="s">
        <v>4171</v>
      </c>
      <c r="I142" s="1410" t="s">
        <v>4424</v>
      </c>
      <c r="J142" s="2156" t="s">
        <v>2837</v>
      </c>
      <c r="K142" s="2158" t="s">
        <v>2834</v>
      </c>
      <c r="L142" s="1410" t="s">
        <v>4425</v>
      </c>
      <c r="M142" s="35" t="s">
        <v>4171</v>
      </c>
      <c r="N142" s="2561" cm="1">
        <f t="array" ref="N142">INDEX('5층_부하량'!I3:I3000,MATCH(1,("5-DaHall 1-PDU-04"='5층_부하량'!A3:A3000)*(80='5층_부하량'!B3:B3000),0))</f>
        <v>3.9531319140936039</v>
      </c>
      <c r="O142" s="36"/>
      <c r="P142" s="36"/>
      <c r="Q142" s="36"/>
      <c r="R142" s="35" t="s">
        <v>5319</v>
      </c>
      <c r="S142" s="39" t="s">
        <v>4149</v>
      </c>
      <c r="T142" s="2159" t="s">
        <v>5344</v>
      </c>
    </row>
    <row r="143" spans="1:20" ht="18" customHeight="1" thickTop="1" thickBot="1">
      <c r="M143" s="79" t="s">
        <v>5218</v>
      </c>
      <c r="N143" s="33">
        <f>SUM(D117:D142,N117:N142)</f>
        <v>25.337111533524652</v>
      </c>
      <c r="O143" s="33">
        <f>SUM(E117:E142,O117:O142)</f>
        <v>16.256057609168984</v>
      </c>
      <c r="P143" s="33">
        <f>SUM(F117:F142,P117:P142)</f>
        <v>14.673122552911797</v>
      </c>
    </row>
    <row r="144" spans="1:20" ht="18" customHeight="1" thickTop="1" thickBot="1">
      <c r="A144" s="2" t="s">
        <v>5355</v>
      </c>
      <c r="C144" s="3818" t="s">
        <v>5356</v>
      </c>
      <c r="D144" s="3818"/>
      <c r="E144" s="3818"/>
      <c r="F144" s="53"/>
      <c r="G144" s="53"/>
      <c r="H144" s="123"/>
      <c r="I144" s="123"/>
      <c r="J144" s="3819" t="s">
        <v>5357</v>
      </c>
      <c r="K144" s="382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4136</v>
      </c>
      <c r="N145" s="1342"/>
      <c r="O145" s="1343"/>
      <c r="P145" s="1344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1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2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3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2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3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3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3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3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3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4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7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5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5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3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3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3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3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3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3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3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3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3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6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818" t="s">
        <v>5390</v>
      </c>
      <c r="D161" s="3818"/>
      <c r="E161" s="3818"/>
      <c r="F161" s="3818"/>
      <c r="G161" s="53"/>
      <c r="H161" s="123"/>
      <c r="I161" s="123"/>
      <c r="J161" s="3819" t="s">
        <v>5226</v>
      </c>
      <c r="K161" s="382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4136</v>
      </c>
      <c r="N162" s="1342"/>
      <c r="O162" s="1343"/>
      <c r="P162" s="1344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9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9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2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2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2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2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2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2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2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2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2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2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2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2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2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2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2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2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2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2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2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2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2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2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2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2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2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2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2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2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2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2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2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2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2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2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2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2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2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2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2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2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2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2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2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2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2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2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2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2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2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2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4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4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818" t="s">
        <v>5397</v>
      </c>
      <c r="D192" s="3818"/>
      <c r="E192" s="3818"/>
      <c r="F192" s="3818"/>
      <c r="G192" s="53"/>
      <c r="H192" s="123"/>
      <c r="I192" s="123"/>
      <c r="J192" s="3819" t="s">
        <v>5226</v>
      </c>
      <c r="K192" s="382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4136</v>
      </c>
      <c r="N193" s="1342"/>
      <c r="O193" s="1343"/>
      <c r="P193" s="1344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9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9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2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2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2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2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2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2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2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2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2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2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2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2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2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2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2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2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2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2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2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2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2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2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2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2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2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2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8"/>
      <c r="B209" s="71" t="s">
        <v>535</v>
      </c>
      <c r="C209" s="71" t="s">
        <v>4296</v>
      </c>
      <c r="D209" s="21"/>
      <c r="E209" s="2562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2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2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2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2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2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8"/>
      <c r="B212" s="17" t="s">
        <v>535</v>
      </c>
      <c r="C212" s="17" t="s">
        <v>4296</v>
      </c>
      <c r="D212" s="21"/>
      <c r="E212" s="2562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2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2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2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2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2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2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2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2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2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2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2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2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2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2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2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2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2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4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9"/>
      <c r="K221" s="2080"/>
      <c r="L221" s="550" t="s">
        <v>4430</v>
      </c>
      <c r="M221" s="29" t="s">
        <v>4171</v>
      </c>
      <c r="N221" s="30"/>
      <c r="O221" s="2564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818" t="s">
        <v>5399</v>
      </c>
      <c r="D223" s="3818"/>
      <c r="E223" s="3818"/>
      <c r="F223" s="3818"/>
      <c r="G223" s="53"/>
      <c r="H223" s="123"/>
      <c r="I223" s="123"/>
      <c r="J223" s="3819" t="s">
        <v>4636</v>
      </c>
      <c r="K223" s="382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4136</v>
      </c>
      <c r="N224" s="1342">
        <v>8.6</v>
      </c>
      <c r="O224" s="1343">
        <v>1.1000000000000001</v>
      </c>
      <c r="P224" s="1344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9" cm="1">
        <f t="array" ref="D226">INDEX('5층_부하량'!I3:I3000,MATCH(1,("5-DaHall 1-PDU-07"='5층_부하량'!A3:A3000)*(1='5층_부하량'!B3:B3000),0))</f>
        <v>7.7299224353135179</v>
      </c>
      <c r="E226" s="15"/>
      <c r="F226" s="15"/>
      <c r="G226" s="15"/>
      <c r="H226" s="13" t="s">
        <v>5359</v>
      </c>
      <c r="I226" s="1188" t="s">
        <v>4206</v>
      </c>
      <c r="J226" s="1002" t="s">
        <v>5401</v>
      </c>
      <c r="K226" s="1003" t="s">
        <v>5402</v>
      </c>
      <c r="L226" s="1184" t="s">
        <v>4152</v>
      </c>
      <c r="M226" s="11" t="s">
        <v>5359</v>
      </c>
      <c r="N226" s="2559" cm="1">
        <f t="array" ref="N226">INDEX('5층_부하량'!I3:I3000,MATCH(1,("5-DaHall 1-PDU-07"='5층_부하량'!A3:A3000)*(2='5층_부하량'!B3:B3000),0))</f>
        <v>1.0017553331575562</v>
      </c>
      <c r="O226" s="15"/>
      <c r="P226" s="15"/>
      <c r="Q226" s="15"/>
      <c r="R226" s="62" t="s">
        <v>4204</v>
      </c>
      <c r="S226" s="96" t="s">
        <v>4149</v>
      </c>
      <c r="T226" s="1044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60" cm="1">
        <f t="array" ref="E227">INDEX('5층_부하량'!J3:J3000,MATCH(1,("5-DaHall 1-PDU-07"='5층_부하량'!A3:A3000)*(3='5층_부하량'!B3:B3000),0))</f>
        <v>1.2904128077737169</v>
      </c>
      <c r="F227" s="19"/>
      <c r="G227" s="19"/>
      <c r="H227" s="17" t="s">
        <v>5363</v>
      </c>
      <c r="I227" s="1181" t="s">
        <v>4211</v>
      </c>
      <c r="J227" s="1004" t="s">
        <v>5401</v>
      </c>
      <c r="K227" s="1005" t="s">
        <v>5405</v>
      </c>
      <c r="L227" s="1181" t="s">
        <v>4157</v>
      </c>
      <c r="M227" s="17" t="s">
        <v>5359</v>
      </c>
      <c r="N227" s="19"/>
      <c r="O227" s="2560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2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5359</v>
      </c>
      <c r="I228" s="1181" t="s">
        <v>4214</v>
      </c>
      <c r="J228" s="1004" t="s">
        <v>5401</v>
      </c>
      <c r="K228" s="1006" t="s">
        <v>5408</v>
      </c>
      <c r="L228" s="1181" t="s">
        <v>4162</v>
      </c>
      <c r="M228" s="17" t="s">
        <v>5359</v>
      </c>
      <c r="N228" s="21"/>
      <c r="O228" s="21"/>
      <c r="P228" s="2562" cm="1">
        <f t="array" ref="P228">INDEX('5층_부하량'!K3:K3000,MATCH(1,("5-DaHall 1-PDU-07"='5층_부하량'!A3:A3000)*(6='5층_부하량'!B3:B3000),0))</f>
        <v>0.37584276397951122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2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2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2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2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3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3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8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8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9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9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2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2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2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2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2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2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2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2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2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2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2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2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2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2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2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2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2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2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61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61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8.7316777684710747</v>
      </c>
      <c r="O244" s="33">
        <f>SUM(E226:E243,O226:O243)</f>
        <v>1.2904128077737169</v>
      </c>
      <c r="P244" s="33">
        <f>SUM(F226:F243,P226:P243)</f>
        <v>0.77584276397951135</v>
      </c>
    </row>
    <row r="245" spans="1:20" ht="18.600000000000001" thickTop="1" thickBot="1">
      <c r="A245" s="2" t="s">
        <v>6525</v>
      </c>
      <c r="C245" s="3818" t="s">
        <v>5410</v>
      </c>
      <c r="D245" s="3818"/>
      <c r="E245" s="3818"/>
      <c r="F245" s="3818"/>
      <c r="G245" s="53"/>
      <c r="H245" s="123"/>
      <c r="I245" s="123"/>
      <c r="J245" s="3819" t="s">
        <v>4636</v>
      </c>
      <c r="K245" s="382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4136</v>
      </c>
      <c r="N246" s="1342"/>
      <c r="O246" s="1343"/>
      <c r="P246" s="1344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9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1" t="s">
        <v>5360</v>
      </c>
      <c r="J248" s="60"/>
      <c r="K248" s="61"/>
      <c r="L248" s="561" t="s">
        <v>5361</v>
      </c>
      <c r="M248" s="11" t="s">
        <v>5359</v>
      </c>
      <c r="N248" s="2559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60">
        <f>IFERROR(INDEX('5층_부하량'!J3:J3000,MATCH(1,("5-DaHall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60">
        <f>IFERROR(INDEX('5층_부하량'!J3:J3000,MATCH(1,("5-DaHall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2">
        <f>IFERROR(INDEX('5층_부하량'!K3:K3000,MATCH(1,("5-DaHall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2">
        <f>IFERROR(INDEX('5층_부하량'!K3:K3000,MATCH(1,("5-DaHall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2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2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2">
        <f>IFERROR(INDEX('5층_부하량'!J3:J3000,MATCH(1,("5-DaHall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2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3">
        <f>IFERROR(INDEX('5층_부하량'!K3:K3000,MATCH(1,("5-DaHall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3">
        <f>IFERROR(INDEX('5층_부하량'!K3:K3000,MATCH(1,("5-DaHall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3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3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8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8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9">
        <f>IFERROR(INDEX('5층_부하량'!K3:K3000,MATCH(1,("5-DaHall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9">
        <f>IFERROR(INDEX('5층_부하량'!K3:K3000,MATCH(1,("5-DaHall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2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2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2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2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2">
        <f>IFERROR(INDEX('5층_부하량'!K3:K3000,MATCH(1,("5-DaHall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2">
        <f>IFERROR(INDEX('5층_부하량'!K3:K3000,MATCH(1,("5-DaHall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2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2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2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2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2">
        <f>IFERROR(INDEX('5층_부하량'!K3:K3000,MATCH(1,("5-DaHall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2">
        <f>IFERROR(INDEX('5층_부하량'!K3:K3000,MATCH(1,("5-DaHall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2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2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2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2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2">
        <f>IFERROR(INDEX('5층_부하량'!K3:K3000,MATCH(1,("5-DaHall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2">
        <f>IFERROR(INDEX('5층_부하량'!K3:K3000,MATCH(1,("5-DaHall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4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4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818" t="s">
        <v>5412</v>
      </c>
      <c r="D268" s="3818"/>
      <c r="E268" s="3818"/>
      <c r="F268" s="3818"/>
      <c r="G268" s="53"/>
      <c r="H268" s="123"/>
      <c r="I268" s="123"/>
      <c r="J268" s="3819" t="s">
        <v>4636</v>
      </c>
      <c r="K268" s="382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4136</v>
      </c>
      <c r="N269" s="1342">
        <v>6.5</v>
      </c>
      <c r="O269" s="1343">
        <v>1.4</v>
      </c>
      <c r="P269" s="1344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9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7" t="s">
        <v>5405</v>
      </c>
      <c r="K271" s="1003" t="s">
        <v>5413</v>
      </c>
      <c r="L271" s="1184" t="s">
        <v>4152</v>
      </c>
      <c r="M271" s="11" t="s">
        <v>5359</v>
      </c>
      <c r="N271" s="2559" cm="1">
        <f t="array" ref="N271">INDEX('5층_부하량'!I3:I3000,MATCH(1,("5-DaHall 1-PDU-08"='5층_부하량'!A3:A3000)*(2='5층_부하량'!B3:B3000),0))</f>
        <v>1.1724297861971957</v>
      </c>
      <c r="O271" s="15"/>
      <c r="P271" s="15"/>
      <c r="Q271" s="15"/>
      <c r="R271" s="62" t="s">
        <v>4204</v>
      </c>
      <c r="S271" s="96" t="s">
        <v>4149</v>
      </c>
      <c r="T271" s="1044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60" cm="1">
        <f t="array" ref="E272">INDEX('5층_부하량'!J3:J3000,MATCH(1,("5-DaHall 1-PDU-08"='5층_부하량'!A3:A3000)*(3='5층_부하량'!B3:B3000),0))</f>
        <v>1.3953580245916024</v>
      </c>
      <c r="F272" s="19"/>
      <c r="G272" s="19"/>
      <c r="H272" s="17" t="s">
        <v>5363</v>
      </c>
      <c r="I272" s="1181" t="s">
        <v>4211</v>
      </c>
      <c r="J272" s="1008" t="s">
        <v>2488</v>
      </c>
      <c r="K272" s="1005" t="s">
        <v>5405</v>
      </c>
      <c r="L272" s="1181" t="s">
        <v>4157</v>
      </c>
      <c r="M272" s="17" t="s">
        <v>5359</v>
      </c>
      <c r="N272" s="19"/>
      <c r="O272" s="2560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2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81" t="s">
        <v>4214</v>
      </c>
      <c r="J273" s="1008" t="s">
        <v>2488</v>
      </c>
      <c r="K273" s="1006" t="s">
        <v>5418</v>
      </c>
      <c r="L273" s="1181" t="s">
        <v>4162</v>
      </c>
      <c r="M273" s="17" t="s">
        <v>5359</v>
      </c>
      <c r="N273" s="21"/>
      <c r="O273" s="21"/>
      <c r="P273" s="2562" cm="1">
        <f t="array" ref="P273">INDEX('5층_부하량'!K3:K3000,MATCH(1,("5-DaHall 1-PDU-08"='5층_부하량'!A3:A3000)*(6='5층_부하량'!B3:B3000),0))</f>
        <v>1.3557560528233588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2" cm="1">
        <f t="array" ref="D274">INDEX('5층_부하량'!I3:I3000,MATCH(1,("5-DaHall 1-PDU-08"='5층_부하량'!A3:A3000)*(7='5층_부하량'!B3:B3000),0))</f>
        <v>5.3868240610107865</v>
      </c>
      <c r="E274" s="21"/>
      <c r="F274" s="21"/>
      <c r="G274" s="21"/>
      <c r="H274" s="17" t="s">
        <v>5368</v>
      </c>
      <c r="I274" s="1181" t="s">
        <v>4218</v>
      </c>
      <c r="J274" s="1008" t="s">
        <v>2488</v>
      </c>
      <c r="K274" s="1009"/>
      <c r="L274" s="562" t="s">
        <v>4167</v>
      </c>
      <c r="M274" s="17" t="s">
        <v>5368</v>
      </c>
      <c r="N274" s="2562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2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10"/>
      <c r="K275" s="1009"/>
      <c r="L275" s="562" t="s">
        <v>4170</v>
      </c>
      <c r="M275" s="17" t="s">
        <v>5374</v>
      </c>
      <c r="N275" s="21"/>
      <c r="O275" s="2562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3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3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8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8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9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9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2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2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2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2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2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2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2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2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2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2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2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2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2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2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2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2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2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2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61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61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6.559253847207982</v>
      </c>
      <c r="O289" s="33">
        <f>SUM(E271:E288,O271:O288)</f>
        <v>1.3953580245916024</v>
      </c>
      <c r="P289" s="33">
        <f>SUM(F271:F288,P271:P288)</f>
        <v>1.3557560528233588</v>
      </c>
    </row>
    <row r="290" spans="1:20" ht="18.600000000000001" thickTop="1" thickBot="1">
      <c r="A290" s="2" t="s">
        <v>6527</v>
      </c>
      <c r="C290" s="3818" t="s">
        <v>5421</v>
      </c>
      <c r="D290" s="3818"/>
      <c r="E290" s="3818"/>
      <c r="F290" s="3818"/>
      <c r="G290" s="53"/>
      <c r="H290" s="123"/>
      <c r="I290" s="123"/>
      <c r="J290" s="3819" t="s">
        <v>4636</v>
      </c>
      <c r="K290" s="382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4136</v>
      </c>
      <c r="N291" s="1342"/>
      <c r="O291" s="1343"/>
      <c r="P291" s="1344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9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1" t="s">
        <v>5360</v>
      </c>
      <c r="J293" s="60"/>
      <c r="K293" s="61"/>
      <c r="L293" s="561" t="s">
        <v>5361</v>
      </c>
      <c r="M293" s="11" t="s">
        <v>5359</v>
      </c>
      <c r="N293" s="2559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60">
        <f>IFERROR(INDEX('5층_부하량'!J3:J3000,MATCH(1,("5-DaHall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60">
        <f>IFERROR(INDEX('5층_부하량'!J3:J3000,MATCH(1,("5-DaHall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2">
        <f>IFERROR(INDEX('5층_부하량'!K3:K3000,MATCH(1,("5-DaHall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2">
        <f>IFERROR(INDEX('5층_부하량'!K3:K3000,MATCH(1,("5-DaHall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2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2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2">
        <f>IFERROR(INDEX('5층_부하량'!J3:J3000,MATCH(1,("5-DaHall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2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3">
        <f>IFERROR(INDEX('5층_부하량'!K3:K3000,MATCH(1,("5-DaHall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3">
        <f>IFERROR(INDEX('5층_부하량'!K3:K3000,MATCH(1,("5-DaHall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3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3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8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8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9">
        <f>IFERROR(INDEX('5층_부하량'!K3:K3000,MATCH(1,("5-DaHall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9">
        <f>IFERROR(INDEX('5층_부하량'!K3:K3000,MATCH(1,("5-DaHall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2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2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2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2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2">
        <f>IFERROR(INDEX('5층_부하량'!K3:K3000,MATCH(1,("5-DaHall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2">
        <f>IFERROR(INDEX('5층_부하량'!K3:K3000,MATCH(1,("5-DaHall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2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2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2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2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2">
        <f>IFERROR(INDEX('5층_부하량'!K3:K3000,MATCH(1,("5-DaHall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2">
        <f>IFERROR(INDEX('5층_부하량'!K3:K3000,MATCH(1,("5-DaHall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2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2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2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2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2">
        <f>IFERROR(INDEX('5층_부하량'!K3:K3000,MATCH(1,("5-DaHall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2">
        <f>IFERROR(INDEX('5층_부하량'!K3:K3000,MATCH(1,("5-DaHall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4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4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818" t="s">
        <v>5422</v>
      </c>
      <c r="D313" s="3818"/>
      <c r="E313" s="3818"/>
      <c r="F313" s="3818"/>
      <c r="G313" s="53"/>
      <c r="H313" s="123"/>
      <c r="I313" s="123"/>
      <c r="J313" s="3819" t="s">
        <v>5219</v>
      </c>
      <c r="K313" s="382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4136</v>
      </c>
      <c r="N314" s="1342">
        <v>15.3</v>
      </c>
      <c r="O314" s="1343">
        <v>10.199999999999999</v>
      </c>
      <c r="P314" s="1344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71" cm="1">
        <f t="array" ref="D316">INDEX('5층_부하량'!I3:I3000,MATCH(1,("5-DaHall 1-PDU-11"='5층_부하량'!A3:A3000)*(1='5층_부하량'!B3:B3000),0))</f>
        <v>0</v>
      </c>
      <c r="E316" s="2571" cm="1">
        <f t="array" ref="E316">INDEX('5층_부하량'!J3:J3000,MATCH(1,("5-DaHall 1-PDU-11"='5층_부하량'!A3:A3000)*(1='5층_부하량'!B3:B3000),0))</f>
        <v>0</v>
      </c>
      <c r="F316" s="2571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51" t="s">
        <v>5360</v>
      </c>
      <c r="J316" s="60"/>
      <c r="K316" s="61"/>
      <c r="L316" s="561" t="s">
        <v>5361</v>
      </c>
      <c r="M316" s="11" t="s">
        <v>5359</v>
      </c>
      <c r="N316" s="2571" cm="1">
        <f t="array" ref="N316">INDEX('5층_부하량'!I3:I3000,MATCH(1,("5-DaHall 1-PDU-11"='5층_부하량'!A3:A3000)*(2='5층_부하량'!B3:B3000),0))</f>
        <v>0</v>
      </c>
      <c r="O316" s="2571" cm="1">
        <f t="array" ref="O316">INDEX('5층_부하량'!J3:J3000,MATCH(1,("5-DaHall 1-PDU-11"='5층_부하량'!A3:A3000)*(2='5층_부하량'!B3:B3000),0))</f>
        <v>0</v>
      </c>
      <c r="P316" s="2571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2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2" t="s">
        <v>5405</v>
      </c>
      <c r="K317" s="1005"/>
      <c r="L317" s="543" t="s">
        <v>4157</v>
      </c>
      <c r="M317" s="17" t="s">
        <v>5359</v>
      </c>
      <c r="N317" s="2572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9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81" t="s">
        <v>4214</v>
      </c>
      <c r="J318" s="1012" t="s">
        <v>5405</v>
      </c>
      <c r="K318" s="1005" t="s">
        <v>5405</v>
      </c>
      <c r="L318" s="543" t="s">
        <v>4162</v>
      </c>
      <c r="M318" s="17" t="s">
        <v>5359</v>
      </c>
      <c r="N318" s="381"/>
      <c r="O318" s="2569" cm="1">
        <f t="array" ref="O318">INDEX('5층_부하량'!J3:J3000,MATCH(1,("5-DaHall 1-PDU-11"='5층_부하량'!A3:A3000)*(6='5층_부하량'!B3:B3000),0))</f>
        <v>1.990112214214371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9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2" t="s">
        <v>5405</v>
      </c>
      <c r="K319" s="1005" t="s">
        <v>5405</v>
      </c>
      <c r="L319" s="543" t="s">
        <v>4167</v>
      </c>
      <c r="M319" s="17" t="s">
        <v>5374</v>
      </c>
      <c r="N319" s="381"/>
      <c r="O319" s="381"/>
      <c r="P319" s="2569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9" cm="1">
        <f t="array" ref="D320">INDEX('5층_부하량'!I3:I3000,MATCH(1,("5-DaHall 1-PDU-11"='5층_부하량'!A3:A3000)*(9='5층_부하량'!B3:B3000),0))</f>
        <v>5.2356864871800779</v>
      </c>
      <c r="E320" s="381"/>
      <c r="F320" s="381"/>
      <c r="G320" s="21"/>
      <c r="H320" s="17" t="s">
        <v>5359</v>
      </c>
      <c r="I320" s="1181" t="s">
        <v>4221</v>
      </c>
      <c r="J320" s="1004" t="s">
        <v>5401</v>
      </c>
      <c r="K320" s="1005" t="s">
        <v>5405</v>
      </c>
      <c r="L320" s="543" t="s">
        <v>4170</v>
      </c>
      <c r="M320" s="17" t="s">
        <v>5374</v>
      </c>
      <c r="N320" s="2569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6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3" t="s">
        <v>4226</v>
      </c>
      <c r="J321" s="1004" t="s">
        <v>5401</v>
      </c>
      <c r="K321" s="1013" t="s">
        <v>5405</v>
      </c>
      <c r="L321" s="549" t="s">
        <v>4173</v>
      </c>
      <c r="M321" s="23" t="s">
        <v>5374</v>
      </c>
      <c r="N321" s="411"/>
      <c r="O321" s="2576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8" cm="1">
        <f t="array" ref="F322">INDEX('5층_부하량'!K3:K3000,MATCH(1,("5-DaHall 1-PDU-11"='5층_부하량'!A3:A3000)*(13='5층_부하량'!B3:B3000),0))</f>
        <v>1.9533250909288089</v>
      </c>
      <c r="G322" s="104"/>
      <c r="H322" s="11" t="s">
        <v>5359</v>
      </c>
      <c r="I322" s="1184" t="s">
        <v>4230</v>
      </c>
      <c r="J322" s="1007" t="s">
        <v>5405</v>
      </c>
      <c r="K322" s="1011" t="s">
        <v>5405</v>
      </c>
      <c r="L322" s="542" t="s">
        <v>4175</v>
      </c>
      <c r="M322" s="11" t="s">
        <v>5374</v>
      </c>
      <c r="N322" s="395"/>
      <c r="O322" s="395"/>
      <c r="P322" s="2568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7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9" t="s">
        <v>4234</v>
      </c>
      <c r="J323" s="1014" t="s">
        <v>5405</v>
      </c>
      <c r="K323" s="1015" t="s">
        <v>5405</v>
      </c>
      <c r="L323" s="544" t="s">
        <v>4177</v>
      </c>
      <c r="M323" s="71" t="s">
        <v>5374</v>
      </c>
      <c r="N323" s="2577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9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9" t="s">
        <v>4238</v>
      </c>
      <c r="J324" s="1014" t="s">
        <v>5405</v>
      </c>
      <c r="K324" s="1005" t="s">
        <v>5405</v>
      </c>
      <c r="L324" s="543" t="s">
        <v>4179</v>
      </c>
      <c r="M324" s="17" t="s">
        <v>5374</v>
      </c>
      <c r="N324" s="381"/>
      <c r="O324" s="2569" cm="1">
        <f t="array" ref="O324">INDEX('5층_부하량'!J3:J3000,MATCH(1,("5-DaHall 1-PDU-11"='5층_부하량'!A3:A3000)*(18='5층_부하량'!B3:B3000),0))</f>
        <v>3.0662864438421007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9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9" t="s">
        <v>4243</v>
      </c>
      <c r="J325" s="1014" t="s">
        <v>5405</v>
      </c>
      <c r="K325" s="1005" t="s">
        <v>5405</v>
      </c>
      <c r="L325" s="543" t="s">
        <v>4183</v>
      </c>
      <c r="M325" s="17" t="s">
        <v>5384</v>
      </c>
      <c r="N325" s="381"/>
      <c r="O325" s="381"/>
      <c r="P325" s="2569" cm="1">
        <f t="array" ref="P325">INDEX('5층_부하량'!K3:K3000,MATCH(1,("5-DaHall 1-PDU-11"='5층_부하량'!A3:A3000)*(20='5층_부하량'!B3:B3000),0))</f>
        <v>2.9616203372107344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9" cm="1">
        <f t="array" ref="D326">INDEX('5층_부하량'!I3:I3000,MATCH(1,("5-DaHall 1-PDU-11"='5층_부하량'!A3:A3000)*(21='5층_부하량'!B3:B3000),0))</f>
        <v>2.5448782152450251</v>
      </c>
      <c r="E326" s="381"/>
      <c r="F326" s="381"/>
      <c r="G326" s="21"/>
      <c r="H326" s="17" t="s">
        <v>5384</v>
      </c>
      <c r="I326" s="1189" t="s">
        <v>4247</v>
      </c>
      <c r="J326" s="1014" t="s">
        <v>5435</v>
      </c>
      <c r="K326" s="1009"/>
      <c r="L326" s="562" t="s">
        <v>4187</v>
      </c>
      <c r="M326" s="17" t="s">
        <v>5384</v>
      </c>
      <c r="N326" s="2569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9" cm="1">
        <f t="array" ref="E327">INDEX('5층_부하량'!J3:J3000,MATCH(1,("5-DaHall 1-PDU-11"='5층_부하량'!A3:A3000)*(23='5층_부하량'!B3:B3000),0))</f>
        <v>4.912290579446446</v>
      </c>
      <c r="F327" s="381"/>
      <c r="G327" s="21"/>
      <c r="H327" s="17" t="s">
        <v>5384</v>
      </c>
      <c r="I327" s="1189" t="s">
        <v>4251</v>
      </c>
      <c r="J327" s="1014" t="s">
        <v>5438</v>
      </c>
      <c r="K327" s="1016" t="s">
        <v>2488</v>
      </c>
      <c r="L327" s="562" t="s">
        <v>4253</v>
      </c>
      <c r="M327" s="17" t="s">
        <v>5384</v>
      </c>
      <c r="N327" s="381"/>
      <c r="O327" s="2569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9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9" t="s">
        <v>4256</v>
      </c>
      <c r="J328" s="1014" t="s">
        <v>5441</v>
      </c>
      <c r="K328" s="1016" t="s">
        <v>2488</v>
      </c>
      <c r="L328" s="1182" t="s">
        <v>4258</v>
      </c>
      <c r="M328" s="17" t="s">
        <v>5384</v>
      </c>
      <c r="N328" s="381"/>
      <c r="O328" s="381"/>
      <c r="P328" s="2569" cm="1">
        <f t="array" ref="P328">INDEX('5층_부하량'!K3:K3000,MATCH(1,("5-DaHall 1-PDU-11"='5층_부하량'!A3:A3000)*(26='5층_부하량'!B3:B3000),0))</f>
        <v>5.4626835762464498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9" cm="1">
        <f t="array" ref="D329">INDEX('5층_부하량'!I3:I3000,MATCH(1,("5-DaHall 1-PDU-11"='5층_부하량'!A3:A3000)*(27='5층_부하량'!B3:B3000),0))</f>
        <v>2.5469849970843388</v>
      </c>
      <c r="E329" s="381"/>
      <c r="F329" s="381"/>
      <c r="G329" s="21"/>
      <c r="H329" s="17" t="s">
        <v>5384</v>
      </c>
      <c r="I329" s="1189" t="s">
        <v>4261</v>
      </c>
      <c r="J329" s="1014" t="s">
        <v>5444</v>
      </c>
      <c r="K329" s="1009"/>
      <c r="L329" s="1182" t="s">
        <v>4262</v>
      </c>
      <c r="M329" s="17" t="s">
        <v>5384</v>
      </c>
      <c r="N329" s="2569" cm="1">
        <f t="array" ref="N329">INDEX('5층_부하량'!I3:I3000,MATCH(1,("5-DaHall 1-PDU-11"='5층_부하량'!A3:A3000)*(28='5층_부하량'!B3:B3000),0))</f>
        <v>5.4233258895056773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9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9" t="s">
        <v>4264</v>
      </c>
      <c r="J330" s="1014" t="s">
        <v>5447</v>
      </c>
      <c r="K330" s="1009"/>
      <c r="L330" s="562" t="s">
        <v>4265</v>
      </c>
      <c r="M330" s="17" t="s">
        <v>5384</v>
      </c>
      <c r="N330" s="381"/>
      <c r="O330" s="2569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70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7"/>
      <c r="K331" s="1018" t="s">
        <v>5405</v>
      </c>
      <c r="L331" s="545" t="s">
        <v>4267</v>
      </c>
      <c r="M331" s="35" t="s">
        <v>5384</v>
      </c>
      <c r="N331" s="427"/>
      <c r="O331" s="427"/>
      <c r="P331" s="2570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15.75087558901512</v>
      </c>
      <c r="O332" s="33">
        <f>SUM(E316:E331,O316:O331)</f>
        <v>9.9686892375029181</v>
      </c>
      <c r="P332" s="33">
        <f>SUM(F316:F331,P316:P331)</f>
        <v>10.377629004385993</v>
      </c>
    </row>
    <row r="333" spans="1:20" ht="18.600000000000001" thickTop="1" thickBot="1">
      <c r="A333" s="2" t="s">
        <v>6529</v>
      </c>
      <c r="C333" s="3818" t="s">
        <v>5450</v>
      </c>
      <c r="D333" s="3818"/>
      <c r="E333" s="3818"/>
      <c r="F333" s="3818"/>
      <c r="G333" s="53"/>
      <c r="H333" s="123"/>
      <c r="I333" s="123"/>
      <c r="J333" s="3819" t="s">
        <v>5219</v>
      </c>
      <c r="K333" s="382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4136</v>
      </c>
      <c r="N334" s="1342">
        <v>12</v>
      </c>
      <c r="O334" s="1343">
        <v>18.7</v>
      </c>
      <c r="P334" s="1344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71" cm="1">
        <f t="array" ref="D336">INDEX('5층_부하량'!I3:I3000,MATCH(1,("5-DaHall 1-PDU-13"='5층_부하량'!A3:A3000)*(1='5층_부하량'!B3:B3000),0))</f>
        <v>0</v>
      </c>
      <c r="E336" s="2571" cm="1">
        <f t="array" ref="E336">INDEX('5층_부하량'!J3:J3000,MATCH(1,("5-DaHall 1-PDU-13"='5층_부하량'!A3:A3000)*(1='5층_부하량'!B3:B3000),0))</f>
        <v>0</v>
      </c>
      <c r="F336" s="2571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51" t="s">
        <v>5360</v>
      </c>
      <c r="J336" s="60"/>
      <c r="K336" s="61"/>
      <c r="L336" s="561" t="s">
        <v>5361</v>
      </c>
      <c r="M336" s="11" t="s">
        <v>5359</v>
      </c>
      <c r="N336" s="2571" cm="1">
        <f t="array" ref="N336">INDEX('5층_부하량'!I3:I3000,MATCH(1,("5-DaHall 1-PDU-13"='5층_부하량'!A3:A3000)*(2='5층_부하량'!B3:B3000),0))</f>
        <v>0</v>
      </c>
      <c r="O336" s="2571" cm="1">
        <f t="array" ref="O336">INDEX('5층_부하량'!J3:J3000,MATCH(1,("5-DaHall 1-PDU-13"='5층_부하량'!A3:A3000)*(2='5층_부하량'!B3:B3000),0))</f>
        <v>0</v>
      </c>
      <c r="P336" s="2571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2" cm="1">
        <f t="array" ref="D337">INDEX('5층_부하량'!I3:I3000,MATCH(1,("5-DaHall 1-PDU-13"='5층_부하량'!A3:A3000)*(3='5층_부하량'!B3:B3000),0))</f>
        <v>5.6432243870195604</v>
      </c>
      <c r="E337" s="377"/>
      <c r="F337" s="377"/>
      <c r="G337" s="19"/>
      <c r="H337" s="17" t="s">
        <v>5363</v>
      </c>
      <c r="I337" s="1181" t="s">
        <v>4211</v>
      </c>
      <c r="J337" s="1012" t="s">
        <v>5405</v>
      </c>
      <c r="K337" s="1005" t="s">
        <v>5405</v>
      </c>
      <c r="L337" s="543" t="s">
        <v>4157</v>
      </c>
      <c r="M337" s="17" t="s">
        <v>5359</v>
      </c>
      <c r="N337" s="2572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9" cm="1">
        <f t="array" ref="E338">INDEX('5층_부하량'!J3:J3000,MATCH(1,("5-DaHall 1-PDU-13"='5층_부하량'!A3:A3000)*(5='5층_부하량'!B3:B3000),0))</f>
        <v>3.9345256075344621</v>
      </c>
      <c r="F338" s="381"/>
      <c r="G338" s="21"/>
      <c r="H338" s="17" t="s">
        <v>5359</v>
      </c>
      <c r="I338" s="1181" t="s">
        <v>4214</v>
      </c>
      <c r="J338" s="1004" t="s">
        <v>5401</v>
      </c>
      <c r="K338" s="1005" t="s">
        <v>5405</v>
      </c>
      <c r="L338" s="543" t="s">
        <v>4162</v>
      </c>
      <c r="M338" s="17" t="s">
        <v>5359</v>
      </c>
      <c r="N338" s="381"/>
      <c r="O338" s="2569" cm="1">
        <f t="array" ref="O338">INDEX('5층_부하량'!J3:J3000,MATCH(1,("5-DaHall 1-PDU-13"='5층_부하량'!A3:A3000)*(6='5층_부하량'!B3:B3000),0))</f>
        <v>5.8668613069485218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9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2" t="s">
        <v>5405</v>
      </c>
      <c r="K339" s="1005" t="s">
        <v>5405</v>
      </c>
      <c r="L339" s="543" t="s">
        <v>4167</v>
      </c>
      <c r="M339" s="17" t="s">
        <v>5368</v>
      </c>
      <c r="N339" s="381"/>
      <c r="O339" s="381"/>
      <c r="P339" s="2569" cm="1">
        <f t="array" ref="P339">INDEX('5층_부하량'!K3:K3000,MATCH(1,("5-DaHall 1-PDU-13"='5층_부하량'!A3:A3000)*(8='5층_부하량'!B3:B3000),0))</f>
        <v>4.2208964225579795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9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2" t="s">
        <v>5405</v>
      </c>
      <c r="K340" s="1005" t="s">
        <v>5405</v>
      </c>
      <c r="L340" s="543" t="s">
        <v>4170</v>
      </c>
      <c r="M340" s="17" t="s">
        <v>5368</v>
      </c>
      <c r="N340" s="2569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6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9" t="s">
        <v>5405</v>
      </c>
      <c r="K341" s="1013" t="s">
        <v>5405</v>
      </c>
      <c r="L341" s="549" t="s">
        <v>4173</v>
      </c>
      <c r="M341" s="23" t="s">
        <v>5374</v>
      </c>
      <c r="N341" s="411"/>
      <c r="O341" s="2576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8" cm="1">
        <f t="array" ref="F342">INDEX('5층_부하량'!K3:K3000,MATCH(1,("5-DaHall 1-PDU-13"='5층_부하량'!A3:A3000)*(13='5층_부하량'!B3:B3000),0))</f>
        <v>0.70994235981902021</v>
      </c>
      <c r="G342" s="104"/>
      <c r="H342" s="11" t="s">
        <v>5384</v>
      </c>
      <c r="I342" s="542" t="s">
        <v>4230</v>
      </c>
      <c r="J342" s="1007" t="s">
        <v>5405</v>
      </c>
      <c r="K342" s="1011" t="s">
        <v>5405</v>
      </c>
      <c r="L342" s="542" t="s">
        <v>4175</v>
      </c>
      <c r="M342" s="11" t="s">
        <v>5374</v>
      </c>
      <c r="N342" s="395"/>
      <c r="O342" s="395"/>
      <c r="P342" s="2568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7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4" t="s">
        <v>5401</v>
      </c>
      <c r="K343" s="1020" t="s">
        <v>5401</v>
      </c>
      <c r="L343" s="544" t="s">
        <v>4177</v>
      </c>
      <c r="M343" s="71" t="s">
        <v>5374</v>
      </c>
      <c r="N343" s="2577" cm="1">
        <f t="array" ref="N343">INDEX('5층_부하량'!I3:I3000,MATCH(1,("5-DaHall 1-PDU-13"='5층_부하량'!A3:A3000)*(16='5층_부하량'!B3:B3000),0))</f>
        <v>3.8733638276157527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9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2" t="s">
        <v>5405</v>
      </c>
      <c r="K344" s="1005" t="s">
        <v>5405</v>
      </c>
      <c r="L344" s="543" t="s">
        <v>4179</v>
      </c>
      <c r="M344" s="17" t="s">
        <v>5374</v>
      </c>
      <c r="N344" s="381"/>
      <c r="O344" s="2569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5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9" cm="1">
        <f t="array" ref="F345">INDEX('5층_부하량'!K3:K3000,MATCH(1,("5-DaHall 1-PDU-13"='5층_부하량'!A3:A3000)*(19='5층_부하량'!B3:B3000),0))</f>
        <v>5.2356076642778699</v>
      </c>
      <c r="G345" s="21"/>
      <c r="H345" s="17" t="s">
        <v>5384</v>
      </c>
      <c r="I345" s="543" t="s">
        <v>4243</v>
      </c>
      <c r="J345" s="1012" t="s">
        <v>5405</v>
      </c>
      <c r="K345" s="1005" t="s">
        <v>5405</v>
      </c>
      <c r="L345" s="543" t="s">
        <v>4183</v>
      </c>
      <c r="M345" s="17" t="s">
        <v>5384</v>
      </c>
      <c r="N345" s="381"/>
      <c r="O345" s="381"/>
      <c r="P345" s="2569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5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9" cm="1">
        <f t="array" ref="D346">INDEX('5층_부하량'!I3:I3000,MATCH(1,("5-DaHall 1-PDU-13"='5층_부하량'!A3:A3000)*(21='5층_부하량'!B3:B3000),0))</f>
        <v>3.1819935809540172</v>
      </c>
      <c r="E346" s="381"/>
      <c r="F346" s="381"/>
      <c r="G346" s="21"/>
      <c r="H346" s="17" t="s">
        <v>5384</v>
      </c>
      <c r="I346" s="543" t="s">
        <v>4247</v>
      </c>
      <c r="J346" s="1012" t="s">
        <v>5405</v>
      </c>
      <c r="K346" s="1005" t="s">
        <v>5405</v>
      </c>
      <c r="L346" s="543" t="s">
        <v>4187</v>
      </c>
      <c r="M346" s="17" t="s">
        <v>5384</v>
      </c>
      <c r="N346" s="2569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5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9" cm="1">
        <f t="array" ref="E347">INDEX('5층_부하량'!J3:J3000,MATCH(1,("5-DaHall 1-PDU-13"='5층_부하량'!A3:A3000)*(23='5층_부하량'!B3:B3000),0))</f>
        <v>8.949069746208119</v>
      </c>
      <c r="F347" s="381"/>
      <c r="G347" s="21"/>
      <c r="H347" s="17" t="s">
        <v>5384</v>
      </c>
      <c r="I347" s="543" t="s">
        <v>4251</v>
      </c>
      <c r="J347" s="1012" t="s">
        <v>5405</v>
      </c>
      <c r="K347" s="1005" t="s">
        <v>5405</v>
      </c>
      <c r="L347" s="543" t="s">
        <v>4253</v>
      </c>
      <c r="M347" s="17" t="s">
        <v>5384</v>
      </c>
      <c r="N347" s="381"/>
      <c r="O347" s="2569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5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9" cm="1">
        <f t="array" ref="F348">INDEX('5층_부하량'!K3:K3000,MATCH(1,("5-DaHall 1-PDU-13"='5층_부하량'!A3:A3000)*(25='5층_부하량'!B3:B3000),0))</f>
        <v>2.5000703654095719</v>
      </c>
      <c r="G348" s="21"/>
      <c r="H348" s="17" t="s">
        <v>5384</v>
      </c>
      <c r="I348" s="543" t="s">
        <v>4256</v>
      </c>
      <c r="J348" s="1012" t="s">
        <v>5405</v>
      </c>
      <c r="K348" s="1005" t="s">
        <v>5405</v>
      </c>
      <c r="L348" s="543" t="s">
        <v>4258</v>
      </c>
      <c r="M348" s="17" t="s">
        <v>5384</v>
      </c>
      <c r="N348" s="381"/>
      <c r="O348" s="381"/>
      <c r="P348" s="2569" cm="1">
        <f t="array" ref="P348">INDEX('5층_부하량'!K3:K3000,MATCH(1,("5-DaHall 1-PDU-13"='5층_부하량'!A3:A3000)*(26='5층_부하량'!B3:B3000),0))</f>
        <v>1.8849469581063609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9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2" t="s">
        <v>5405</v>
      </c>
      <c r="K349" s="1005" t="s">
        <v>5405</v>
      </c>
      <c r="L349" s="543" t="s">
        <v>4262</v>
      </c>
      <c r="M349" s="17" t="s">
        <v>5384</v>
      </c>
      <c r="N349" s="2569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5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9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2" t="s">
        <v>5405</v>
      </c>
      <c r="K350" s="1005" t="s">
        <v>5405</v>
      </c>
      <c r="L350" s="543" t="s">
        <v>4265</v>
      </c>
      <c r="M350" s="17" t="s">
        <v>5384</v>
      </c>
      <c r="N350" s="381"/>
      <c r="O350" s="2569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5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70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7" t="s">
        <v>5405</v>
      </c>
      <c r="K351" s="1018" t="s">
        <v>5405</v>
      </c>
      <c r="L351" s="545" t="s">
        <v>4267</v>
      </c>
      <c r="M351" s="35" t="s">
        <v>5384</v>
      </c>
      <c r="N351" s="427"/>
      <c r="O351" s="427"/>
      <c r="P351" s="2570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12.69858179558933</v>
      </c>
      <c r="O352" s="33">
        <f>SUM(E336:E351,O336:O351)</f>
        <v>18.750456660691103</v>
      </c>
      <c r="P352" s="33">
        <f>SUM(F336:F351,P336:P351)</f>
        <v>14.551463770170804</v>
      </c>
    </row>
    <row r="353" spans="1:20" s="350" customFormat="1" ht="18.600000000000001" thickTop="1" thickBot="1">
      <c r="A353" s="349" t="s">
        <v>6530</v>
      </c>
      <c r="C353" s="3818" t="s">
        <v>5464</v>
      </c>
      <c r="D353" s="3818"/>
      <c r="E353" s="3818"/>
      <c r="F353" s="3818"/>
      <c r="G353" s="351"/>
      <c r="H353" s="352"/>
      <c r="I353" s="352"/>
      <c r="J353" s="3828" t="s">
        <v>4288</v>
      </c>
      <c r="K353" s="3829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4136</v>
      </c>
      <c r="N354" s="1342">
        <v>19.100000000000001</v>
      </c>
      <c r="O354" s="1343">
        <v>6.2</v>
      </c>
      <c r="P354" s="1344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80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1" t="s">
        <v>5465</v>
      </c>
      <c r="B356" s="366" t="s">
        <v>4208</v>
      </c>
      <c r="C356" s="383" t="s">
        <v>4149</v>
      </c>
      <c r="D356" s="2571" cm="1">
        <f t="array" ref="D356">INDEX('5층_부하량'!I3:I3000,MATCH(1,("5-DaHall 1-PDU-15"='5층_부하량'!A3:A3000)*(1='5층_부하량'!B3:B3000),0))</f>
        <v>6.024862423439715</v>
      </c>
      <c r="E356" s="2571" cm="1">
        <f t="array" ref="E356">INDEX('5층_부하량'!J3:J3000,MATCH(1,("5-DaHall 1-PDU-15"='5층_부하량'!A3:A3000)*(1='5층_부하량'!B3:B3000),0))</f>
        <v>1.2501684625175289</v>
      </c>
      <c r="F356" s="2571" cm="1">
        <f t="array" ref="F356">INDEX('5층_부하량'!K3:K3000,MATCH(1,("5-DaHall 1-PDU-15"='5층_부하량'!A3:A3000)*(1='5층_부하량'!B3:B3000),0))</f>
        <v>7.947280722655619</v>
      </c>
      <c r="G356" s="371"/>
      <c r="H356" s="367" t="s">
        <v>5466</v>
      </c>
      <c r="I356" s="2341" t="s">
        <v>5467</v>
      </c>
      <c r="J356" s="1021" t="s">
        <v>3514</v>
      </c>
      <c r="K356" s="1022" t="s">
        <v>5468</v>
      </c>
      <c r="L356" s="1152" t="s">
        <v>5469</v>
      </c>
      <c r="M356" s="366" t="s">
        <v>5466</v>
      </c>
      <c r="N356" s="2571" cm="1">
        <f t="array" ref="N356">INDEX('5층_부하량'!I3:I3000,MATCH(1,("5-DaHall 1-PDU-15"='5층_부하량'!A3:A3000)*(2='5층_부하량'!B3:B3000),0))</f>
        <v>3.3901653571401877</v>
      </c>
      <c r="O356" s="2571" cm="1">
        <f t="array" ref="O356">INDEX('5층_부하량'!J3:J3000,MATCH(1,("5-DaHall 1-PDU-15"='5층_부하량'!A3:A3000)*(2='5층_부하량'!B3:B3000),0))</f>
        <v>2.7925844983946941</v>
      </c>
      <c r="P356" s="2571" cm="1">
        <f t="array" ref="P356">INDEX('5층_부하량'!K3:K3000,MATCH(1,("5-DaHall 1-PDU-15"='5층_부하량'!A3:A3000)*(2='5층_부하량'!B3:B3000),0))</f>
        <v>1.9724686166655465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2"/>
      <c r="B357" s="376" t="s">
        <v>4164</v>
      </c>
      <c r="C357" s="376" t="s">
        <v>4215</v>
      </c>
      <c r="D357" s="2572" cm="1">
        <f t="array" ref="D357">INDEX('5층_부하량'!I3:I3000,MATCH(1,("5-DaHall 1-PDU-15"='5층_부하량'!A3:A3000)*(3='5층_부하량'!B3:B3000),0))</f>
        <v>0</v>
      </c>
      <c r="E357" s="2572" cm="1">
        <f t="array" ref="E357">INDEX('5층_부하량'!J3:J3000,MATCH(1,("5-DaHall 1-PDU-15"='5층_부하량'!A3:A3000)*(3='5층_부하량'!B3:B3000),0))</f>
        <v>0</v>
      </c>
      <c r="F357" s="2572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42" t="s">
        <v>5472</v>
      </c>
      <c r="J357" s="1023"/>
      <c r="K357" s="1024" t="s">
        <v>5473</v>
      </c>
      <c r="L357" s="1153" t="s">
        <v>5474</v>
      </c>
      <c r="M357" s="376" t="s">
        <v>5466</v>
      </c>
      <c r="N357" s="2572" cm="1">
        <f t="array" ref="N357">INDEX('5층_부하량'!I3:I3000,MATCH(1,("5-DaHall 1-PDU-15"='5층_부하량'!A3:A3000)*(4='5층_부하량'!B3:B3000),0))</f>
        <v>0</v>
      </c>
      <c r="O357" s="2572" cm="1">
        <f t="array" ref="O357">INDEX('5층_부하량'!J3:J3000,MATCH(1,("5-DaHall 1-PDU-15"='5층_부하량'!A3:A3000)*(4='5층_부하량'!B3:B3000),0))</f>
        <v>0</v>
      </c>
      <c r="P357" s="2572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9" cm="1">
        <f t="array" ref="D358">INDEX('5층_부하량'!I3:I3000,MATCH(1,("5-DaHall 1-PDU-15"='5층_부하량'!A3:A3000)*(5='5층_부하량'!B3:B3000),0))</f>
        <v>0</v>
      </c>
      <c r="E358" s="2569" cm="1">
        <f t="array" ref="E358">INDEX('5층_부하량'!J3:J3000,MATCH(1,("5-DaHall 1-PDU-15"='5층_부하량'!A3:A3000)*(5='5층_부하량'!B3:B3000),0))</f>
        <v>0</v>
      </c>
      <c r="F358" s="2569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42" t="s">
        <v>5477</v>
      </c>
      <c r="J358" s="1025"/>
      <c r="K358" s="1026"/>
      <c r="L358" s="1154" t="s">
        <v>5478</v>
      </c>
      <c r="M358" s="376" t="s">
        <v>5359</v>
      </c>
      <c r="N358" s="2569" cm="1">
        <f t="array" ref="N358">INDEX('5층_부하량'!I3:I3000,MATCH(1,("5-DaHall 1-PDU-15"='5층_부하량'!A3:A3000)*(6='5층_부하량'!B3:B3000),0))</f>
        <v>0</v>
      </c>
      <c r="O358" s="2569" cm="1">
        <f t="array" ref="O358">INDEX('5층_부하량'!J3:J3000,MATCH(1,("5-DaHall 1-PDU-15"='5층_부하량'!A3:A3000)*(6='5층_부하량'!B3:B3000),0))</f>
        <v>0</v>
      </c>
      <c r="P358" s="2569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3" t="s">
        <v>5480</v>
      </c>
      <c r="B359" s="376" t="s">
        <v>4204</v>
      </c>
      <c r="C359" s="383" t="s">
        <v>4149</v>
      </c>
      <c r="D359" s="2569" cm="1">
        <f t="array" ref="D359">INDEX('5층_부하량'!I3:I3000,MATCH(1,("5-DaHall 1-PDU-15"='5층_부하량'!A3:A3000)*(7='5층_부하량'!B3:B3000),0))</f>
        <v>3.799750187056683</v>
      </c>
      <c r="E359" s="381"/>
      <c r="F359" s="381"/>
      <c r="G359" s="381"/>
      <c r="H359" s="376" t="s">
        <v>5359</v>
      </c>
      <c r="I359" s="1185" t="s">
        <v>4218</v>
      </c>
      <c r="J359" s="1025" t="s">
        <v>2610</v>
      </c>
      <c r="K359" s="1026"/>
      <c r="L359" s="572" t="s">
        <v>4167</v>
      </c>
      <c r="M359" s="376" t="s">
        <v>5368</v>
      </c>
      <c r="N359" s="2569" cm="1">
        <f t="array" ref="N359">INDEX('5층_부하량'!I3:I3000,MATCH(1,("5-DaHall 1-PDU-15"='5층_부하량'!A3:A3000)*(8='5층_부하량'!B3:B3000),0))</f>
        <v>4.3129488974883001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4" t="s">
        <v>5482</v>
      </c>
      <c r="B360" s="87" t="s">
        <v>4204</v>
      </c>
      <c r="C360" s="88" t="s">
        <v>4149</v>
      </c>
      <c r="D360" s="392"/>
      <c r="E360" s="2563" cm="1">
        <f t="array" ref="E360">INDEX('5층_부하량'!J3:J3000,MATCH(1,("5-DaHall 1-PDU-15"='5층_부하량'!A3:A3000)*(9='5층_부하량'!B3:B3000),0))</f>
        <v>1.7570580368373598</v>
      </c>
      <c r="F360" s="392"/>
      <c r="G360" s="392"/>
      <c r="H360" s="391" t="s">
        <v>5359</v>
      </c>
      <c r="I360" s="1192" t="s">
        <v>4221</v>
      </c>
      <c r="J360" s="1025" t="s">
        <v>2610</v>
      </c>
      <c r="K360" s="1027"/>
      <c r="L360" s="573" t="s">
        <v>4170</v>
      </c>
      <c r="M360" s="391" t="s">
        <v>5368</v>
      </c>
      <c r="N360" s="392"/>
      <c r="O360" s="2563" cm="1">
        <f t="array" ref="O360">INDEX('5층_부하량'!J3:J3000,MATCH(1,("5-DaHall 1-PDU-15"='5층_부하량'!A3:A3000)*(10='5층_부하량'!B3:B3000),0))</f>
        <v>6.7613670116082689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6" t="s">
        <v>5484</v>
      </c>
      <c r="B361" s="2304" t="s">
        <v>4208</v>
      </c>
      <c r="C361" s="383" t="s">
        <v>4149</v>
      </c>
      <c r="D361" s="395"/>
      <c r="E361" s="395"/>
      <c r="F361" s="2573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8"/>
      <c r="K361" s="1029" t="s">
        <v>5485</v>
      </c>
      <c r="L361" s="574" t="s">
        <v>4173</v>
      </c>
      <c r="M361" s="366" t="s">
        <v>5363</v>
      </c>
      <c r="N361" s="395"/>
      <c r="O361" s="395"/>
      <c r="P361" s="2573" cm="1">
        <f t="array" ref="P361">INDEX('5층_부하량'!K3:K3000,MATCH(1,("5-DaHall 1-PDU-15"='5층_부하량'!A3:A3000)*(12='5층_부하량'!B3:B3000),0))</f>
        <v>2.3123452621902545</v>
      </c>
      <c r="Q361" s="395"/>
      <c r="R361" s="396" t="s">
        <v>4208</v>
      </c>
      <c r="S361" s="383" t="s">
        <v>4149</v>
      </c>
      <c r="T361" s="969" t="s">
        <v>5486</v>
      </c>
    </row>
    <row r="362" spans="1:20" s="350" customFormat="1" ht="26.4">
      <c r="A362" s="1285" t="s">
        <v>5487</v>
      </c>
      <c r="B362" s="376" t="s">
        <v>4204</v>
      </c>
      <c r="C362" s="383" t="s">
        <v>4149</v>
      </c>
      <c r="D362" s="2569" cm="1">
        <f t="array" ref="D362">INDEX('5층_부하량'!I3:I3000,MATCH(1,("5-DaHall 1-PDU-15"='5층_부하량'!A3:A3000)*(13='5층_부하량'!B3:B3000),0))</f>
        <v>0.65346146333438637</v>
      </c>
      <c r="E362" s="381"/>
      <c r="F362" s="381"/>
      <c r="G362" s="381"/>
      <c r="H362" s="376" t="s">
        <v>5363</v>
      </c>
      <c r="I362" s="552" t="s">
        <v>4230</v>
      </c>
      <c r="J362" s="1025"/>
      <c r="K362" s="1026"/>
      <c r="L362" s="572" t="s">
        <v>4175</v>
      </c>
      <c r="M362" s="376" t="s">
        <v>5363</v>
      </c>
      <c r="N362" s="2569" cm="1">
        <f t="array" ref="N362">INDEX('5층_부하량'!I3:I3000,MATCH(1,("5-DaHall 1-PDU-15"='5층_부하량'!A3:A3000)*(14='5층_부하량'!B3:B3000),0))</f>
        <v>1.5828345674932118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6" t="s">
        <v>5489</v>
      </c>
      <c r="B363" s="376" t="s">
        <v>4164</v>
      </c>
      <c r="C363" s="376" t="s">
        <v>4215</v>
      </c>
      <c r="D363" s="381"/>
      <c r="E363" s="2569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5"/>
      <c r="K363" s="1026"/>
      <c r="L363" s="572" t="s">
        <v>4177</v>
      </c>
      <c r="M363" s="376" t="s">
        <v>5384</v>
      </c>
      <c r="N363" s="381"/>
      <c r="O363" s="2569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5" t="s">
        <v>5490</v>
      </c>
      <c r="B364" s="376" t="s">
        <v>4164</v>
      </c>
      <c r="C364" s="376" t="s">
        <v>4215</v>
      </c>
      <c r="D364" s="381"/>
      <c r="E364" s="381"/>
      <c r="F364" s="2569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5"/>
      <c r="K364" s="1026"/>
      <c r="L364" s="572" t="s">
        <v>4179</v>
      </c>
      <c r="M364" s="376" t="s">
        <v>5384</v>
      </c>
      <c r="N364" s="381"/>
      <c r="O364" s="381"/>
      <c r="P364" s="2569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6" t="s">
        <v>5491</v>
      </c>
      <c r="B365" s="376" t="s">
        <v>4164</v>
      </c>
      <c r="C365" s="376" t="s">
        <v>4215</v>
      </c>
      <c r="D365" s="2569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5"/>
      <c r="K365" s="1026"/>
      <c r="L365" s="572" t="s">
        <v>4183</v>
      </c>
      <c r="M365" s="376" t="s">
        <v>5384</v>
      </c>
      <c r="N365" s="2569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5" t="s">
        <v>5492</v>
      </c>
      <c r="B366" s="376" t="s">
        <v>4513</v>
      </c>
      <c r="C366" s="376" t="s">
        <v>4158</v>
      </c>
      <c r="D366" s="381"/>
      <c r="E366" s="2569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3"/>
      <c r="K366" s="1026"/>
      <c r="L366" s="572" t="s">
        <v>4187</v>
      </c>
      <c r="M366" s="376" t="s">
        <v>5384</v>
      </c>
      <c r="N366" s="381"/>
      <c r="O366" s="2569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5" t="s">
        <v>5493</v>
      </c>
      <c r="B367" s="376" t="s">
        <v>4153</v>
      </c>
      <c r="C367" s="383" t="s">
        <v>4149</v>
      </c>
      <c r="D367" s="381"/>
      <c r="E367" s="381"/>
      <c r="F367" s="2569" cm="1">
        <f t="array" ref="F367">INDEX('5층_부하량'!K3:K3000,MATCH(1,("5-DaHall 1-PDU-15"='5층_부하량'!A3:A3000)*(23='5층_부하량'!B3:B3000),0))</f>
        <v>2.3093530273432008</v>
      </c>
      <c r="G367" s="381"/>
      <c r="H367" s="376" t="s">
        <v>5384</v>
      </c>
      <c r="I367" s="552" t="s">
        <v>4251</v>
      </c>
      <c r="J367" s="1025" t="s">
        <v>5494</v>
      </c>
      <c r="K367" s="1026"/>
      <c r="L367" s="572" t="s">
        <v>4253</v>
      </c>
      <c r="M367" s="376" t="s">
        <v>5384</v>
      </c>
      <c r="N367" s="381"/>
      <c r="O367" s="381"/>
      <c r="P367" s="2569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7" t="s">
        <v>5495</v>
      </c>
      <c r="B368" s="376" t="s">
        <v>4513</v>
      </c>
      <c r="C368" s="376" t="s">
        <v>4158</v>
      </c>
      <c r="D368" s="2569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5"/>
      <c r="K368" s="1026"/>
      <c r="L368" s="572" t="s">
        <v>4258</v>
      </c>
      <c r="M368" s="376" t="s">
        <v>5384</v>
      </c>
      <c r="N368" s="2569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5" t="s">
        <v>5496</v>
      </c>
      <c r="B369" s="376" t="s">
        <v>4513</v>
      </c>
      <c r="C369" s="376" t="s">
        <v>4158</v>
      </c>
      <c r="D369" s="381"/>
      <c r="E369" s="2569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3"/>
      <c r="K369" s="1026" t="s">
        <v>2593</v>
      </c>
      <c r="L369" s="1186" t="s">
        <v>4262</v>
      </c>
      <c r="M369" s="376" t="s">
        <v>5384</v>
      </c>
      <c r="N369" s="381"/>
      <c r="O369" s="2569" cm="1">
        <f t="array" ref="O369">INDEX('5층_부하량'!J3:J3000,MATCH(1,("5-DaHall 1-PDU-15"='5층_부하량'!A3:A3000)*(28='5층_부하량'!B3:B3000),0))</f>
        <v>0.71008850481115438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8" t="s">
        <v>5498</v>
      </c>
      <c r="B370" s="35" t="s">
        <v>4153</v>
      </c>
      <c r="C370" s="39" t="s">
        <v>4149</v>
      </c>
      <c r="D370" s="402"/>
      <c r="E370" s="402"/>
      <c r="F370" s="2574" cm="1">
        <f t="array" ref="F370">INDEX('5층_부하량'!K3:K3000,MATCH(1,("5-DaHall 1-PDU-15"='5층_부하량'!A3:A3000)*(29='5층_부하량'!B3:B3000),0))</f>
        <v>0.36553274157659882</v>
      </c>
      <c r="G370" s="402"/>
      <c r="H370" s="401" t="s">
        <v>5384</v>
      </c>
      <c r="I370" s="554" t="s">
        <v>4264</v>
      </c>
      <c r="J370" s="1030" t="s">
        <v>5494</v>
      </c>
      <c r="K370" s="1031"/>
      <c r="L370" s="575" t="s">
        <v>4265</v>
      </c>
      <c r="M370" s="401" t="s">
        <v>5384</v>
      </c>
      <c r="N370" s="402"/>
      <c r="O370" s="402"/>
      <c r="P370" s="2574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3"/>
      <c r="M371" s="405" t="s">
        <v>5218</v>
      </c>
      <c r="N371" s="406">
        <f>SUM(D356:D370,N356:N370)</f>
        <v>19.764022895952483</v>
      </c>
      <c r="O371" s="406">
        <f>SUM(E356:E370,O356:O370)</f>
        <v>13.271266514169007</v>
      </c>
      <c r="P371" s="406">
        <f>SUM(F356:F370,P356:P370)</f>
        <v>14.906980370431219</v>
      </c>
    </row>
    <row r="372" spans="1:20" s="350" customFormat="1" ht="18.600000000000001" thickTop="1" thickBot="1">
      <c r="A372" s="349" t="s">
        <v>6531</v>
      </c>
      <c r="C372" s="3818" t="s">
        <v>5499</v>
      </c>
      <c r="D372" s="3818"/>
      <c r="E372" s="3818"/>
      <c r="F372" s="3818"/>
      <c r="G372" s="351"/>
      <c r="H372" s="352"/>
      <c r="I372" s="352"/>
      <c r="J372" s="3828" t="s">
        <v>5219</v>
      </c>
      <c r="K372" s="3829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4136</v>
      </c>
      <c r="N373" s="1342">
        <v>20.100000000000001</v>
      </c>
      <c r="O373" s="1343">
        <v>13.1</v>
      </c>
      <c r="P373" s="1344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71" cm="1">
        <f t="array" ref="D375">INDEX('5층_부하량'!I3:I3000,MATCH(1,("5-DaHall 1-PDU-12"='5층_부하량'!A3:A3000)*(1='5층_부하량'!B3:B3000),0))</f>
        <v>0</v>
      </c>
      <c r="E375" s="2571" cm="1">
        <f t="array" ref="E375">INDEX('5층_부하량'!J3:J3000,MATCH(1,("5-DaHall 1-PDU-12"='5층_부하량'!A3:A3000)*(1='5층_부하량'!B3:B3000),0))</f>
        <v>0</v>
      </c>
      <c r="F375" s="2571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44" t="s">
        <v>5467</v>
      </c>
      <c r="J375" s="1032"/>
      <c r="K375" s="1033"/>
      <c r="L375" s="1412" t="s">
        <v>5469</v>
      </c>
      <c r="M375" s="366" t="s">
        <v>5359</v>
      </c>
      <c r="N375" s="2571" cm="1">
        <f t="array" ref="N375">INDEX('5층_부하량'!I3:I3000,MATCH(1,("5-DaHall 1-PDU-12"='5층_부하량'!A3:A3000)*(2='5층_부하량'!B3:B3000),0))</f>
        <v>0</v>
      </c>
      <c r="O375" s="2571" cm="1">
        <f t="array" ref="O375">INDEX('5층_부하량'!J3:J3000,MATCH(1,("5-DaHall 1-PDU-12"='5층_부하량'!A3:A3000)*(2='5층_부하량'!B3:B3000),0))</f>
        <v>0</v>
      </c>
      <c r="P375" s="2571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2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3" t="s">
        <v>5405</v>
      </c>
      <c r="K376" s="1024" t="s">
        <v>5405</v>
      </c>
      <c r="L376" s="571" t="s">
        <v>4157</v>
      </c>
      <c r="M376" s="376" t="s">
        <v>5359</v>
      </c>
      <c r="N376" s="2572" cm="1">
        <f t="array" ref="N376">INDEX('5층_부하량'!I3:I3000,MATCH(1,("5-DaHall 1-PDU-12"='5층_부하량'!A3:A3000)*(4='5층_부하량'!B3:B3000),0))</f>
        <v>1.9052151930913293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9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5" t="s">
        <v>4214</v>
      </c>
      <c r="J377" s="1034" t="s">
        <v>5401</v>
      </c>
      <c r="K377" s="1024" t="s">
        <v>5405</v>
      </c>
      <c r="L377" s="571" t="s">
        <v>4162</v>
      </c>
      <c r="M377" s="376" t="s">
        <v>5359</v>
      </c>
      <c r="N377" s="381"/>
      <c r="O377" s="2569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9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3" t="s">
        <v>4218</v>
      </c>
      <c r="J378" s="1023" t="s">
        <v>5405</v>
      </c>
      <c r="K378" s="1024" t="s">
        <v>5405</v>
      </c>
      <c r="L378" s="571" t="s">
        <v>4167</v>
      </c>
      <c r="M378" s="376" t="s">
        <v>5363</v>
      </c>
      <c r="N378" s="381"/>
      <c r="O378" s="381"/>
      <c r="P378" s="2569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9" cm="1">
        <f t="array" ref="D379">INDEX('5층_부하량'!I3:I3000,MATCH(1,("5-DaHall 1-PDU-12"='5층_부하량'!A3:A3000)*(9='5층_부하량'!B3:B3000),0))</f>
        <v>2.931692392125302</v>
      </c>
      <c r="E379" s="381"/>
      <c r="F379" s="381"/>
      <c r="G379" s="381"/>
      <c r="H379" s="376" t="s">
        <v>5359</v>
      </c>
      <c r="I379" s="1185" t="s">
        <v>4221</v>
      </c>
      <c r="J379" s="1023" t="s">
        <v>5405</v>
      </c>
      <c r="K379" s="1024" t="s">
        <v>5405</v>
      </c>
      <c r="L379" s="571" t="s">
        <v>4170</v>
      </c>
      <c r="M379" s="376" t="s">
        <v>5374</v>
      </c>
      <c r="N379" s="2569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6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7" t="s">
        <v>4226</v>
      </c>
      <c r="J380" s="1035" t="s">
        <v>5405</v>
      </c>
      <c r="K380" s="1036" t="s">
        <v>5405</v>
      </c>
      <c r="L380" s="576" t="s">
        <v>4173</v>
      </c>
      <c r="M380" s="409" t="s">
        <v>5374</v>
      </c>
      <c r="N380" s="411"/>
      <c r="O380" s="2576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8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90" t="s">
        <v>4230</v>
      </c>
      <c r="J381" s="1032" t="s">
        <v>5405</v>
      </c>
      <c r="K381" s="1033" t="s">
        <v>5405</v>
      </c>
      <c r="L381" s="570" t="s">
        <v>4175</v>
      </c>
      <c r="M381" s="366" t="s">
        <v>5374</v>
      </c>
      <c r="N381" s="395"/>
      <c r="O381" s="395"/>
      <c r="P381" s="2568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7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1" t="s">
        <v>4234</v>
      </c>
      <c r="J382" s="1037" t="s">
        <v>5405</v>
      </c>
      <c r="K382" s="1038" t="s">
        <v>5405</v>
      </c>
      <c r="L382" s="577" t="s">
        <v>4177</v>
      </c>
      <c r="M382" s="418" t="s">
        <v>5384</v>
      </c>
      <c r="N382" s="2577" cm="1">
        <f t="array" ref="N382">INDEX('5층_부하량'!I3:I3000,MATCH(1,("5-DaHall 1-PDU-12"='5층_부하량'!A3:A3000)*(16='5층_부하량'!B3:B3000),0))</f>
        <v>6.140791765519416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9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5" t="s">
        <v>4238</v>
      </c>
      <c r="J383" s="1023" t="s">
        <v>5405</v>
      </c>
      <c r="K383" s="1024" t="s">
        <v>5405</v>
      </c>
      <c r="L383" s="571" t="s">
        <v>4179</v>
      </c>
      <c r="M383" s="376" t="s">
        <v>5374</v>
      </c>
      <c r="N383" s="381"/>
      <c r="O383" s="2569" cm="1">
        <f t="array" ref="O383">INDEX('5층_부하량'!J3:J3000,MATCH(1,("5-DaHall 1-PDU-12"='5층_부하량'!A3:A3000)*(18='5층_부하량'!B3:B3000),0))</f>
        <v>3.5649999116228526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9" cm="1">
        <f t="array" ref="F384">INDEX('5층_부하량'!K3:K3000,MATCH(1,("5-DaHall 1-PDU-12"='5층_부하량'!A3:A3000)*(19='5층_부하량'!B3:B3000),0))</f>
        <v>2.9542053429985802</v>
      </c>
      <c r="G384" s="381"/>
      <c r="H384" s="376" t="s">
        <v>5384</v>
      </c>
      <c r="I384" s="1185" t="s">
        <v>4243</v>
      </c>
      <c r="J384" s="1023" t="s">
        <v>5435</v>
      </c>
      <c r="K384" s="1026"/>
      <c r="L384" s="1414" t="s">
        <v>4183</v>
      </c>
      <c r="M384" s="376" t="s">
        <v>5384</v>
      </c>
      <c r="N384" s="381"/>
      <c r="O384" s="381"/>
      <c r="P384" s="2569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9" cm="1">
        <f t="array" ref="D385">INDEX('5층_부하량'!I3:I3000,MATCH(1,("5-DaHall 1-PDU-12"='5층_부하량'!A3:A3000)*(21='5층_부하량'!B3:B3000),0))</f>
        <v>4.5585017443228937</v>
      </c>
      <c r="E385" s="381"/>
      <c r="F385" s="381"/>
      <c r="G385" s="381"/>
      <c r="H385" s="376" t="s">
        <v>5384</v>
      </c>
      <c r="I385" s="1185" t="s">
        <v>4247</v>
      </c>
      <c r="J385" s="1023" t="s">
        <v>5438</v>
      </c>
      <c r="K385" s="1026"/>
      <c r="L385" s="572" t="s">
        <v>4187</v>
      </c>
      <c r="M385" s="376" t="s">
        <v>5384</v>
      </c>
      <c r="N385" s="2569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9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5" t="s">
        <v>4251</v>
      </c>
      <c r="J386" s="1023" t="s">
        <v>5441</v>
      </c>
      <c r="K386" s="1039" t="s">
        <v>2488</v>
      </c>
      <c r="L386" s="572" t="s">
        <v>4253</v>
      </c>
      <c r="M386" s="376" t="s">
        <v>5384</v>
      </c>
      <c r="N386" s="381"/>
      <c r="O386" s="2569" cm="1">
        <f t="array" ref="O386">INDEX('5층_부하량'!J3:J3000,MATCH(1,("5-DaHall 1-PDU-12"='5층_부하량'!A3:A3000)*(24='5층_부하량'!B3:B3000),0))</f>
        <v>3.4995544124441751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9" cm="1">
        <f t="array" ref="F387">INDEX('5층_부하량'!K3:K3000,MATCH(1,("5-DaHall 1-PDU-12"='5층_부하량'!A3:A3000)*(25='5층_부하량'!B3:B3000),0))</f>
        <v>3.2912850978626631</v>
      </c>
      <c r="G387" s="381"/>
      <c r="H387" s="376" t="s">
        <v>5384</v>
      </c>
      <c r="I387" s="1185" t="s">
        <v>4256</v>
      </c>
      <c r="J387" s="1023" t="s">
        <v>5444</v>
      </c>
      <c r="K387" s="1039" t="s">
        <v>5401</v>
      </c>
      <c r="L387" s="1186" t="s">
        <v>4258</v>
      </c>
      <c r="M387" s="376" t="s">
        <v>5384</v>
      </c>
      <c r="N387" s="381"/>
      <c r="O387" s="381"/>
      <c r="P387" s="2569" cm="1">
        <f t="array" ref="P387">INDEX('5층_부하량'!K3:K3000,MATCH(1,("5-DaHall 1-PDU-12"='5층_부하량'!A3:A3000)*(26='5층_부하량'!B3:B3000),0))</f>
        <v>4.9997072965470322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9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5" t="s">
        <v>4261</v>
      </c>
      <c r="J388" s="1023" t="s">
        <v>5447</v>
      </c>
      <c r="K388" s="1026"/>
      <c r="L388" s="1186" t="s">
        <v>4262</v>
      </c>
      <c r="M388" s="376" t="s">
        <v>5384</v>
      </c>
      <c r="N388" s="2569" cm="1">
        <f t="array" ref="N388">INDEX('5층_부하량'!I3:I3000,MATCH(1,("5-DaHall 1-PDU-12"='5층_부하량'!A3:A3000)*(28='5층_부하량'!B3:B3000),0))</f>
        <v>5.7829000745053944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9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3" t="s">
        <v>4264</v>
      </c>
      <c r="J389" s="1023" t="s">
        <v>5405</v>
      </c>
      <c r="K389" s="1039" t="s">
        <v>5401</v>
      </c>
      <c r="L389" s="1186" t="s">
        <v>4265</v>
      </c>
      <c r="M389" s="376" t="s">
        <v>5384</v>
      </c>
      <c r="N389" s="381"/>
      <c r="O389" s="2569" cm="1">
        <f t="array" ref="O389">INDEX('5층_부하량'!J3:J3000,MATCH(1,("5-DaHall 1-PDU-12"='5층_부하량'!A3:A3000)*(30='5층_부하량'!B3:B3000),0))</f>
        <v>6.4985282298539664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70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5" t="s">
        <v>4266</v>
      </c>
      <c r="J390" s="1040" t="s">
        <v>5405</v>
      </c>
      <c r="K390" s="1041" t="s">
        <v>5405</v>
      </c>
      <c r="L390" s="1193" t="s">
        <v>5521</v>
      </c>
      <c r="M390" s="426" t="s">
        <v>5384</v>
      </c>
      <c r="N390" s="427"/>
      <c r="O390" s="427"/>
      <c r="P390" s="2570" cm="1">
        <f t="array" ref="P390">INDEX('5층_부하량'!K3:K3000,MATCH(1,("5-DaHall 1-PDU-12"='5층_부하량'!A3:A3000)*(32='5층_부하량'!B3:B3000),0))</f>
        <v>3.1308722447326276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3"/>
      <c r="M391" s="405" t="s">
        <v>5218</v>
      </c>
      <c r="N391" s="406">
        <f>SUM(D375:D390,N375:N390)</f>
        <v>21.319101169564338</v>
      </c>
      <c r="O391" s="406">
        <f>SUM(E375:E390,O375:O390)</f>
        <v>13.563082553920994</v>
      </c>
      <c r="P391" s="406">
        <f>SUM(F375:F390,P375:P390)</f>
        <v>14.376069982140903</v>
      </c>
    </row>
    <row r="392" spans="1:20" s="350" customFormat="1" ht="18.600000000000001" thickTop="1" thickBot="1">
      <c r="A392" s="349" t="s">
        <v>6532</v>
      </c>
      <c r="C392" s="3818" t="s">
        <v>5523</v>
      </c>
      <c r="D392" s="3818"/>
      <c r="E392" s="3818"/>
      <c r="F392" s="3818"/>
      <c r="G392" s="351"/>
      <c r="H392" s="352"/>
      <c r="I392" s="352"/>
      <c r="J392" s="3828" t="s">
        <v>5219</v>
      </c>
      <c r="K392" s="3829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4136</v>
      </c>
      <c r="N393" s="1342">
        <v>13.4</v>
      </c>
      <c r="O393" s="1343">
        <v>11.6</v>
      </c>
      <c r="P393" s="1344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71" cm="1">
        <f t="array" ref="D395">INDEX('5층_부하량'!I3:I3000,MATCH(1,("5-DaHall 1-PDU-14"='5층_부하량'!A3:A3000)*(1='5층_부하량'!B3:B3000),0))</f>
        <v>0</v>
      </c>
      <c r="E395" s="2571" cm="1">
        <f t="array" ref="E395">INDEX('5층_부하량'!J3:J3000,MATCH(1,("5-DaHall 1-PDU-14"='5층_부하량'!A3:A3000)*(1='5층_부하량'!B3:B3000),0))</f>
        <v>0</v>
      </c>
      <c r="F395" s="2571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44" t="s">
        <v>5467</v>
      </c>
      <c r="J395" s="1032"/>
      <c r="K395" s="1033"/>
      <c r="L395" s="1412" t="s">
        <v>5469</v>
      </c>
      <c r="M395" s="366" t="s">
        <v>5359</v>
      </c>
      <c r="N395" s="2571" cm="1">
        <f t="array" ref="N395">INDEX('5층_부하량'!I3:I3000,MATCH(1,("5-DaHall 1-PDU-14"='5층_부하량'!A3:A3000)*(2='5층_부하량'!B3:B3000),0))</f>
        <v>0</v>
      </c>
      <c r="O395" s="2571" cm="1">
        <f t="array" ref="O395">INDEX('5층_부하량'!J3:J3000,MATCH(1,("5-DaHall 1-PDU-14"='5층_부하량'!A3:A3000)*(2='5층_부하량'!B3:B3000),0))</f>
        <v>0</v>
      </c>
      <c r="P395" s="2571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2" cm="1">
        <f t="array" ref="D396">INDEX('5층_부하량'!I3:I3000,MATCH(1,("5-DaHall 1-PDU-14"='5층_부하량'!A3:A3000)*(3='5층_부하량'!B3:B3000),0))</f>
        <v>3.2600420226718803</v>
      </c>
      <c r="E396" s="377"/>
      <c r="F396" s="377"/>
      <c r="G396" s="377"/>
      <c r="H396" s="376" t="s">
        <v>5363</v>
      </c>
      <c r="I396" s="1185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2" cm="1">
        <f t="array" ref="N396">INDEX('5층_부하량'!I3:I3000,MATCH(1,("5-DaHall 1-PDU-14"='5층_부하량'!A3:A3000)*(4='5층_부하량'!B3:B3000),0))</f>
        <v>7.0445088360016719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9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3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9" cm="1">
        <f t="array" ref="O397">INDEX('5층_부하량'!J3:J3000,MATCH(1,("5-DaHall 1-PDU-14"='5층_부하량'!A3:A3000)*(6='5층_부하량'!B3:B3000),0))</f>
        <v>2.8224754239615319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9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3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9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9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9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6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6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8" cm="1">
        <f t="array" ref="F401">INDEX('5층_부하량'!K3:K3000,MATCH(1,("5-DaHall 1-PDU-14"='5층_부하량'!A3:A3000)*(13='5층_부하량'!B3:B3000),0))</f>
        <v>1.7301673586359012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8" cm="1">
        <f t="array" ref="P401">INDEX('5층_부하량'!K3:K3000,MATCH(1,("5-DaHall 1-PDU-14"='5층_부하량'!A3:A3000)*(14='5층_부하량'!B3:B3000),0))</f>
        <v>3.1990759941005922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7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6" t="s">
        <v>4177</v>
      </c>
      <c r="M402" s="418" t="s">
        <v>5374</v>
      </c>
      <c r="N402" s="2577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5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9" cm="1">
        <f t="array" ref="E403">INDEX('5층_부하량'!J3:J3000,MATCH(1,("5-DaHall 1-PDU-14"='5층_부하량'!A3:A3000)*(17='5층_부하량'!B3:B3000),0))</f>
        <v>0.96224317999940046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7" t="s">
        <v>4179</v>
      </c>
      <c r="M403" s="376" t="s">
        <v>5374</v>
      </c>
      <c r="N403" s="381"/>
      <c r="O403" s="2569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5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9" cm="1">
        <f t="array" ref="F404">INDEX('5층_부하량'!K3:K3000,MATCH(1,("5-DaHall 1-PDU-14"='5층_부하량'!A3:A3000)*(19='5층_부하량'!B3:B3000),0))</f>
        <v>2.5601456704547765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9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5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9" cm="1">
        <f t="array" ref="D405">INDEX('5층_부하량'!I3:I3000,MATCH(1,("5-DaHall 1-PDU-14"='5층_부하량'!A3:A3000)*(21='5층_부하량'!B3:B3000),0))</f>
        <v>3.389631771393407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9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5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9" cm="1">
        <f t="array" ref="E406">INDEX('5층_부하량'!J3:J3000,MATCH(1,("5-DaHall 1-PDU-14"='5층_부하량'!A3:A3000)*(23='5층_부하량'!B3:B3000),0))</f>
        <v>2.5534419365424519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9" cm="1">
        <f t="array" ref="O406">INDEX('5층_부하량'!J3:J3000,MATCH(1,("5-DaHall 1-PDU-14"='5층_부하량'!A3:A3000)*(24='5층_부하량'!B3:B3000),0))</f>
        <v>5.0104622791925397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9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3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9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5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9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3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9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5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9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9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70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70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3"/>
      <c r="M411" s="405" t="s">
        <v>5218</v>
      </c>
      <c r="N411" s="406">
        <f>SUM(D395:D410,N395:N410)</f>
        <v>13.694182630066958</v>
      </c>
      <c r="O411" s="406">
        <f>SUM(E395:E410,O395:O410)</f>
        <v>11.348622819695924</v>
      </c>
      <c r="P411" s="406">
        <f>SUM(F395:F410,P395:P410)</f>
        <v>7.4893890231912703</v>
      </c>
    </row>
    <row r="412" spans="1:20" s="350" customFormat="1" ht="18.600000000000001" thickTop="1" thickBot="1">
      <c r="A412" s="349" t="s">
        <v>6533</v>
      </c>
      <c r="C412" s="3818" t="s">
        <v>5536</v>
      </c>
      <c r="D412" s="3818"/>
      <c r="E412" s="3818"/>
      <c r="F412" s="3818"/>
      <c r="G412" s="351"/>
      <c r="H412" s="352"/>
      <c r="I412" s="352"/>
      <c r="J412" s="3828" t="s">
        <v>4288</v>
      </c>
      <c r="K412" s="3829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4136</v>
      </c>
      <c r="N413" s="1342">
        <v>20.100000000000001</v>
      </c>
      <c r="O413" s="1343">
        <v>11.1</v>
      </c>
      <c r="P413" s="1344">
        <v>16</v>
      </c>
      <c r="Q413" s="502" t="s">
        <v>4137</v>
      </c>
      <c r="R413" s="1346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71" cm="1">
        <f t="array" ref="D415">INDEX('5층_부하량'!I3:I3000,MATCH(1,("5-DaHall 1-PDU-16"='5층_부하량'!A3:A3000)*(1='5층_부하량'!B3:B3000),0))</f>
        <v>4.6984693671217261</v>
      </c>
      <c r="E415" s="2571" cm="1">
        <f t="array" ref="E415">INDEX('5층_부하량'!J3:J3000,MATCH(1,("5-DaHall 1-PDU-16"='5층_부하량'!A3:A3000)*(1='5층_부하량'!B3:B3000),0))</f>
        <v>1.3376025268007703</v>
      </c>
      <c r="F415" s="2571" cm="1">
        <f t="array" ref="F415">INDEX('5층_부하량'!K3:K3000,MATCH(1,("5-DaHall 1-PDU-16"='5층_부하량'!A3:A3000)*(1='5층_부하량'!B3:B3000),0))</f>
        <v>6.0700010952085064</v>
      </c>
      <c r="G415" s="371"/>
      <c r="H415" s="367" t="s">
        <v>5466</v>
      </c>
      <c r="I415" s="2341" t="s">
        <v>5467</v>
      </c>
      <c r="J415" s="1021" t="s">
        <v>3514</v>
      </c>
      <c r="K415" s="1022" t="s">
        <v>5468</v>
      </c>
      <c r="L415" s="1152" t="s">
        <v>5469</v>
      </c>
      <c r="M415" s="366" t="s">
        <v>5466</v>
      </c>
      <c r="N415" s="2571" cm="1">
        <f t="array" ref="N415">INDEX('5층_부하량'!I3:I3000,MATCH(1,("5-DaHall 1-PDU-16"='5층_부하량'!A3:A3000)*(2='5층_부하량'!B3:B3000),0))</f>
        <v>3.1494181441353164</v>
      </c>
      <c r="O415" s="2571" cm="1">
        <f t="array" ref="O415">INDEX('5층_부하량'!J3:J3000,MATCH(1,("5-DaHall 1-PDU-16"='5층_부하량'!A3:A3000)*(2='5층_부하량'!B3:B3000),0))</f>
        <v>3.1434164749971512</v>
      </c>
      <c r="P415" s="2571" cm="1">
        <f t="array" ref="P415">INDEX('5층_부하량'!K3:K3000,MATCH(1,("5-DaHall 1-PDU-16"='5층_부하량'!A3:A3000)*(2='5층_부하량'!B3:B3000),0))</f>
        <v>1.8704852970989561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2" cm="1">
        <f t="array" ref="D416">INDEX('5층_부하량'!I3:I3000,MATCH(1,("5-DaHall 1-PDU-16"='5층_부하량'!A3:A3000)*(3='5층_부하량'!B3:B3000),0))</f>
        <v>0</v>
      </c>
      <c r="E416" s="2572" cm="1">
        <f t="array" ref="E416">INDEX('5층_부하량'!J3:J3000,MATCH(1,("5-DaHall 1-PDU-16"='5층_부하량'!A3:A3000)*(3='5층_부하량'!B3:B3000),0))</f>
        <v>0</v>
      </c>
      <c r="F416" s="2572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45" t="s">
        <v>5472</v>
      </c>
      <c r="J416" s="1023"/>
      <c r="K416" s="1296" t="s">
        <v>5473</v>
      </c>
      <c r="L416" s="1418" t="s">
        <v>5474</v>
      </c>
      <c r="M416" s="376" t="s">
        <v>5466</v>
      </c>
      <c r="N416" s="2569" cm="1">
        <f t="array" ref="N416">INDEX('5층_부하량'!I3:I3000,MATCH(1,("5-DaHall 1-PDU-16"='5층_부하량'!A3:A3000)*(4='5층_부하량'!B3:B3000),0))</f>
        <v>0</v>
      </c>
      <c r="O416" s="2569" cm="1">
        <f t="array" ref="O416">INDEX('5층_부하량'!J3:J3000,MATCH(1,("5-DaHall 1-PDU-16"='5층_부하량'!A3:A3000)*(4='5층_부하량'!B3:B3000),0))</f>
        <v>0</v>
      </c>
      <c r="P416" s="2569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7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9" cm="1">
        <f t="array" ref="D417">INDEX('5층_부하량'!I3:I3000,MATCH(1,("5-DaHall 1-PDU-16"='5층_부하량'!A3:A3000)*(5='5층_부하량'!B3:B3000),0))</f>
        <v>0</v>
      </c>
      <c r="E417" s="2569" cm="1">
        <f t="array" ref="E417">INDEX('5층_부하량'!J3:J3000,MATCH(1,("5-DaHall 1-PDU-16"='5층_부하량'!A3:A3000)*(5='5층_부하량'!B3:B3000),0))</f>
        <v>0</v>
      </c>
      <c r="F417" s="2569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45" t="s">
        <v>5477</v>
      </c>
      <c r="J417" s="1025"/>
      <c r="K417" s="1026"/>
      <c r="L417" s="1419" t="s">
        <v>5478</v>
      </c>
      <c r="M417" s="376" t="s">
        <v>5359</v>
      </c>
      <c r="N417" s="2569" cm="1">
        <f t="array" ref="N417">INDEX('5층_부하량'!I3:I3000,MATCH(1,("5-DaHall 1-PDU-16"='5층_부하량'!A3:A3000)*(6='5층_부하량'!B3:B3000),0))</f>
        <v>0</v>
      </c>
      <c r="O417" s="2569" cm="1">
        <f t="array" ref="O417">INDEX('5층_부하량'!J3:J3000,MATCH(1,("5-DaHall 1-PDU-16"='5층_부하량'!A3:A3000)*(6='5층_부하량'!B3:B3000),0))</f>
        <v>0</v>
      </c>
      <c r="P417" s="2569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70" t="s">
        <v>5541</v>
      </c>
      <c r="B418" s="376" t="s">
        <v>4204</v>
      </c>
      <c r="C418" s="383" t="s">
        <v>4149</v>
      </c>
      <c r="D418" s="2569" cm="1">
        <f t="array" ref="D418">INDEX('5층_부하량'!I3:I3000,MATCH(1,("5-DaHall 1-PDU-16"='5층_부하량'!A3:A3000)*(7='5층_부하량'!B3:B3000),0))</f>
        <v>4.0039489374518178</v>
      </c>
      <c r="E418" s="381"/>
      <c r="F418" s="381"/>
      <c r="G418" s="381"/>
      <c r="H418" s="376" t="s">
        <v>5359</v>
      </c>
      <c r="I418" s="1185" t="s">
        <v>4218</v>
      </c>
      <c r="J418" s="1025" t="s">
        <v>2610</v>
      </c>
      <c r="K418" s="1026"/>
      <c r="L418" s="1414" t="s">
        <v>4167</v>
      </c>
      <c r="M418" s="376" t="s">
        <v>5368</v>
      </c>
      <c r="N418" s="2569" cm="1">
        <f t="array" ref="N418">INDEX('5층_부하량'!I3:I3000,MATCH(1,("5-DaHall 1-PDU-16"='5층_부하량'!A3:A3000)*(8='5층_부하량'!B3:B3000),0))</f>
        <v>4.875508700004203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1" t="s">
        <v>5542</v>
      </c>
      <c r="B419" s="87" t="s">
        <v>4204</v>
      </c>
      <c r="C419" s="88" t="s">
        <v>4149</v>
      </c>
      <c r="D419" s="392"/>
      <c r="E419" s="2563" cm="1">
        <f t="array" ref="E419">INDEX('5층_부하량'!J3:J3000,MATCH(1,("5-DaHall 1-PDU-16"='5층_부하량'!A3:A3000)*(9='5층_부하량'!B3:B3000),0))</f>
        <v>1.8029908126503327</v>
      </c>
      <c r="F419" s="392"/>
      <c r="G419" s="392"/>
      <c r="H419" s="391" t="s">
        <v>5359</v>
      </c>
      <c r="I419" s="1192" t="s">
        <v>4221</v>
      </c>
      <c r="J419" s="1025" t="s">
        <v>2610</v>
      </c>
      <c r="K419" s="1027"/>
      <c r="L419" s="1420" t="s">
        <v>4170</v>
      </c>
      <c r="M419" s="391" t="s">
        <v>5368</v>
      </c>
      <c r="N419" s="392"/>
      <c r="O419" s="2575" cm="1">
        <f t="array" ref="O419">INDEX('5층_부하량'!J3:J3000,MATCH(1,("5-DaHall 1-PDU-16"='5층_부하량'!A3:A3000)*(10='5층_부하량'!B3:B3000),0))</f>
        <v>1.0000470511057806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5" t="s">
        <v>5543</v>
      </c>
      <c r="B420" s="376" t="s">
        <v>4204</v>
      </c>
      <c r="C420" s="383" t="s">
        <v>4149</v>
      </c>
      <c r="D420" s="395"/>
      <c r="E420" s="395"/>
      <c r="F420" s="2573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8"/>
      <c r="K420" s="1029" t="s">
        <v>5485</v>
      </c>
      <c r="L420" s="574" t="s">
        <v>4173</v>
      </c>
      <c r="M420" s="366" t="s">
        <v>5363</v>
      </c>
      <c r="N420" s="395"/>
      <c r="O420" s="395"/>
      <c r="P420" s="2573" cm="1">
        <f t="array" ref="P420">INDEX('5층_부하량'!K3:K3000,MATCH(1,("5-DaHall 1-PDU-16"='5층_부하량'!A3:A3000)*(12='5층_부하량'!B3:B3000),0))</f>
        <v>2.5672030377838553</v>
      </c>
      <c r="Q420" s="395"/>
      <c r="R420" s="396" t="s">
        <v>4208</v>
      </c>
      <c r="S420" s="383" t="s">
        <v>4149</v>
      </c>
      <c r="T420" s="969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9" cm="1">
        <f t="array" ref="D421">INDEX('5층_부하량'!I3:I3000,MATCH(1,("5-DaHall 1-PDU-16"='5층_부하량'!A3:A3000)*(13='5층_부하량'!B3:B3000),0))</f>
        <v>1.628022975581813</v>
      </c>
      <c r="E421" s="381"/>
      <c r="F421" s="381"/>
      <c r="G421" s="381"/>
      <c r="H421" s="376" t="s">
        <v>5363</v>
      </c>
      <c r="I421" s="552" t="s">
        <v>4230</v>
      </c>
      <c r="J421" s="1025"/>
      <c r="K421" s="1026"/>
      <c r="L421" s="1414" t="s">
        <v>4175</v>
      </c>
      <c r="M421" s="376" t="s">
        <v>5363</v>
      </c>
      <c r="N421" s="2569" cm="1">
        <f t="array" ref="N421">INDEX('5층_부하량'!I3:I3000,MATCH(1,("5-DaHall 1-PDU-16"='5층_부하량'!A3:A3000)*(14='5층_부하량'!B3:B3000),0))</f>
        <v>1.7265996939525079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5" t="s">
        <v>3490</v>
      </c>
      <c r="B422" s="376" t="s">
        <v>4204</v>
      </c>
      <c r="C422" s="383" t="s">
        <v>4149</v>
      </c>
      <c r="D422" s="381"/>
      <c r="E422" s="2569" cm="1">
        <f t="array" ref="E422">INDEX('5층_부하량'!J3:J3000,MATCH(1,("5-DaHall 1-PDU-16"='5층_부하량'!A3:A3000)*(15='5층_부하량'!B3:B3000),0))</f>
        <v>2.4397514444955055</v>
      </c>
      <c r="F422" s="381"/>
      <c r="G422" s="381"/>
      <c r="H422" s="2346" t="s">
        <v>5547</v>
      </c>
      <c r="I422" s="552" t="s">
        <v>4234</v>
      </c>
      <c r="J422" s="1025"/>
      <c r="K422" s="1026"/>
      <c r="L422" s="1414" t="s">
        <v>4177</v>
      </c>
      <c r="M422" s="376" t="s">
        <v>5384</v>
      </c>
      <c r="N422" s="381"/>
      <c r="O422" s="2569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5" t="s">
        <v>3494</v>
      </c>
      <c r="B423" s="376" t="s">
        <v>4204</v>
      </c>
      <c r="C423" s="383" t="s">
        <v>4149</v>
      </c>
      <c r="D423" s="381"/>
      <c r="E423" s="381"/>
      <c r="F423" s="2569" cm="1">
        <f t="array" ref="F423">INDEX('5층_부하량'!K3:K3000,MATCH(1,("5-DaHall 1-PDU-16"='5층_부하량'!A3:A3000)*(17='5층_부하량'!B3:B3000),0))</f>
        <v>1.5902500821961043</v>
      </c>
      <c r="G423" s="381"/>
      <c r="H423" s="376" t="s">
        <v>5384</v>
      </c>
      <c r="I423" s="552" t="s">
        <v>4238</v>
      </c>
      <c r="J423" s="1025"/>
      <c r="K423" s="1026"/>
      <c r="L423" s="1414" t="s">
        <v>4179</v>
      </c>
      <c r="M423" s="376" t="s">
        <v>5384</v>
      </c>
      <c r="N423" s="381"/>
      <c r="O423" s="381"/>
      <c r="P423" s="2569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5" t="s">
        <v>3496</v>
      </c>
      <c r="B424" s="376" t="s">
        <v>4204</v>
      </c>
      <c r="C424" s="383" t="s">
        <v>4149</v>
      </c>
      <c r="D424" s="2569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5"/>
      <c r="K424" s="2240" t="s">
        <v>5548</v>
      </c>
      <c r="L424" s="1414" t="s">
        <v>4183</v>
      </c>
      <c r="M424" s="376" t="s">
        <v>5384</v>
      </c>
      <c r="N424" s="2569" cm="1">
        <f t="array" ref="N424">INDEX('5층_부하량'!I3:I3000,MATCH(1,("5-DaHall 1-PDU-16"='5층_부하량'!A3:A3000)*(20='5층_부하량'!B3:B3000),0))</f>
        <v>0.59806418859173893</v>
      </c>
      <c r="O424" s="381"/>
      <c r="P424" s="381"/>
      <c r="Q424" s="381"/>
      <c r="R424" s="376" t="s">
        <v>4153</v>
      </c>
      <c r="S424" s="383" t="s">
        <v>4149</v>
      </c>
      <c r="T424" s="2241" t="s">
        <v>3730</v>
      </c>
    </row>
    <row r="425" spans="1:20" s="350" customFormat="1" ht="26.4">
      <c r="A425" s="2239" t="s">
        <v>5549</v>
      </c>
      <c r="B425" s="376" t="s">
        <v>4204</v>
      </c>
      <c r="C425" s="383" t="s">
        <v>4149</v>
      </c>
      <c r="D425" s="381"/>
      <c r="E425" s="2569" cm="1">
        <f t="array" ref="E425">INDEX('5층_부하량'!J3:J3000,MATCH(1,("5-DaHall 1-PDU-16"='5층_부하량'!A3:A3000)*(21='5층_부하량'!B3:B3000),0))</f>
        <v>0.36449277489594084</v>
      </c>
      <c r="F425" s="381"/>
      <c r="G425" s="381"/>
      <c r="H425" s="376" t="s">
        <v>5384</v>
      </c>
      <c r="I425" s="1413" t="s">
        <v>4247</v>
      </c>
      <c r="J425" s="1025"/>
      <c r="K425" s="2240" t="s">
        <v>5550</v>
      </c>
      <c r="L425" s="1414" t="s">
        <v>4187</v>
      </c>
      <c r="M425" s="376" t="s">
        <v>5384</v>
      </c>
      <c r="N425" s="381"/>
      <c r="O425" s="2569" cm="1">
        <f t="array" ref="O425">INDEX('5층_부하량'!J3:J3000,MATCH(1,("5-DaHall 1-PDU-16"='5층_부하량'!A3:A3000)*(22='5층_부하량'!B3:B3000),0))</f>
        <v>0.59008962474145465</v>
      </c>
      <c r="P425" s="381"/>
      <c r="Q425" s="381"/>
      <c r="R425" s="376" t="s">
        <v>4153</v>
      </c>
      <c r="S425" s="383" t="s">
        <v>4149</v>
      </c>
      <c r="T425" s="2241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9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3" t="s">
        <v>5551</v>
      </c>
      <c r="K426" s="1024" t="s">
        <v>5551</v>
      </c>
      <c r="L426" s="571" t="s">
        <v>4253</v>
      </c>
      <c r="M426" s="376" t="s">
        <v>5384</v>
      </c>
      <c r="N426" s="381"/>
      <c r="O426" s="381"/>
      <c r="P426" s="2569" cm="1">
        <f t="array" ref="P426">INDEX('5층_부하량'!K3:K3000,MATCH(1,("5-DaHall 1-PDU-16"='5층_부하량'!A3:A3000)*(24='5층_부하량'!B3:B3000),0))</f>
        <v>1.4848752702494019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9" cm="1">
        <f t="array" ref="D427">INDEX('5층_부하량'!I3:I3000,MATCH(1,("5-DaHall 1-PDU-16"='5층_부하량'!A3:A3000)*(25='5층_부하량'!B3:B3000),0))</f>
        <v>0.42394162566223559</v>
      </c>
      <c r="E427" s="381"/>
      <c r="F427" s="381"/>
      <c r="G427" s="381"/>
      <c r="H427" s="376" t="s">
        <v>5384</v>
      </c>
      <c r="I427" s="552" t="s">
        <v>4256</v>
      </c>
      <c r="J427" s="1023" t="s">
        <v>5551</v>
      </c>
      <c r="K427" s="1024"/>
      <c r="L427" s="1417" t="s">
        <v>4258</v>
      </c>
      <c r="M427" s="376" t="s">
        <v>5384</v>
      </c>
      <c r="N427" s="2569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9" cm="1">
        <f t="array" ref="E428">INDEX('5층_부하량'!J3:J3000,MATCH(1,("5-DaHall 1-PDU-16"='5층_부하량'!A3:A3000)*(27='5층_부하량'!B3:B3000),0))</f>
        <v>1.4862448893907805</v>
      </c>
      <c r="F428" s="381"/>
      <c r="G428" s="381"/>
      <c r="H428" s="376" t="s">
        <v>5384</v>
      </c>
      <c r="I428" s="552" t="s">
        <v>4261</v>
      </c>
      <c r="J428" s="1023" t="s">
        <v>5551</v>
      </c>
      <c r="K428" s="1026" t="s">
        <v>5552</v>
      </c>
      <c r="L428" s="1186" t="s">
        <v>4262</v>
      </c>
      <c r="M428" s="376" t="s">
        <v>5384</v>
      </c>
      <c r="N428" s="381"/>
      <c r="O428" s="2569" cm="1">
        <f t="array" ref="O428">INDEX('5층_부하량'!J3:J3000,MATCH(1,("5-DaHall 1-PDU-16"='5층_부하량'!A3:A3000)*(28='5층_부하량'!B3:B3000),0))</f>
        <v>0.29515283036449924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4" cm="1">
        <f t="array" ref="F429">INDEX('5층_부하량'!K3:K3000,MATCH(1,("5-DaHall 1-PDU-16"='5층_부하량'!A3:A3000)*(29='5층_부하량'!B3:B3000),0))</f>
        <v>2.2200399134874798</v>
      </c>
      <c r="G429" s="402"/>
      <c r="H429" s="401" t="s">
        <v>5384</v>
      </c>
      <c r="I429" s="554" t="s">
        <v>4264</v>
      </c>
      <c r="J429" s="1042" t="s">
        <v>5551</v>
      </c>
      <c r="K429" s="1043" t="s">
        <v>5551</v>
      </c>
      <c r="L429" s="579" t="s">
        <v>4265</v>
      </c>
      <c r="M429" s="401" t="s">
        <v>5384</v>
      </c>
      <c r="N429" s="402"/>
      <c r="O429" s="402"/>
      <c r="P429" s="2574" cm="1">
        <f t="array" ref="P429">INDEX('5층_부하량'!K3:K3000,MATCH(1,("5-DaHall 1-PDU-16"='5층_부하량'!A3:A3000)*(30='5층_부하량'!B3:B3000),0))</f>
        <v>0.49722634850650282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3"/>
      <c r="M430" s="405" t="s">
        <v>5218</v>
      </c>
      <c r="N430" s="406">
        <f>SUM(D415:D429,N415:N429)</f>
        <v>21.103973632501358</v>
      </c>
      <c r="O430" s="406">
        <f>SUM(E415:E429,O415:O429)</f>
        <v>12.459788429442215</v>
      </c>
      <c r="P430" s="406">
        <f>SUM(F415:F429,P415:P429)</f>
        <v>16.300081044530806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828" t="s">
        <v>5555</v>
      </c>
      <c r="K431" s="3829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4136</v>
      </c>
      <c r="N432" s="1342">
        <v>0</v>
      </c>
      <c r="O432" s="1343">
        <v>0</v>
      </c>
      <c r="P432" s="1344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41" t="s">
        <v>5467</v>
      </c>
      <c r="J434" s="369"/>
      <c r="K434" s="370"/>
      <c r="L434" s="1152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2" t="s">
        <v>5472</v>
      </c>
      <c r="J435" s="378" t="s">
        <v>5551</v>
      </c>
      <c r="K435" s="379"/>
      <c r="L435" s="1153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818" t="s">
        <v>5560</v>
      </c>
      <c r="D443" s="3818"/>
      <c r="E443" s="3818"/>
      <c r="F443" s="3818"/>
      <c r="G443" s="351"/>
      <c r="H443" s="352"/>
      <c r="I443" s="352"/>
      <c r="J443" s="3828" t="s">
        <v>4636</v>
      </c>
      <c r="K443" s="3829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4136</v>
      </c>
      <c r="N444" s="1342">
        <v>5.5</v>
      </c>
      <c r="O444" s="1343">
        <v>7.2</v>
      </c>
      <c r="P444" s="1344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8" cm="1">
        <f t="array" ref="D446">INDEX('5층_부하량'!I3:I3000,MATCH(1,("5-DaHall 1-PDU-17"='5층_부하량'!A3:A3000)*(1='5층_부하량'!B3:B3000),0))</f>
        <v>0.71706502396630656</v>
      </c>
      <c r="E446" s="395"/>
      <c r="F446" s="395"/>
      <c r="G446" s="368"/>
      <c r="H446" s="2348" t="s">
        <v>4171</v>
      </c>
      <c r="I446" s="2349" t="s">
        <v>4151</v>
      </c>
      <c r="J446" s="1021" t="s">
        <v>5563</v>
      </c>
      <c r="K446" s="1022" t="s">
        <v>5564</v>
      </c>
      <c r="L446" s="581" t="s">
        <v>4436</v>
      </c>
      <c r="M446" s="366" t="s">
        <v>4171</v>
      </c>
      <c r="N446" s="2568" cm="1">
        <f t="array" ref="N446">INDEX('5층_부하량'!I3:I3000,MATCH(1,("5-DaHall 1-PDU-17"='5층_부하량'!A3:A3000)*(2='5층_부하량'!B3:B3000),0))</f>
        <v>0.83511313989346625</v>
      </c>
      <c r="O446" s="395"/>
      <c r="P446" s="395"/>
      <c r="Q446" s="368"/>
      <c r="R446" s="372" t="s">
        <v>5562</v>
      </c>
      <c r="S446" s="373" t="s">
        <v>4149</v>
      </c>
      <c r="T446" s="1207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2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4171</v>
      </c>
      <c r="I447" s="1294" t="s">
        <v>4156</v>
      </c>
      <c r="J447" s="1023" t="s">
        <v>5567</v>
      </c>
      <c r="K447" s="1024" t="s">
        <v>5568</v>
      </c>
      <c r="L447" s="571" t="s">
        <v>4438</v>
      </c>
      <c r="M447" s="1293" t="s">
        <v>4171</v>
      </c>
      <c r="N447" s="381"/>
      <c r="O447" s="2562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9" cm="1">
        <f t="array" ref="F448">INDEX('5층_부하량'!K3:K3000,MATCH(1,("5-DaHall 1-PDU-17"='5층_부하량'!A3:A3000)*(5='5층_부하량'!B3:B3000),0))</f>
        <v>0</v>
      </c>
      <c r="G448" s="381"/>
      <c r="H448" s="1293" t="s">
        <v>4171</v>
      </c>
      <c r="I448" s="1294" t="s">
        <v>4161</v>
      </c>
      <c r="J448" s="1023" t="s">
        <v>5571</v>
      </c>
      <c r="K448" s="1026" t="s">
        <v>5572</v>
      </c>
      <c r="L448" s="572" t="s">
        <v>4441</v>
      </c>
      <c r="M448" s="1293" t="s">
        <v>4171</v>
      </c>
      <c r="N448" s="381"/>
      <c r="O448" s="381"/>
      <c r="P448" s="2569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9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4171</v>
      </c>
      <c r="I449" s="1294" t="s">
        <v>4218</v>
      </c>
      <c r="J449" s="1023" t="s">
        <v>5575</v>
      </c>
      <c r="K449" s="1024" t="s">
        <v>5576</v>
      </c>
      <c r="L449" s="572" t="s">
        <v>4167</v>
      </c>
      <c r="M449" s="1293" t="s">
        <v>4171</v>
      </c>
      <c r="N449" s="2569" cm="1">
        <f t="array" ref="N449">INDEX('5층_부하량'!I3:I3000,MATCH(1,("5-DaHall 1-PDU-17"='5층_부하량'!A3:A3000)*(8='5층_부하량'!B3:B3000),0))</f>
        <v>2.2639502280394579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2" cm="1">
        <f t="array" ref="E450">INDEX('5층_부하량'!J3:J3000,MATCH(1,("5-DaHall 1-PDU-17"='5층_부하량'!A3:A3000)*(9='5층_부하량'!B3:B3000),0))</f>
        <v>7.1917565230801275</v>
      </c>
      <c r="F450" s="381"/>
      <c r="G450" s="381"/>
      <c r="H450" s="1293" t="s">
        <v>4171</v>
      </c>
      <c r="I450" s="1294" t="s">
        <v>4221</v>
      </c>
      <c r="J450" s="1023" t="s">
        <v>5579</v>
      </c>
      <c r="K450" s="1026" t="s">
        <v>5580</v>
      </c>
      <c r="L450" s="572" t="s">
        <v>4170</v>
      </c>
      <c r="M450" s="1293" t="s">
        <v>4171</v>
      </c>
      <c r="N450" s="381"/>
      <c r="O450" s="2562" cm="1">
        <f t="array" ref="O450">INDEX('5층_부하량'!J3:J3000,MATCH(1,("5-DaHall 1-PDU-17"='5층_부하량'!A3:A3000)*(10='5층_부하량'!B3:B3000),0))</f>
        <v>9.8876924858168347E-3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9" cm="1">
        <f t="array" ref="F451">INDEX('5층_부하량'!K3:K3000,MATCH(1,("5-DaHall 1-PDU-17"='5층_부하량'!A3:A3000)*(11='5층_부하량'!B3:B3000),0))</f>
        <v>0.53071871648808899</v>
      </c>
      <c r="G451" s="381"/>
      <c r="H451" s="1293" t="s">
        <v>4171</v>
      </c>
      <c r="I451" s="1294" t="s">
        <v>4226</v>
      </c>
      <c r="J451" s="1023" t="s">
        <v>5583</v>
      </c>
      <c r="K451" s="1024" t="s">
        <v>5584</v>
      </c>
      <c r="L451" s="572" t="s">
        <v>4173</v>
      </c>
      <c r="M451" s="1293" t="s">
        <v>4171</v>
      </c>
      <c r="N451" s="381"/>
      <c r="O451" s="381"/>
      <c r="P451" s="2569" cm="1">
        <f t="array" ref="P451">INDEX('5층_부하량'!K3:K3000,MATCH(1,("5-DaHall 1-PDU-17"='5층_부하량'!A3:A3000)*(12='5층_부하량'!B3:B3000),0))</f>
        <v>1.119313446517783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9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4171</v>
      </c>
      <c r="I452" s="1294" t="s">
        <v>4230</v>
      </c>
      <c r="J452" s="1023" t="s">
        <v>5587</v>
      </c>
      <c r="K452" s="1026" t="s">
        <v>5588</v>
      </c>
      <c r="L452" s="572" t="s">
        <v>4175</v>
      </c>
      <c r="M452" s="1293" t="s">
        <v>4171</v>
      </c>
      <c r="N452" s="2569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6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6" t="s">
        <v>4296</v>
      </c>
      <c r="D453" s="381"/>
      <c r="E453" s="2569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5591</v>
      </c>
      <c r="I453" s="1294" t="s">
        <v>4234</v>
      </c>
      <c r="J453" s="1023" t="s">
        <v>5592</v>
      </c>
      <c r="K453" s="1024" t="s">
        <v>5593</v>
      </c>
      <c r="L453" s="572" t="s">
        <v>4177</v>
      </c>
      <c r="M453" s="1293" t="s">
        <v>4171</v>
      </c>
      <c r="N453" s="381"/>
      <c r="O453" s="2569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6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9" cm="1">
        <f t="array" ref="F454">INDEX('5층_부하량'!K3:K3000,MATCH(1,("5-DaHall 1-PDU-17"='5층_부하량'!A3:A3000)*(17='5층_부하량'!B3:B3000),0))</f>
        <v>0.75865152207069964</v>
      </c>
      <c r="G454" s="381"/>
      <c r="H454" s="1206" t="s">
        <v>4171</v>
      </c>
      <c r="I454" s="1294" t="s">
        <v>4238</v>
      </c>
      <c r="J454" s="1023" t="s">
        <v>5596</v>
      </c>
      <c r="K454" s="1026" t="s">
        <v>5597</v>
      </c>
      <c r="L454" s="572" t="s">
        <v>4179</v>
      </c>
      <c r="M454" s="1293" t="s">
        <v>4171</v>
      </c>
      <c r="N454" s="381"/>
      <c r="O454" s="381"/>
      <c r="P454" s="2569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6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6" t="s">
        <v>4296</v>
      </c>
      <c r="D455" s="2569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4171</v>
      </c>
      <c r="I455" s="1294" t="s">
        <v>4243</v>
      </c>
      <c r="J455" s="1023" t="s">
        <v>5600</v>
      </c>
      <c r="K455" s="1024" t="s">
        <v>5601</v>
      </c>
      <c r="L455" s="572" t="s">
        <v>4183</v>
      </c>
      <c r="M455" s="1293" t="s">
        <v>4171</v>
      </c>
      <c r="N455" s="2569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6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6" t="s">
        <v>4296</v>
      </c>
      <c r="D456" s="381"/>
      <c r="E456" s="2562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4171</v>
      </c>
      <c r="I456" s="1294" t="s">
        <v>4186</v>
      </c>
      <c r="J456" s="1023" t="s">
        <v>5604</v>
      </c>
      <c r="K456" s="1026" t="s">
        <v>5605</v>
      </c>
      <c r="L456" s="572" t="s">
        <v>4466</v>
      </c>
      <c r="M456" s="1293" t="s">
        <v>4171</v>
      </c>
      <c r="N456" s="381"/>
      <c r="O456" s="2562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6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6" t="s">
        <v>4296</v>
      </c>
      <c r="D457" s="381"/>
      <c r="E457" s="381"/>
      <c r="F457" s="2569" cm="1">
        <f t="array" ref="F457">INDEX('5층_부하량'!K3:K3000,MATCH(1,("5-DaHall 1-PDU-17"='5층_부하량'!A3:A3000)*(23='5층_부하량'!B3:B3000),0))</f>
        <v>0</v>
      </c>
      <c r="G457" s="411"/>
      <c r="H457" s="1295" t="s">
        <v>4171</v>
      </c>
      <c r="I457" s="1294" t="s">
        <v>4469</v>
      </c>
      <c r="J457" s="1035" t="s">
        <v>5608</v>
      </c>
      <c r="K457" s="1024" t="s">
        <v>5609</v>
      </c>
      <c r="L457" s="572" t="s">
        <v>4470</v>
      </c>
      <c r="M457" s="1295" t="s">
        <v>4171</v>
      </c>
      <c r="N457" s="381"/>
      <c r="O457" s="381"/>
      <c r="P457" s="2569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9" cm="1">
        <f t="array" ref="D458">INDEX('5층_부하량'!I3:I3000,MATCH(1,("5-DaHall 1-PDU-17"='5층_부하량'!A3:A3000)*(25='5층_부하량'!B3:B3000),0))</f>
        <v>1.8236444108379255</v>
      </c>
      <c r="E458" s="381"/>
      <c r="F458" s="381"/>
      <c r="G458" s="411"/>
      <c r="H458" s="409" t="s">
        <v>4171</v>
      </c>
      <c r="I458" s="2350" t="s">
        <v>5612</v>
      </c>
      <c r="J458" s="1035" t="s">
        <v>5613</v>
      </c>
      <c r="K458" s="1026"/>
      <c r="L458" s="583" t="s">
        <v>4474</v>
      </c>
      <c r="M458" s="409" t="s">
        <v>4171</v>
      </c>
      <c r="N458" s="2569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4296</v>
      </c>
      <c r="T458" s="407"/>
    </row>
    <row r="459" spans="1:20" s="350" customFormat="1" ht="17.399999999999999">
      <c r="A459" s="390"/>
      <c r="B459" s="1289" t="s">
        <v>535</v>
      </c>
      <c r="C459" s="1290" t="s">
        <v>4296</v>
      </c>
      <c r="D459" s="381"/>
      <c r="E459" s="2569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50" t="s">
        <v>5614</v>
      </c>
      <c r="J459" s="1035"/>
      <c r="K459" s="1292"/>
      <c r="L459" s="583" t="s">
        <v>4479</v>
      </c>
      <c r="M459" s="409" t="s">
        <v>4171</v>
      </c>
      <c r="N459" s="381"/>
      <c r="O459" s="2569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4296</v>
      </c>
      <c r="T459" s="407"/>
    </row>
    <row r="460" spans="1:20" s="350" customFormat="1" ht="17.399999999999999">
      <c r="A460" s="390"/>
      <c r="B460" s="1289" t="s">
        <v>535</v>
      </c>
      <c r="C460" s="1290" t="s">
        <v>4296</v>
      </c>
      <c r="D460" s="381"/>
      <c r="E460" s="381"/>
      <c r="F460" s="2569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50" t="s">
        <v>5615</v>
      </c>
      <c r="J460" s="1035"/>
      <c r="K460" s="1292"/>
      <c r="L460" s="583" t="s">
        <v>4484</v>
      </c>
      <c r="M460" s="409" t="s">
        <v>4171</v>
      </c>
      <c r="N460" s="381"/>
      <c r="O460" s="381"/>
      <c r="P460" s="2569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4296</v>
      </c>
      <c r="T460" s="407"/>
    </row>
    <row r="461" spans="1:20" s="350" customFormat="1" ht="17.399999999999999">
      <c r="A461" s="390"/>
      <c r="B461" s="1289" t="s">
        <v>535</v>
      </c>
      <c r="C461" s="1290" t="s">
        <v>4296</v>
      </c>
      <c r="D461" s="2569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50" t="s">
        <v>5616</v>
      </c>
      <c r="J461" s="1035"/>
      <c r="K461" s="1292"/>
      <c r="L461" s="583" t="s">
        <v>4488</v>
      </c>
      <c r="M461" s="409" t="s">
        <v>4171</v>
      </c>
      <c r="N461" s="2569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70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51" t="s">
        <v>5617</v>
      </c>
      <c r="J462" s="1040"/>
      <c r="K462" s="1204"/>
      <c r="L462" s="1205" t="s">
        <v>4492</v>
      </c>
      <c r="M462" s="426" t="s">
        <v>4171</v>
      </c>
      <c r="N462" s="427"/>
      <c r="O462" s="2570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3"/>
      <c r="M463" s="405" t="s">
        <v>5218</v>
      </c>
      <c r="N463" s="406">
        <f>SUM(D446:D462,N446:N462)</f>
        <v>5.6397728027371565</v>
      </c>
      <c r="O463" s="406">
        <f>SUM(E446:E462,O446:O462)</f>
        <v>7.2016442155659446</v>
      </c>
      <c r="P463" s="406">
        <f>SUM(F446:F462,P446:P462)</f>
        <v>2.4086836850765714</v>
      </c>
    </row>
    <row r="464" spans="1:20" s="350" customFormat="1" ht="18.600000000000001" thickTop="1" thickBot="1">
      <c r="A464" s="349" t="s">
        <v>6535</v>
      </c>
      <c r="C464" s="3818" t="s">
        <v>5618</v>
      </c>
      <c r="D464" s="3818"/>
      <c r="E464" s="3818"/>
      <c r="F464" s="3818"/>
      <c r="G464" s="351"/>
      <c r="H464" s="352"/>
      <c r="I464" s="352"/>
      <c r="J464" s="3828" t="s">
        <v>4636</v>
      </c>
      <c r="K464" s="3829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4136</v>
      </c>
      <c r="N465" s="1342">
        <v>4.5999999999999996</v>
      </c>
      <c r="O465" s="1343">
        <v>5</v>
      </c>
      <c r="P465" s="1344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8" cm="1">
        <f t="array" ref="D467">INDEX('5층_부하량'!I3:I3000,MATCH(1,("5-DaHall 1-PDU-18"='5층_부하량'!A3:A3000)*(1='5층_부하량'!B3:B3000),0))</f>
        <v>0.82171490448298001</v>
      </c>
      <c r="E467" s="395"/>
      <c r="F467" s="395"/>
      <c r="G467" s="368"/>
      <c r="H467" s="2348" t="s">
        <v>4171</v>
      </c>
      <c r="I467" s="2349" t="s">
        <v>4151</v>
      </c>
      <c r="J467" s="1021" t="s">
        <v>5619</v>
      </c>
      <c r="K467" s="1022" t="s">
        <v>5620</v>
      </c>
      <c r="L467" s="581" t="s">
        <v>4436</v>
      </c>
      <c r="M467" s="366" t="s">
        <v>4171</v>
      </c>
      <c r="N467" s="2568" cm="1">
        <f t="array" ref="N467">INDEX('5층_부하량'!I3:I3000,MATCH(1,("5-DaHall 1-PDU-18"='5층_부하량'!A3:A3000)*(2='5층_부하량'!B3:B3000),0))</f>
        <v>0.78252470103304883</v>
      </c>
      <c r="O467" s="395"/>
      <c r="P467" s="395"/>
      <c r="Q467" s="368"/>
      <c r="R467" s="372" t="s">
        <v>5562</v>
      </c>
      <c r="S467" s="373" t="s">
        <v>4149</v>
      </c>
      <c r="T467" s="1207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2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4171</v>
      </c>
      <c r="I468" s="1294" t="s">
        <v>4156</v>
      </c>
      <c r="J468" s="1023" t="s">
        <v>5621</v>
      </c>
      <c r="K468" s="1024" t="s">
        <v>5622</v>
      </c>
      <c r="L468" s="571" t="s">
        <v>4438</v>
      </c>
      <c r="M468" s="1293" t="s">
        <v>4171</v>
      </c>
      <c r="N468" s="381"/>
      <c r="O468" s="2562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9" cm="1">
        <f t="array" ref="F469">INDEX('5층_부하량'!K3:K3000,MATCH(1,("5-DaHall 1-PDU-18"='5층_부하량'!A3:A3000)*(5='5층_부하량'!B3:B3000),0))</f>
        <v>0</v>
      </c>
      <c r="G469" s="381"/>
      <c r="H469" s="1293" t="s">
        <v>4171</v>
      </c>
      <c r="I469" s="1294" t="s">
        <v>4161</v>
      </c>
      <c r="J469" s="1023" t="s">
        <v>5623</v>
      </c>
      <c r="K469" s="1026" t="s">
        <v>5624</v>
      </c>
      <c r="L469" s="572" t="s">
        <v>4441</v>
      </c>
      <c r="M469" s="1293" t="s">
        <v>4171</v>
      </c>
      <c r="N469" s="381"/>
      <c r="O469" s="381"/>
      <c r="P469" s="2569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9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4171</v>
      </c>
      <c r="I470" s="1294" t="s">
        <v>4218</v>
      </c>
      <c r="J470" s="1023" t="s">
        <v>5625</v>
      </c>
      <c r="K470" s="1024" t="s">
        <v>5626</v>
      </c>
      <c r="L470" s="572" t="s">
        <v>4167</v>
      </c>
      <c r="M470" s="1293" t="s">
        <v>4171</v>
      </c>
      <c r="N470" s="2569" cm="1">
        <f t="array" ref="N470">INDEX('5층_부하량'!I3:I3000,MATCH(1,("5-DaHall 1-PDU-18"='5층_부하량'!A3:A3000)*(8='5층_부하량'!B3:B3000),0))</f>
        <v>2.1836491996416276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2" cm="1">
        <f t="array" ref="E471">INDEX('5층_부하량'!J3:J3000,MATCH(1,("5-DaHall 1-PDU-18"='5층_부하량'!A3:A3000)*(9='5층_부하량'!B3:B3000),0))</f>
        <v>4.9879789532333083</v>
      </c>
      <c r="F471" s="381"/>
      <c r="G471" s="381"/>
      <c r="H471" s="1293" t="s">
        <v>4171</v>
      </c>
      <c r="I471" s="1294" t="s">
        <v>4221</v>
      </c>
      <c r="J471" s="1023" t="s">
        <v>5627</v>
      </c>
      <c r="K471" s="1026" t="s">
        <v>5628</v>
      </c>
      <c r="L471" s="572" t="s">
        <v>4170</v>
      </c>
      <c r="M471" s="1293" t="s">
        <v>4171</v>
      </c>
      <c r="N471" s="381"/>
      <c r="O471" s="2562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9" cm="1">
        <f t="array" ref="F472">INDEX('5층_부하량'!K3:K3000,MATCH(1,("5-DaHall 1-PDU-18"='5층_부하량'!A3:A3000)*(11='5층_부하량'!B3:B3000),0))</f>
        <v>0.41789327182690811</v>
      </c>
      <c r="G472" s="381"/>
      <c r="H472" s="1293" t="s">
        <v>4171</v>
      </c>
      <c r="I472" s="1294" t="s">
        <v>4226</v>
      </c>
      <c r="J472" s="1023" t="s">
        <v>5629</v>
      </c>
      <c r="K472" s="1024" t="s">
        <v>5630</v>
      </c>
      <c r="L472" s="572" t="s">
        <v>4173</v>
      </c>
      <c r="M472" s="1293" t="s">
        <v>4171</v>
      </c>
      <c r="N472" s="381"/>
      <c r="O472" s="381"/>
      <c r="P472" s="2569" cm="1">
        <f t="array" ref="P472">INDEX('5층_부하량'!K3:K3000,MATCH(1,("5-DaHall 1-PDU-18"='5층_부하량'!A3:A3000)*(12='5층_부하량'!B3:B3000),0))</f>
        <v>0.97627427711072834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9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4171</v>
      </c>
      <c r="I473" s="1294" t="s">
        <v>4230</v>
      </c>
      <c r="J473" s="1023" t="s">
        <v>5631</v>
      </c>
      <c r="K473" s="1026" t="s">
        <v>5632</v>
      </c>
      <c r="L473" s="572" t="s">
        <v>4175</v>
      </c>
      <c r="M473" s="1293" t="s">
        <v>4171</v>
      </c>
      <c r="N473" s="2569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6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6" t="s">
        <v>4296</v>
      </c>
      <c r="D474" s="381"/>
      <c r="E474" s="2569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5591</v>
      </c>
      <c r="I474" s="1294" t="s">
        <v>4234</v>
      </c>
      <c r="J474" s="1023" t="s">
        <v>5633</v>
      </c>
      <c r="K474" s="1024" t="s">
        <v>5634</v>
      </c>
      <c r="L474" s="572" t="s">
        <v>4177</v>
      </c>
      <c r="M474" s="1293" t="s">
        <v>4171</v>
      </c>
      <c r="N474" s="381"/>
      <c r="O474" s="2569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6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6" t="s">
        <v>4296</v>
      </c>
      <c r="D475" s="381"/>
      <c r="E475" s="381"/>
      <c r="F475" s="2569" cm="1">
        <f t="array" ref="F475">INDEX('5층_부하량'!K3:K3000,MATCH(1,("5-DaHall 1-PDU-18"='5층_부하량'!A3:A3000)*(17='5층_부하량'!B3:B3000),0))</f>
        <v>0</v>
      </c>
      <c r="G475" s="381"/>
      <c r="H475" s="1206" t="s">
        <v>4171</v>
      </c>
      <c r="I475" s="1294" t="s">
        <v>4238</v>
      </c>
      <c r="J475" s="1023" t="s">
        <v>5635</v>
      </c>
      <c r="K475" s="1026" t="s">
        <v>5636</v>
      </c>
      <c r="L475" s="572" t="s">
        <v>4179</v>
      </c>
      <c r="M475" s="1293" t="s">
        <v>4171</v>
      </c>
      <c r="N475" s="381"/>
      <c r="O475" s="381"/>
      <c r="P475" s="2569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6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6" t="s">
        <v>4296</v>
      </c>
      <c r="D476" s="2569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4171</v>
      </c>
      <c r="I476" s="1294" t="s">
        <v>4243</v>
      </c>
      <c r="J476" s="1023" t="s">
        <v>5637</v>
      </c>
      <c r="K476" s="1024" t="s">
        <v>5638</v>
      </c>
      <c r="L476" s="572" t="s">
        <v>4183</v>
      </c>
      <c r="M476" s="1293" t="s">
        <v>4171</v>
      </c>
      <c r="N476" s="2569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6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6" t="s">
        <v>4296</v>
      </c>
      <c r="D477" s="381"/>
      <c r="E477" s="2562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4171</v>
      </c>
      <c r="I477" s="1294" t="s">
        <v>4186</v>
      </c>
      <c r="J477" s="1023" t="s">
        <v>5639</v>
      </c>
      <c r="K477" s="1026" t="s">
        <v>5640</v>
      </c>
      <c r="L477" s="572" t="s">
        <v>4466</v>
      </c>
      <c r="M477" s="1293" t="s">
        <v>4171</v>
      </c>
      <c r="N477" s="381"/>
      <c r="O477" s="2562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6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6" t="s">
        <v>4296</v>
      </c>
      <c r="D478" s="381"/>
      <c r="E478" s="381"/>
      <c r="F478" s="2569" cm="1">
        <f t="array" ref="F478">INDEX('5층_부하량'!K3:K3000,MATCH(1,("5-DaHall 1-PDU-18"='5층_부하량'!A3:A3000)*(23='5층_부하량'!B3:B3000),0))</f>
        <v>0</v>
      </c>
      <c r="G478" s="411"/>
      <c r="H478" s="1295" t="s">
        <v>4171</v>
      </c>
      <c r="I478" s="1294" t="s">
        <v>4469</v>
      </c>
      <c r="J478" s="1023" t="s">
        <v>5641</v>
      </c>
      <c r="K478" s="1024" t="s">
        <v>5642</v>
      </c>
      <c r="L478" s="572" t="s">
        <v>4470</v>
      </c>
      <c r="M478" s="1295" t="s">
        <v>4171</v>
      </c>
      <c r="N478" s="381"/>
      <c r="O478" s="381"/>
      <c r="P478" s="2569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9" cm="1">
        <f t="array" ref="D479">INDEX('5층_부하량'!I3:I3000,MATCH(1,("5-DaHall 1-PDU-18"='5층_부하량'!A3:A3000)*(25='5층_부하량'!B3:B3000),0))</f>
        <v>1.0062129871279673</v>
      </c>
      <c r="E479" s="381"/>
      <c r="F479" s="381"/>
      <c r="G479" s="411"/>
      <c r="H479" s="409" t="s">
        <v>4171</v>
      </c>
      <c r="I479" s="2350" t="s">
        <v>5612</v>
      </c>
      <c r="J479" s="1023" t="s">
        <v>5644</v>
      </c>
      <c r="K479" s="1292"/>
      <c r="L479" s="583" t="s">
        <v>4474</v>
      </c>
      <c r="M479" s="409" t="s">
        <v>4171</v>
      </c>
      <c r="N479" s="2569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4296</v>
      </c>
      <c r="T479" s="407"/>
    </row>
    <row r="480" spans="1:20" s="350" customFormat="1" ht="17.399999999999999">
      <c r="A480" s="390"/>
      <c r="B480" s="1289" t="s">
        <v>535</v>
      </c>
      <c r="C480" s="1290" t="s">
        <v>4296</v>
      </c>
      <c r="D480" s="381"/>
      <c r="E480" s="2569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50" t="s">
        <v>5614</v>
      </c>
      <c r="J480" s="1291"/>
      <c r="K480" s="1292"/>
      <c r="L480" s="583" t="s">
        <v>4479</v>
      </c>
      <c r="M480" s="409" t="s">
        <v>4171</v>
      </c>
      <c r="N480" s="381"/>
      <c r="O480" s="2569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4296</v>
      </c>
      <c r="T480" s="407"/>
    </row>
    <row r="481" spans="1:20" s="350" customFormat="1" ht="17.399999999999999">
      <c r="A481" s="390"/>
      <c r="B481" s="1289" t="s">
        <v>535</v>
      </c>
      <c r="C481" s="1290" t="s">
        <v>4296</v>
      </c>
      <c r="D481" s="381"/>
      <c r="E481" s="381"/>
      <c r="F481" s="2569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50" t="s">
        <v>5615</v>
      </c>
      <c r="J481" s="1291"/>
      <c r="K481" s="1292"/>
      <c r="L481" s="583" t="s">
        <v>4484</v>
      </c>
      <c r="M481" s="409" t="s">
        <v>4171</v>
      </c>
      <c r="N481" s="381"/>
      <c r="O481" s="381"/>
      <c r="P481" s="2569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4296</v>
      </c>
      <c r="T481" s="407"/>
    </row>
    <row r="482" spans="1:20" s="350" customFormat="1" ht="17.399999999999999">
      <c r="A482" s="390"/>
      <c r="B482" s="1289" t="s">
        <v>535</v>
      </c>
      <c r="C482" s="1290" t="s">
        <v>4296</v>
      </c>
      <c r="D482" s="2569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50" t="s">
        <v>5616</v>
      </c>
      <c r="J482" s="1291"/>
      <c r="K482" s="1292"/>
      <c r="L482" s="583" t="s">
        <v>4488</v>
      </c>
      <c r="M482" s="409" t="s">
        <v>4171</v>
      </c>
      <c r="N482" s="2569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70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51" t="s">
        <v>5617</v>
      </c>
      <c r="J483" s="1203"/>
      <c r="K483" s="1204"/>
      <c r="L483" s="1205" t="s">
        <v>4492</v>
      </c>
      <c r="M483" s="426" t="s">
        <v>4171</v>
      </c>
      <c r="N483" s="427"/>
      <c r="O483" s="2570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3"/>
      <c r="M484" s="405" t="s">
        <v>5218</v>
      </c>
      <c r="N484" s="406">
        <f>SUM(D467:D483,N467:N483)</f>
        <v>4.7941017922856233</v>
      </c>
      <c r="O484" s="406">
        <f>SUM(E467:E483,O467:O483)</f>
        <v>4.9879789532333083</v>
      </c>
      <c r="P484" s="406">
        <f>SUM(F467:F483,P467:P483)</f>
        <v>1.3941675489376364</v>
      </c>
    </row>
    <row r="485" spans="1:20" s="350" customFormat="1" ht="18.600000000000001" thickTop="1" thickBot="1">
      <c r="A485" s="349" t="s">
        <v>6536</v>
      </c>
      <c r="C485" s="3818" t="s">
        <v>5645</v>
      </c>
      <c r="D485" s="3818"/>
      <c r="E485" s="3818"/>
      <c r="F485" s="3818"/>
      <c r="G485" s="351"/>
      <c r="H485" s="352"/>
      <c r="I485" s="352"/>
      <c r="J485" s="3828" t="s">
        <v>4288</v>
      </c>
      <c r="K485" s="3829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4136</v>
      </c>
      <c r="N486" s="1342">
        <v>35.1</v>
      </c>
      <c r="O486" s="1343">
        <v>38.9</v>
      </c>
      <c r="P486" s="1344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8" cm="1">
        <f t="array" ref="D488">INDEX('5층_부하량'!I3:I3000,MATCH(1,("5-DaHall 1-PDU-19"='5층_부하량'!A3:A3000)*(1='5층_부하량'!B3:B3000),0))</f>
        <v>3.8219173789777368</v>
      </c>
      <c r="E488" s="395"/>
      <c r="F488" s="395"/>
      <c r="G488" s="368"/>
      <c r="H488" s="2348" t="s">
        <v>4509</v>
      </c>
      <c r="I488" s="2349" t="s">
        <v>4151</v>
      </c>
      <c r="J488" s="1021"/>
      <c r="K488" s="1022"/>
      <c r="L488" s="581" t="s">
        <v>4436</v>
      </c>
      <c r="M488" s="366" t="s">
        <v>4574</v>
      </c>
      <c r="N488" s="2568" cm="1">
        <f t="array" ref="N488">INDEX('5층_부하량'!I3:I3000,MATCH(1,("5-DaHall 1-PDU-19"='5층_부하량'!A3:A3000)*(2='5층_부하량'!B3:B3000),0))</f>
        <v>5.0341039869403268</v>
      </c>
      <c r="O488" s="395"/>
      <c r="P488" s="395"/>
      <c r="Q488" s="368"/>
      <c r="R488" s="372" t="s">
        <v>5562</v>
      </c>
      <c r="S488" s="373" t="s">
        <v>4149</v>
      </c>
      <c r="T488" s="1207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2" cm="1">
        <f t="array" ref="E489">INDEX('5층_부하량'!J3:J3000,MATCH(1,("5-DaHall 1-PDU-19"='5층_부하량'!A3:A3000)*(3='5층_부하량'!B3:B3000),0))</f>
        <v>5.099061658243544</v>
      </c>
      <c r="F489" s="381"/>
      <c r="G489" s="377"/>
      <c r="H489" s="376" t="s">
        <v>4574</v>
      </c>
      <c r="I489" s="2350" t="s">
        <v>4156</v>
      </c>
      <c r="J489" s="1023"/>
      <c r="K489" s="1024"/>
      <c r="L489" s="582" t="s">
        <v>4438</v>
      </c>
      <c r="M489" s="376" t="s">
        <v>4574</v>
      </c>
      <c r="N489" s="381"/>
      <c r="O489" s="2562" cm="1">
        <f t="array" ref="O489">INDEX('5층_부하량'!J3:J3000,MATCH(1,("5-DaHall 1-PDU-19"='5층_부하량'!A3:A3000)*(4='5층_부하량'!B3:B3000),0))</f>
        <v>3.3774972202447162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9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50" t="s">
        <v>4161</v>
      </c>
      <c r="J490" s="1025"/>
      <c r="K490" s="1026"/>
      <c r="L490" s="583" t="s">
        <v>4441</v>
      </c>
      <c r="M490" s="1208" t="s">
        <v>5651</v>
      </c>
      <c r="N490" s="381"/>
      <c r="O490" s="381"/>
      <c r="P490" s="2569" cm="1">
        <f t="array" ref="P490">INDEX('5층_부하량'!K3:K3000,MATCH(1,("5-DaHall 1-PDU-19"='5층_부하량'!A3:A3000)*(6='5층_부하량'!B3:B3000),0))</f>
        <v>2.9508652398887332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9" cm="1">
        <f t="array" ref="D491">INDEX('5층_부하량'!I3:I3000,MATCH(1,("5-DaHall 1-PDU-19"='5층_부하량'!A3:A3000)*(7='5층_부하량'!B3:B3000),0))</f>
        <v>5.1232445458081308</v>
      </c>
      <c r="E491" s="381"/>
      <c r="F491" s="381"/>
      <c r="G491" s="381"/>
      <c r="H491" s="376" t="s">
        <v>4574</v>
      </c>
      <c r="I491" s="552" t="s">
        <v>4218</v>
      </c>
      <c r="J491" s="1025"/>
      <c r="K491" s="1026"/>
      <c r="L491" s="572" t="s">
        <v>4167</v>
      </c>
      <c r="M491" s="376" t="s">
        <v>4574</v>
      </c>
      <c r="N491" s="2569" cm="1">
        <f t="array" ref="N491">INDEX('5층_부하량'!I3:I3000,MATCH(1,("5-DaHall 1-PDU-19"='5층_부하량'!A3:A3000)*(8='5층_부하량'!B3:B3000),0))</f>
        <v>4.871178924314469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2" cm="1">
        <f t="array" ref="E492">INDEX('5층_부하량'!J3:J3000,MATCH(1,("5-DaHall 1-PDU-19"='5층_부하량'!A3:A3000)*(9='5층_부하량'!B3:B3000),0))</f>
        <v>4.7725994952405877</v>
      </c>
      <c r="F492" s="381"/>
      <c r="G492" s="381"/>
      <c r="H492" s="376" t="s">
        <v>4574</v>
      </c>
      <c r="I492" s="552" t="s">
        <v>4221</v>
      </c>
      <c r="J492" s="1025"/>
      <c r="K492" s="1026"/>
      <c r="L492" s="572" t="s">
        <v>4170</v>
      </c>
      <c r="M492" s="376" t="s">
        <v>4574</v>
      </c>
      <c r="N492" s="381"/>
      <c r="O492" s="2562" cm="1">
        <f t="array" ref="O492">INDEX('5층_부하량'!J3:J3000,MATCH(1,("5-DaHall 1-PDU-19"='5층_부하량'!A3:A3000)*(10='5층_부하량'!B3:B3000),0))</f>
        <v>4.9968672612847227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9" cm="1">
        <f t="array" ref="F493">INDEX('5층_부하량'!K3:K3000,MATCH(1,("5-DaHall 1-PDU-19"='5층_부하량'!A3:A3000)*(11='5층_부하량'!B3:B3000),0))</f>
        <v>4.9827271829695459</v>
      </c>
      <c r="G493" s="381"/>
      <c r="H493" s="376" t="s">
        <v>4574</v>
      </c>
      <c r="I493" s="552" t="s">
        <v>4226</v>
      </c>
      <c r="J493" s="1025"/>
      <c r="K493" s="1026"/>
      <c r="L493" s="572" t="s">
        <v>4173</v>
      </c>
      <c r="M493" s="1208" t="s">
        <v>5651</v>
      </c>
      <c r="N493" s="381"/>
      <c r="O493" s="381"/>
      <c r="P493" s="2569" cm="1">
        <f t="array" ref="P493">INDEX('5층_부하량'!K3:K3000,MATCH(1,("5-DaHall 1-PDU-19"='5층_부하량'!A3:A3000)*(12='5층_부하량'!B3:B3000),0))</f>
        <v>4.0229013980340724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9" cm="1">
        <f t="array" ref="D494">INDEX('5층_부하량'!I3:I3000,MATCH(1,("5-DaHall 1-PDU-19"='5층_부하량'!A3:A3000)*(13='5층_부하량'!B3:B3000),0))</f>
        <v>5.288951503203843</v>
      </c>
      <c r="E494" s="381"/>
      <c r="F494" s="381"/>
      <c r="G494" s="381"/>
      <c r="H494" s="376" t="s">
        <v>4574</v>
      </c>
      <c r="I494" s="552" t="s">
        <v>4230</v>
      </c>
      <c r="J494" s="1025"/>
      <c r="K494" s="1026"/>
      <c r="L494" s="572" t="s">
        <v>4175</v>
      </c>
      <c r="M494" s="1208" t="s">
        <v>5651</v>
      </c>
      <c r="N494" s="2569" cm="1">
        <f t="array" ref="N494">INDEX('5층_부하량'!I3:I3000,MATCH(1,("5-DaHall 1-PDU-19"='5층_부하량'!A3:A3000)*(14='5층_부하량'!B3:B3000),0))</f>
        <v>1.414496670747859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9" cm="1">
        <f t="array" ref="E495">INDEX('5층_부하량'!J3:J3000,MATCH(1,("5-DaHall 1-PDU-19"='5층_부하량'!A3:A3000)*(15='5층_부하량'!B3:B3000),0))</f>
        <v>7.3880277104714631</v>
      </c>
      <c r="F495" s="381"/>
      <c r="G495" s="381"/>
      <c r="H495" s="1208" t="s">
        <v>5651</v>
      </c>
      <c r="I495" s="552" t="s">
        <v>4234</v>
      </c>
      <c r="J495" s="1025"/>
      <c r="K495" s="1026"/>
      <c r="L495" s="572" t="s">
        <v>4177</v>
      </c>
      <c r="M495" s="376" t="s">
        <v>4574</v>
      </c>
      <c r="N495" s="381"/>
      <c r="O495" s="2569" cm="1">
        <f t="array" ref="O495">INDEX('5층_부하량'!J3:J3000,MATCH(1,("5-DaHall 1-PDU-19"='5층_부하량'!A3:A3000)*(16='5층_부하량'!B3:B3000),0))</f>
        <v>7.0567649310531788</v>
      </c>
      <c r="P495" s="381"/>
      <c r="Q495" s="381"/>
      <c r="R495" s="382" t="s">
        <v>5562</v>
      </c>
      <c r="S495" s="1206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9" cm="1">
        <f t="array" ref="F496">INDEX('5층_부하량'!K3:K3000,MATCH(1,("5-DaHall 1-PDU-19"='5층_부하량'!A3:A3000)*(17='5층_부하량'!B3:B3000),0))</f>
        <v>3.537718594186519</v>
      </c>
      <c r="G496" s="381"/>
      <c r="H496" s="1209" t="s">
        <v>4150</v>
      </c>
      <c r="I496" s="552" t="s">
        <v>4238</v>
      </c>
      <c r="J496" s="1025"/>
      <c r="K496" s="1026"/>
      <c r="L496" s="572" t="s">
        <v>4179</v>
      </c>
      <c r="M496" s="376" t="s">
        <v>4574</v>
      </c>
      <c r="N496" s="381"/>
      <c r="O496" s="381"/>
      <c r="P496" s="2569" cm="1">
        <f t="array" ref="P496">INDEX('5층_부하량'!K3:K3000,MATCH(1,("5-DaHall 1-PDU-19"='5층_부하량'!A3:A3000)*(18='5층_부하량'!B3:B3000),0))</f>
        <v>5.4360626249342854</v>
      </c>
      <c r="Q496" s="381"/>
      <c r="R496" s="382" t="s">
        <v>5562</v>
      </c>
      <c r="S496" s="1206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9" cm="1">
        <f t="array" ref="D497">INDEX('5층_부하량'!I3:I3000,MATCH(1,("5-DaHall 1-PDU-19"='5층_부하량'!A3:A3000)*(19='5층_부하량'!B3:B3000),0))</f>
        <v>3.6239474233138691</v>
      </c>
      <c r="E497" s="381"/>
      <c r="F497" s="381"/>
      <c r="G497" s="381"/>
      <c r="H497" s="1209" t="s">
        <v>4150</v>
      </c>
      <c r="I497" s="552" t="s">
        <v>4243</v>
      </c>
      <c r="J497" s="1025"/>
      <c r="K497" s="1026"/>
      <c r="L497" s="572" t="s">
        <v>4183</v>
      </c>
      <c r="M497" s="376" t="s">
        <v>4574</v>
      </c>
      <c r="N497" s="2569" cm="1">
        <f t="array" ref="N497">INDEX('5층_부하량'!I3:I3000,MATCH(1,("5-DaHall 1-PDU-19"='5층_부하량'!A3:A3000)*(20='5층_부하량'!B3:B3000),0))</f>
        <v>7.6374961912239803</v>
      </c>
      <c r="O497" s="381"/>
      <c r="P497" s="381"/>
      <c r="Q497" s="381"/>
      <c r="R497" s="382" t="s">
        <v>5562</v>
      </c>
      <c r="S497" s="1206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6" t="s">
        <v>4296</v>
      </c>
      <c r="D498" s="381"/>
      <c r="E498" s="2562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50" t="s">
        <v>5667</v>
      </c>
      <c r="J498" s="1025"/>
      <c r="K498" s="1026"/>
      <c r="L498" s="583" t="s">
        <v>5668</v>
      </c>
      <c r="M498" s="376" t="s">
        <v>4574</v>
      </c>
      <c r="N498" s="381"/>
      <c r="O498" s="2562" cm="1">
        <f t="array" ref="O498">INDEX('5층_부하량'!J3:J3000,MATCH(1,("5-DaHall 1-PDU-19"='5층_부하량'!A3:A3000)*(22='5층_부하량'!B3:B3000),0))</f>
        <v>7.3997098346190988</v>
      </c>
      <c r="P498" s="381"/>
      <c r="Q498" s="381"/>
      <c r="R498" s="382" t="s">
        <v>5562</v>
      </c>
      <c r="S498" s="1206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70" cm="1">
        <f t="array" ref="F499">INDEX('5층_부하량'!K3:K3000,MATCH(1,("5-DaHall 1-PDU-19"='5층_부하량'!A3:A3000)*(23='5층_부하량'!B3:B3000),0))</f>
        <v>3.8279098079690095</v>
      </c>
      <c r="G499" s="427"/>
      <c r="H499" s="426" t="s">
        <v>4574</v>
      </c>
      <c r="I499" s="2351" t="s">
        <v>5670</v>
      </c>
      <c r="J499" s="1203"/>
      <c r="K499" s="1204"/>
      <c r="L499" s="1205" t="s">
        <v>5671</v>
      </c>
      <c r="M499" s="426" t="s">
        <v>4574</v>
      </c>
      <c r="N499" s="427"/>
      <c r="O499" s="427"/>
      <c r="P499" s="2570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3"/>
      <c r="M500" s="405" t="s">
        <v>5218</v>
      </c>
      <c r="N500" s="406">
        <f>SUM(D488:D499,N488:N499)</f>
        <v>36.815336624530218</v>
      </c>
      <c r="O500" s="406">
        <f>SUM(E488:E499,O488:O499)</f>
        <v>40.090528111157312</v>
      </c>
      <c r="P500" s="406">
        <f>SUM(F488:F499,P488:P499)</f>
        <v>24.758184847982164</v>
      </c>
    </row>
    <row r="501" spans="1:20" s="350" customFormat="1" ht="18.600000000000001" thickTop="1" thickBot="1">
      <c r="A501" s="349" t="s">
        <v>6537</v>
      </c>
      <c r="C501" s="3818" t="s">
        <v>5672</v>
      </c>
      <c r="D501" s="3818"/>
      <c r="E501" s="3818"/>
      <c r="F501" s="3818"/>
      <c r="G501" s="351"/>
      <c r="H501" s="352"/>
      <c r="I501" s="352"/>
      <c r="J501" s="3828" t="s">
        <v>4288</v>
      </c>
      <c r="K501" s="3829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4136</v>
      </c>
      <c r="N502" s="1342">
        <v>28.1</v>
      </c>
      <c r="O502" s="1343">
        <v>32.6</v>
      </c>
      <c r="P502" s="1344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8" cm="1">
        <f t="array" ref="D504">INDEX('5층_부하량'!I3:I3000,MATCH(1,("5-DaHall 1-PDU-20"='5층_부하량'!A3:A3000)*(1='5층_부하량'!B3:B3000),0))</f>
        <v>4.773197904586814</v>
      </c>
      <c r="E504" s="395"/>
      <c r="F504" s="395"/>
      <c r="G504" s="368"/>
      <c r="H504" s="2348" t="s">
        <v>4509</v>
      </c>
      <c r="I504" s="2349" t="s">
        <v>4151</v>
      </c>
      <c r="J504" s="1021"/>
      <c r="K504" s="1022"/>
      <c r="L504" s="581" t="s">
        <v>4436</v>
      </c>
      <c r="M504" s="366" t="s">
        <v>4574</v>
      </c>
      <c r="N504" s="2568" cm="1">
        <f t="array" ref="N504">INDEX('5층_부하량'!I3:I3000,MATCH(1,("5-DaHall 1-PDU-20"='5층_부하량'!A3:A3000)*(2='5층_부하량'!B3:B3000),0))</f>
        <v>5.2912003301532318</v>
      </c>
      <c r="O504" s="395"/>
      <c r="P504" s="395"/>
      <c r="Q504" s="368"/>
      <c r="R504" s="372" t="s">
        <v>5562</v>
      </c>
      <c r="S504" s="373" t="s">
        <v>4149</v>
      </c>
      <c r="T504" s="1207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2" cm="1">
        <f t="array" ref="E505">INDEX('5층_부하량'!J3:J3000,MATCH(1,("5-DaHall 1-PDU-20"='5층_부하량'!A3:A3000)*(3='5층_부하량'!B3:B3000),0))</f>
        <v>5.0776352184262867</v>
      </c>
      <c r="F505" s="381"/>
      <c r="G505" s="377"/>
      <c r="H505" s="376" t="s">
        <v>4574</v>
      </c>
      <c r="I505" s="2350" t="s">
        <v>4156</v>
      </c>
      <c r="J505" s="1023"/>
      <c r="K505" s="1024"/>
      <c r="L505" s="582" t="s">
        <v>4438</v>
      </c>
      <c r="M505" s="376" t="s">
        <v>4574</v>
      </c>
      <c r="N505" s="381"/>
      <c r="O505" s="2562" cm="1">
        <f t="array" ref="O505">INDEX('5층_부하량'!J3:J3000,MATCH(1,("5-DaHall 1-PDU-20"='5층_부하량'!A3:A3000)*(4='5층_부하량'!B3:B3000),0))</f>
        <v>3.2346508185506098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9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50" t="s">
        <v>4161</v>
      </c>
      <c r="J506" s="1025"/>
      <c r="K506" s="1026"/>
      <c r="L506" s="583" t="s">
        <v>4441</v>
      </c>
      <c r="M506" s="1208" t="s">
        <v>5651</v>
      </c>
      <c r="N506" s="381"/>
      <c r="O506" s="381"/>
      <c r="P506" s="2569" cm="1">
        <f t="array" ref="P506">INDEX('5층_부하량'!K3:K3000,MATCH(1,("5-DaHall 1-PDU-20"='5층_부하량'!A3:A3000)*(6='5층_부하량'!B3:B3000),0))</f>
        <v>1.9132741881394686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9" cm="1">
        <f t="array" ref="D507">INDEX('5층_부하량'!I3:I3000,MATCH(1,("5-DaHall 1-PDU-20"='5층_부하량'!A3:A3000)*(7='5층_부하량'!B3:B3000),0))</f>
        <v>5.6345811060474666</v>
      </c>
      <c r="E507" s="381"/>
      <c r="F507" s="381"/>
      <c r="G507" s="381"/>
      <c r="H507" s="376" t="s">
        <v>4574</v>
      </c>
      <c r="I507" s="552" t="s">
        <v>4218</v>
      </c>
      <c r="J507" s="1025"/>
      <c r="K507" s="1026"/>
      <c r="L507" s="572" t="s">
        <v>4167</v>
      </c>
      <c r="M507" s="376" t="s">
        <v>4574</v>
      </c>
      <c r="N507" s="2569" cm="1">
        <f t="array" ref="N507">INDEX('5층_부하량'!I3:I3000,MATCH(1,("5-DaHall 1-PDU-20"='5층_부하량'!A3:A3000)*(8='5층_부하량'!B3:B3000),0))</f>
        <v>4.9603129550769571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2" cm="1">
        <f t="array" ref="E508">INDEX('5층_부하량'!J3:J3000,MATCH(1,("5-DaHall 1-PDU-20"='5층_부하량'!A3:A3000)*(9='5층_부하량'!B3:B3000),0))</f>
        <v>4.6762193990684109</v>
      </c>
      <c r="F508" s="381"/>
      <c r="G508" s="381"/>
      <c r="H508" s="376" t="s">
        <v>4574</v>
      </c>
      <c r="I508" s="552" t="s">
        <v>4221</v>
      </c>
      <c r="J508" s="1025"/>
      <c r="K508" s="1026"/>
      <c r="L508" s="572" t="s">
        <v>4170</v>
      </c>
      <c r="M508" s="376" t="s">
        <v>4574</v>
      </c>
      <c r="N508" s="381"/>
      <c r="O508" s="2562" cm="1">
        <f t="array" ref="O508">INDEX('5층_부하량'!J3:J3000,MATCH(1,("5-DaHall 1-PDU-20"='5층_부하량'!A3:A3000)*(10='5층_부하량'!B3:B3000),0))</f>
        <v>4.8953388897653323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9" cm="1">
        <f t="array" ref="F509">INDEX('5층_부하량'!K3:K3000,MATCH(1,("5-DaHall 1-PDU-20"='5층_부하량'!A3:A3000)*(11='5층_부하량'!B3:B3000),0))</f>
        <v>4.4129759991641135</v>
      </c>
      <c r="G509" s="381"/>
      <c r="H509" s="376" t="s">
        <v>4574</v>
      </c>
      <c r="I509" s="552" t="s">
        <v>4226</v>
      </c>
      <c r="J509" s="1025"/>
      <c r="K509" s="1026"/>
      <c r="L509" s="572" t="s">
        <v>4173</v>
      </c>
      <c r="M509" s="1208" t="s">
        <v>5651</v>
      </c>
      <c r="N509" s="381"/>
      <c r="O509" s="381"/>
      <c r="P509" s="2569" cm="1">
        <f t="array" ref="P509">INDEX('5층_부하량'!K3:K3000,MATCH(1,("5-DaHall 1-PDU-20"='5층_부하량'!A3:A3000)*(12='5층_부하량'!B3:B3000),0))</f>
        <v>3.9192578584029216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9" cm="1">
        <f t="array" ref="D510">INDEX('5층_부하량'!I3:I3000,MATCH(1,("5-DaHall 1-PDU-20"='5층_부하량'!A3:A3000)*(13='5층_부하량'!B3:B3000),0))</f>
        <v>4.8989503955722666</v>
      </c>
      <c r="E510" s="381"/>
      <c r="F510" s="381"/>
      <c r="G510" s="381"/>
      <c r="H510" s="376" t="s">
        <v>4574</v>
      </c>
      <c r="I510" s="552" t="s">
        <v>4230</v>
      </c>
      <c r="J510" s="1025"/>
      <c r="K510" s="1026"/>
      <c r="L510" s="572" t="s">
        <v>4175</v>
      </c>
      <c r="M510" s="1208" t="s">
        <v>5651</v>
      </c>
      <c r="N510" s="2569" cm="1">
        <f t="array" ref="N510">INDEX('5층_부하량'!I3:I3000,MATCH(1,("5-DaHall 1-PDU-20"='5층_부하량'!A3:A3000)*(14='5층_부하량'!B3:B3000),0))</f>
        <v>1.2730782272791958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9" cm="1">
        <f t="array" ref="E511">INDEX('5층_부하량'!J3:J3000,MATCH(1,("5-DaHall 1-PDU-20"='5층_부하량'!A3:A3000)*(15='5층_부하량'!B3:B3000),0))</f>
        <v>8.5277719839598287</v>
      </c>
      <c r="F511" s="381"/>
      <c r="G511" s="381"/>
      <c r="H511" s="1208" t="s">
        <v>5651</v>
      </c>
      <c r="I511" s="552" t="s">
        <v>4234</v>
      </c>
      <c r="J511" s="1025"/>
      <c r="K511" s="1026"/>
      <c r="L511" s="572" t="s">
        <v>4177</v>
      </c>
      <c r="M511" s="376" t="s">
        <v>4574</v>
      </c>
      <c r="N511" s="381"/>
      <c r="O511" s="2569" cm="1">
        <f t="array" ref="O511">INDEX('5층_부하량'!J3:J3000,MATCH(1,("5-DaHall 1-PDU-20"='5층_부하량'!A3:A3000)*(16='5층_부하량'!B3:B3000),0))</f>
        <v>7.1355379615866656</v>
      </c>
      <c r="P511" s="381"/>
      <c r="Q511" s="381"/>
      <c r="R511" s="382" t="s">
        <v>5562</v>
      </c>
      <c r="S511" s="1206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9" cm="1">
        <f t="array" ref="F512">INDEX('5층_부하량'!K3:K3000,MATCH(1,("5-DaHall 1-PDU-20"='5층_부하량'!A3:A3000)*(17='5층_부하량'!B3:B3000),0))</f>
        <v>3.9088396583561709</v>
      </c>
      <c r="G512" s="381"/>
      <c r="H512" s="1209" t="s">
        <v>4150</v>
      </c>
      <c r="I512" s="552" t="s">
        <v>4238</v>
      </c>
      <c r="J512" s="1025"/>
      <c r="K512" s="1026"/>
      <c r="L512" s="572" t="s">
        <v>4179</v>
      </c>
      <c r="M512" s="376" t="s">
        <v>4574</v>
      </c>
      <c r="N512" s="381"/>
      <c r="O512" s="381"/>
      <c r="P512" s="2569" cm="1">
        <f t="array" ref="P512">INDEX('5층_부하량'!K3:K3000,MATCH(1,("5-DaHall 1-PDU-20"='5층_부하량'!A3:A3000)*(18='5층_부하량'!B3:B3000),0))</f>
        <v>5.2466784215763616</v>
      </c>
      <c r="Q512" s="381"/>
      <c r="R512" s="382" t="s">
        <v>5562</v>
      </c>
      <c r="S512" s="1206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9" cm="1">
        <f t="array" ref="D513">INDEX('5층_부하량'!I3:I3000,MATCH(1,("5-DaHall 1-PDU-20"='5층_부하량'!A3:A3000)*(19='5층_부하량'!B3:B3000),0))</f>
        <v>3.9374543058681875</v>
      </c>
      <c r="E513" s="381"/>
      <c r="F513" s="381"/>
      <c r="G513" s="381"/>
      <c r="H513" s="1209" t="s">
        <v>4150</v>
      </c>
      <c r="I513" s="552" t="s">
        <v>4243</v>
      </c>
      <c r="J513" s="1025"/>
      <c r="K513" s="1026"/>
      <c r="L513" s="572" t="s">
        <v>4183</v>
      </c>
      <c r="M513" s="376" t="s">
        <v>4574</v>
      </c>
      <c r="N513" s="2569" cm="1">
        <f t="array" ref="N513">INDEX('5층_부하량'!I3:I3000,MATCH(1,("5-DaHall 1-PDU-20"='5층_부하량'!A3:A3000)*(20='5층_부하량'!B3:B3000),0))</f>
        <v>1.9545468386615399</v>
      </c>
      <c r="O513" s="381"/>
      <c r="P513" s="381"/>
      <c r="Q513" s="381"/>
      <c r="R513" s="382" t="s">
        <v>5562</v>
      </c>
      <c r="S513" s="1206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6" t="s">
        <v>4296</v>
      </c>
      <c r="D514" s="381"/>
      <c r="E514" s="2562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50" t="s">
        <v>5667</v>
      </c>
      <c r="J514" s="1025"/>
      <c r="K514" s="1026"/>
      <c r="L514" s="583" t="s">
        <v>5668</v>
      </c>
      <c r="M514" s="376" t="s">
        <v>4574</v>
      </c>
      <c r="N514" s="381"/>
      <c r="O514" s="2562" cm="1">
        <f t="array" ref="O514">INDEX('5층_부하량'!J3:J3000,MATCH(1,("5-DaHall 1-PDU-20"='5층_부하량'!A3:A3000)*(22='5층_부하량'!B3:B3000),0))</f>
        <v>0.81603038369274183</v>
      </c>
      <c r="P514" s="381"/>
      <c r="Q514" s="381"/>
      <c r="R514" s="382" t="s">
        <v>5562</v>
      </c>
      <c r="S514" s="1206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70" cm="1">
        <f t="array" ref="F515">INDEX('5층_부하량'!K3:K3000,MATCH(1,("5-DaHall 1-PDU-20"='5층_부하량'!A3:A3000)*(23='5층_부하량'!B3:B3000),0))</f>
        <v>3.9444731064749394</v>
      </c>
      <c r="G515" s="427"/>
      <c r="H515" s="426" t="s">
        <v>4574</v>
      </c>
      <c r="I515" s="2351" t="s">
        <v>5670</v>
      </c>
      <c r="J515" s="1203"/>
      <c r="K515" s="1204"/>
      <c r="L515" s="1205" t="s">
        <v>5671</v>
      </c>
      <c r="M515" s="426" t="s">
        <v>4574</v>
      </c>
      <c r="N515" s="427"/>
      <c r="O515" s="427"/>
      <c r="P515" s="2570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3"/>
      <c r="M516" s="405" t="s">
        <v>5218</v>
      </c>
      <c r="N516" s="406">
        <f>SUM(D504:D515,N504:N515)</f>
        <v>32.723322063245661</v>
      </c>
      <c r="O516" s="406">
        <f>SUM(E504:E515,O504:O515)</f>
        <v>34.363184655049871</v>
      </c>
      <c r="P516" s="406">
        <f>SUM(F504:F515,P504:P515)</f>
        <v>23.345499232113976</v>
      </c>
    </row>
    <row r="517" spans="1:20" s="350" customFormat="1" ht="18.600000000000001" thickTop="1" thickBot="1">
      <c r="A517" s="349" t="s">
        <v>6538</v>
      </c>
      <c r="C517" s="3818" t="s">
        <v>5694</v>
      </c>
      <c r="D517" s="3818"/>
      <c r="E517" s="3818"/>
      <c r="F517" s="3818"/>
      <c r="G517" s="351"/>
      <c r="H517" s="352"/>
      <c r="I517" s="352"/>
      <c r="J517" s="3828" t="s">
        <v>4288</v>
      </c>
      <c r="K517" s="3829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4136</v>
      </c>
      <c r="N518" s="1342">
        <v>41.9</v>
      </c>
      <c r="O518" s="1343">
        <v>33.6</v>
      </c>
      <c r="P518" s="1344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8" cm="1">
        <f t="array" ref="D520">INDEX('5층_부하량'!I3:I3000,MATCH(1,("5-DaHall 1-PDU-21"='5층_부하량'!A3:A3000)*(1='5층_부하량'!B3:B3000),0))</f>
        <v>6.5373988278709465</v>
      </c>
      <c r="E520" s="395"/>
      <c r="F520" s="395"/>
      <c r="G520" s="368"/>
      <c r="H520" s="2348" t="s">
        <v>4509</v>
      </c>
      <c r="I520" s="2349" t="s">
        <v>4151</v>
      </c>
      <c r="J520" s="1021"/>
      <c r="K520" s="1022"/>
      <c r="L520" s="581" t="s">
        <v>4436</v>
      </c>
      <c r="M520" s="366" t="s">
        <v>4574</v>
      </c>
      <c r="N520" s="2568" cm="1">
        <f t="array" ref="N520">INDEX('5층_부하량'!I3:I3000,MATCH(1,("5-DaHall 1-PDU-21"='5층_부하량'!A3:A3000)*(2='5층_부하량'!B3:B3000),0))</f>
        <v>3.9047204021987341</v>
      </c>
      <c r="O520" s="395"/>
      <c r="P520" s="395"/>
      <c r="Q520" s="368"/>
      <c r="R520" s="372" t="s">
        <v>5562</v>
      </c>
      <c r="S520" s="373" t="s">
        <v>4149</v>
      </c>
      <c r="T520" s="1207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2" cm="1">
        <f t="array" ref="E521">INDEX('5층_부하량'!J3:J3000,MATCH(1,("5-DaHall 1-PDU-21"='5층_부하량'!A3:A3000)*(3='5층_부하량'!B3:B3000),0))</f>
        <v>6.5560803341852516</v>
      </c>
      <c r="F521" s="381"/>
      <c r="G521" s="377"/>
      <c r="H521" s="376" t="s">
        <v>4574</v>
      </c>
      <c r="I521" s="2350" t="s">
        <v>4156</v>
      </c>
      <c r="J521" s="1023"/>
      <c r="K521" s="1024"/>
      <c r="L521" s="582" t="s">
        <v>4438</v>
      </c>
      <c r="M521" s="376" t="s">
        <v>4574</v>
      </c>
      <c r="N521" s="381"/>
      <c r="O521" s="2562" cm="1">
        <f t="array" ref="O521">INDEX('5층_부하량'!J3:J3000,MATCH(1,("5-DaHall 1-PDU-21"='5층_부하량'!A3:A3000)*(4='5층_부하량'!B3:B3000),0))</f>
        <v>3.5720184176689393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9" cm="1">
        <f t="array" ref="F522">INDEX('5층_부하량'!K3:K3000,MATCH(1,("5-DaHall 1-PDU-21"='5층_부하량'!A3:A3000)*(5='5층_부하량'!B3:B3000),0))</f>
        <v>2.1205992204168971</v>
      </c>
      <c r="G522" s="381"/>
      <c r="H522" s="376" t="s">
        <v>4574</v>
      </c>
      <c r="I522" s="2350" t="s">
        <v>4161</v>
      </c>
      <c r="J522" s="1025"/>
      <c r="K522" s="1026"/>
      <c r="L522" s="583" t="s">
        <v>4441</v>
      </c>
      <c r="M522" s="1208" t="s">
        <v>5651</v>
      </c>
      <c r="N522" s="381"/>
      <c r="O522" s="381"/>
      <c r="P522" s="2569" cm="1">
        <f t="array" ref="P522">INDEX('5층_부하량'!K3:K3000,MATCH(1,("5-DaHall 1-PDU-21"='5층_부하량'!A3:A3000)*(6='5층_부하량'!B3:B3000),0))</f>
        <v>4.1487378864781936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9" cm="1">
        <f t="array" ref="D523">INDEX('5층_부하량'!I3:I3000,MATCH(1,("5-DaHall 1-PDU-21"='5층_부하량'!A3:A3000)*(7='5층_부하량'!B3:B3000),0))</f>
        <v>3.4639372167796401</v>
      </c>
      <c r="E523" s="381"/>
      <c r="F523" s="381"/>
      <c r="G523" s="381"/>
      <c r="H523" s="376" t="s">
        <v>4574</v>
      </c>
      <c r="I523" s="552" t="s">
        <v>4218</v>
      </c>
      <c r="J523" s="1025"/>
      <c r="K523" s="1026"/>
      <c r="L523" s="572" t="s">
        <v>4167</v>
      </c>
      <c r="M523" s="376" t="s">
        <v>4574</v>
      </c>
      <c r="N523" s="2569" cm="1">
        <f t="array" ref="N523">INDEX('5층_부하량'!I3:I3000,MATCH(1,("5-DaHall 1-PDU-21"='5층_부하량'!A3:A3000)*(8='5층_부하량'!B3:B3000),0))</f>
        <v>5.2111338520996844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2" cm="1">
        <f t="array" ref="E524">INDEX('5층_부하량'!J3:J3000,MATCH(1,("5-DaHall 1-PDU-21"='5층_부하량'!A3:A3000)*(9='5층_부하량'!B3:B3000),0))</f>
        <v>7.8704302006725904</v>
      </c>
      <c r="F524" s="381"/>
      <c r="G524" s="381"/>
      <c r="H524" s="376" t="s">
        <v>4574</v>
      </c>
      <c r="I524" s="552" t="s">
        <v>4221</v>
      </c>
      <c r="J524" s="1025"/>
      <c r="K524" s="1026"/>
      <c r="L524" s="572" t="s">
        <v>4170</v>
      </c>
      <c r="M524" s="376" t="s">
        <v>4574</v>
      </c>
      <c r="N524" s="381"/>
      <c r="O524" s="2562" cm="1">
        <f t="array" ref="O524">INDEX('5층_부하량'!J3:J3000,MATCH(1,("5-DaHall 1-PDU-21"='5층_부하량'!A3:A3000)*(10='5층_부하량'!B3:B3000),0))</f>
        <v>6.8737702431370487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9" cm="1">
        <f t="array" ref="F525">INDEX('5층_부하량'!K3:K3000,MATCH(1,("5-DaHall 1-PDU-21"='5층_부하량'!A3:A3000)*(11='5층_부하량'!B3:B3000),0))</f>
        <v>4.0264839047567618</v>
      </c>
      <c r="G525" s="381"/>
      <c r="H525" s="376" t="s">
        <v>4574</v>
      </c>
      <c r="I525" s="552" t="s">
        <v>4226</v>
      </c>
      <c r="J525" s="1025"/>
      <c r="K525" s="1026"/>
      <c r="L525" s="572" t="s">
        <v>4173</v>
      </c>
      <c r="M525" s="1208" t="s">
        <v>5651</v>
      </c>
      <c r="N525" s="381"/>
      <c r="O525" s="381"/>
      <c r="P525" s="2569" cm="1">
        <f t="array" ref="P525">INDEX('5층_부하량'!K3:K3000,MATCH(1,("5-DaHall 1-PDU-21"='5층_부하량'!A3:A3000)*(12='5층_부하량'!B3:B3000),0))</f>
        <v>1.3316198228114824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9" cm="1">
        <f t="array" ref="D526">INDEX('5층_부하량'!I3:I3000,MATCH(1,("5-DaHall 1-PDU-21"='5층_부하량'!A3:A3000)*(13='5층_부하량'!B3:B3000),0))</f>
        <v>5.8356842109098555</v>
      </c>
      <c r="E526" s="381"/>
      <c r="F526" s="381"/>
      <c r="G526" s="381"/>
      <c r="H526" s="376" t="s">
        <v>4574</v>
      </c>
      <c r="I526" s="552" t="s">
        <v>4230</v>
      </c>
      <c r="J526" s="1025"/>
      <c r="K526" s="1026"/>
      <c r="L526" s="572" t="s">
        <v>4175</v>
      </c>
      <c r="M526" s="1208" t="s">
        <v>5651</v>
      </c>
      <c r="N526" s="2569" cm="1">
        <f t="array" ref="N526">INDEX('5층_부하량'!I3:I3000,MATCH(1,("5-DaHall 1-PDU-21"='5층_부하량'!A3:A3000)*(14='5층_부하량'!B3:B3000),0))</f>
        <v>1.9254681644784224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9" cm="1">
        <f t="array" ref="E527">INDEX('5층_부하량'!J3:J3000,MATCH(1,("5-DaHall 1-PDU-21"='5층_부하량'!A3:A3000)*(15='5층_부하량'!B3:B3000),0))</f>
        <v>3.2555944120830089</v>
      </c>
      <c r="F527" s="381"/>
      <c r="G527" s="381"/>
      <c r="H527" s="1208" t="s">
        <v>5651</v>
      </c>
      <c r="I527" s="552" t="s">
        <v>4234</v>
      </c>
      <c r="J527" s="1025"/>
      <c r="K527" s="1026"/>
      <c r="L527" s="572" t="s">
        <v>4177</v>
      </c>
      <c r="M527" s="376" t="s">
        <v>4574</v>
      </c>
      <c r="N527" s="381"/>
      <c r="O527" s="2569" cm="1">
        <f t="array" ref="O527">INDEX('5층_부하량'!J3:J3000,MATCH(1,("5-DaHall 1-PDU-21"='5층_부하량'!A3:A3000)*(16='5층_부하량'!B3:B3000),0))</f>
        <v>7.4419511587555496</v>
      </c>
      <c r="P527" s="381"/>
      <c r="Q527" s="381"/>
      <c r="R527" s="382" t="s">
        <v>5562</v>
      </c>
      <c r="S527" s="1206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9" cm="1">
        <f t="array" ref="F528">INDEX('5층_부하량'!K3:K3000,MATCH(1,("5-DaHall 1-PDU-21"='5층_부하량'!A3:A3000)*(17='5층_부하량'!B3:B3000),0))</f>
        <v>3.7153449476271865</v>
      </c>
      <c r="G528" s="381"/>
      <c r="H528" s="1209" t="s">
        <v>4150</v>
      </c>
      <c r="I528" s="552" t="s">
        <v>4238</v>
      </c>
      <c r="J528" s="1025"/>
      <c r="K528" s="1026"/>
      <c r="L528" s="572" t="s">
        <v>4179</v>
      </c>
      <c r="M528" s="376" t="s">
        <v>4574</v>
      </c>
      <c r="N528" s="381"/>
      <c r="O528" s="381"/>
      <c r="P528" s="2569" cm="1">
        <f t="array" ref="P528">INDEX('5층_부하량'!K3:K3000,MATCH(1,("5-DaHall 1-PDU-21"='5층_부하량'!A3:A3000)*(18='5층_부하량'!B3:B3000),0))</f>
        <v>4.8568388091272414</v>
      </c>
      <c r="Q528" s="381"/>
      <c r="R528" s="382" t="s">
        <v>5562</v>
      </c>
      <c r="S528" s="1206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9" cm="1">
        <f t="array" ref="D529">INDEX('5층_부하량'!I3:I3000,MATCH(1,("5-DaHall 1-PDU-21"='5층_부하량'!A3:A3000)*(19='5층_부하량'!B3:B3000),0))</f>
        <v>3.4919113922630758</v>
      </c>
      <c r="E529" s="381"/>
      <c r="F529" s="381"/>
      <c r="G529" s="381"/>
      <c r="H529" s="1209" t="s">
        <v>4150</v>
      </c>
      <c r="I529" s="552" t="s">
        <v>4243</v>
      </c>
      <c r="J529" s="1025"/>
      <c r="K529" s="1026"/>
      <c r="L529" s="572" t="s">
        <v>4183</v>
      </c>
      <c r="M529" s="376" t="s">
        <v>4574</v>
      </c>
      <c r="N529" s="2569" cm="1">
        <f t="array" ref="N529">INDEX('5층_부하량'!I3:I3000,MATCH(1,("5-DaHall 1-PDU-21"='5층_부하량'!A3:A3000)*(20='5층_부하량'!B3:B3000),0))</f>
        <v>7.3501291063185565</v>
      </c>
      <c r="O529" s="381"/>
      <c r="P529" s="381"/>
      <c r="Q529" s="381"/>
      <c r="R529" s="382" t="s">
        <v>5562</v>
      </c>
      <c r="S529" s="1206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6" t="s">
        <v>4296</v>
      </c>
      <c r="D530" s="381"/>
      <c r="E530" s="2562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50" t="s">
        <v>5667</v>
      </c>
      <c r="J530" s="1025"/>
      <c r="K530" s="1026"/>
      <c r="L530" s="583" t="s">
        <v>5668</v>
      </c>
      <c r="M530" s="376" t="s">
        <v>4574</v>
      </c>
      <c r="N530" s="381"/>
      <c r="O530" s="2562" cm="1">
        <f t="array" ref="O530">INDEX('5층_부하량'!J3:J3000,MATCH(1,("5-DaHall 1-PDU-21"='5층_부하량'!A3:A3000)*(22='5층_부하량'!B3:B3000),0))</f>
        <v>6.4607801709516597</v>
      </c>
      <c r="P530" s="381"/>
      <c r="Q530" s="381"/>
      <c r="R530" s="382" t="s">
        <v>5562</v>
      </c>
      <c r="S530" s="1206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70" cm="1">
        <f t="array" ref="F531">INDEX('5층_부하량'!K3:K3000,MATCH(1,("5-DaHall 1-PDU-21"='5층_부하량'!A3:A3000)*(23='5층_부하량'!B3:B3000),0))</f>
        <v>3.8098168336859324</v>
      </c>
      <c r="G531" s="427"/>
      <c r="H531" s="426" t="s">
        <v>4574</v>
      </c>
      <c r="I531" s="2351" t="s">
        <v>5670</v>
      </c>
      <c r="J531" s="1203"/>
      <c r="K531" s="1204"/>
      <c r="L531" s="1205" t="s">
        <v>5671</v>
      </c>
      <c r="M531" s="426" t="s">
        <v>4574</v>
      </c>
      <c r="N531" s="427"/>
      <c r="O531" s="427"/>
      <c r="P531" s="2570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3"/>
      <c r="M532" s="405" t="s">
        <v>5218</v>
      </c>
      <c r="N532" s="406">
        <f>SUM(D520:D531,N520:N531)</f>
        <v>37.720383172918915</v>
      </c>
      <c r="O532" s="406">
        <f>SUM(E520:E531,O520:O531)</f>
        <v>42.030624937454043</v>
      </c>
      <c r="P532" s="406">
        <f>SUM(F520:F531,P520:P531)</f>
        <v>24.009441424903699</v>
      </c>
    </row>
    <row r="533" spans="1:20" s="350" customFormat="1" ht="18.600000000000001" thickTop="1" thickBot="1">
      <c r="A533" s="349" t="s">
        <v>6540</v>
      </c>
      <c r="C533" s="3818" t="s">
        <v>5716</v>
      </c>
      <c r="D533" s="3818"/>
      <c r="E533" s="3818"/>
      <c r="F533" s="3818"/>
      <c r="G533" s="351"/>
      <c r="H533" s="352"/>
      <c r="I533" s="352"/>
      <c r="J533" s="3828" t="s">
        <v>4288</v>
      </c>
      <c r="K533" s="3829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4136</v>
      </c>
      <c r="N534" s="1342">
        <v>37</v>
      </c>
      <c r="O534" s="1343">
        <v>27.7</v>
      </c>
      <c r="P534" s="1344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8" cm="1">
        <f t="array" ref="D536">INDEX('5층_부하량'!I3:I3000,MATCH(1,("5-DaHall 1-PDU-22"='5층_부하량'!A3:A3000)*(1='5층_부하량'!B3:B3000),0))</f>
        <v>6.722259429909375</v>
      </c>
      <c r="E536" s="395"/>
      <c r="F536" s="395"/>
      <c r="G536" s="368"/>
      <c r="H536" s="2348" t="s">
        <v>4509</v>
      </c>
      <c r="I536" s="2349" t="s">
        <v>4151</v>
      </c>
      <c r="J536" s="1021"/>
      <c r="K536" s="1022"/>
      <c r="L536" s="581" t="s">
        <v>4436</v>
      </c>
      <c r="M536" s="366" t="s">
        <v>4574</v>
      </c>
      <c r="N536" s="2568" cm="1">
        <f t="array" ref="N536">INDEX('5층_부하량'!I3:I3000,MATCH(1,("5-DaHall 1-PDU-22"='5층_부하량'!A3:A3000)*(2='5층_부하량'!B3:B3000),0))</f>
        <v>3.820755326023284</v>
      </c>
      <c r="O536" s="395"/>
      <c r="P536" s="395"/>
      <c r="Q536" s="368"/>
      <c r="R536" s="372" t="s">
        <v>5562</v>
      </c>
      <c r="S536" s="373" t="s">
        <v>4149</v>
      </c>
      <c r="T536" s="1207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2" cm="1">
        <f t="array" ref="E537">INDEX('5층_부하량'!J3:J3000,MATCH(1,("5-DaHall 1-PDU-22"='5층_부하량'!A3:A3000)*(3='5층_부하량'!B3:B3000),0))</f>
        <v>6.663943386256646</v>
      </c>
      <c r="F537" s="381"/>
      <c r="G537" s="377"/>
      <c r="H537" s="376" t="s">
        <v>4574</v>
      </c>
      <c r="I537" s="2350" t="s">
        <v>4156</v>
      </c>
      <c r="J537" s="1023"/>
      <c r="K537" s="1024"/>
      <c r="L537" s="582" t="s">
        <v>4438</v>
      </c>
      <c r="M537" s="376" t="s">
        <v>4574</v>
      </c>
      <c r="N537" s="381"/>
      <c r="O537" s="2562" cm="1">
        <f t="array" ref="O537">INDEX('5층_부하량'!J3:J3000,MATCH(1,("5-DaHall 1-PDU-22"='5층_부하량'!A3:A3000)*(4='5층_부하량'!B3:B3000),0))</f>
        <v>3.4720886005017371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9" cm="1">
        <f t="array" ref="F538">INDEX('5층_부하량'!K3:K3000,MATCH(1,("5-DaHall 1-PDU-22"='5층_부하량'!A3:A3000)*(5='5층_부하량'!B3:B3000),0))</f>
        <v>2.0292675852677267</v>
      </c>
      <c r="G538" s="381"/>
      <c r="H538" s="376" t="s">
        <v>4574</v>
      </c>
      <c r="I538" s="2350" t="s">
        <v>4161</v>
      </c>
      <c r="J538" s="1025"/>
      <c r="K538" s="1026"/>
      <c r="L538" s="583" t="s">
        <v>4441</v>
      </c>
      <c r="M538" s="1208" t="s">
        <v>5651</v>
      </c>
      <c r="N538" s="381"/>
      <c r="O538" s="381"/>
      <c r="P538" s="2569" cm="1">
        <f t="array" ref="P538">INDEX('5층_부하량'!K3:K3000,MATCH(1,("5-DaHall 1-PDU-22"='5층_부하량'!A3:A3000)*(6='5층_부하량'!B3:B3000),0))</f>
        <v>2.2973448345415215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9" cm="1">
        <f t="array" ref="D539">INDEX('5층_부하량'!I3:I3000,MATCH(1,("5-DaHall 1-PDU-22"='5층_부하량'!A3:A3000)*(7='5층_부하량'!B3:B3000),0))</f>
        <v>3.345306329736085</v>
      </c>
      <c r="E539" s="381"/>
      <c r="F539" s="381"/>
      <c r="G539" s="381"/>
      <c r="H539" s="376" t="s">
        <v>4574</v>
      </c>
      <c r="I539" s="552" t="s">
        <v>4218</v>
      </c>
      <c r="J539" s="1025"/>
      <c r="K539" s="1026"/>
      <c r="L539" s="572" t="s">
        <v>4167</v>
      </c>
      <c r="M539" s="376" t="s">
        <v>4574</v>
      </c>
      <c r="N539" s="2569" cm="1">
        <f t="array" ref="N539">INDEX('5층_부하량'!I3:I3000,MATCH(1,("5-DaHall 1-PDU-22"='5층_부하량'!A3:A3000)*(8='5층_부하량'!B3:B3000),0))</f>
        <v>5.5707085408377974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2" cm="1">
        <f t="array" ref="E540">INDEX('5층_부하량'!J3:J3000,MATCH(1,("5-DaHall 1-PDU-22"='5층_부하량'!A3:A3000)*(9='5층_부하량'!B3:B3000),0))</f>
        <v>7.7327795610543895</v>
      </c>
      <c r="F540" s="381"/>
      <c r="G540" s="381"/>
      <c r="H540" s="376" t="s">
        <v>4574</v>
      </c>
      <c r="I540" s="552" t="s">
        <v>4221</v>
      </c>
      <c r="J540" s="1025"/>
      <c r="K540" s="1026"/>
      <c r="L540" s="572" t="s">
        <v>4170</v>
      </c>
      <c r="M540" s="376" t="s">
        <v>4574</v>
      </c>
      <c r="N540" s="381"/>
      <c r="O540" s="2562" cm="1">
        <f t="array" ref="O540">INDEX('5층_부하량'!J3:J3000,MATCH(1,("5-DaHall 1-PDU-22"='5층_부하량'!A3:A3000)*(10='5층_부하량'!B3:B3000),0))</f>
        <v>7.161755140217414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9" cm="1">
        <f t="array" ref="F541">INDEX('5층_부하량'!K3:K3000,MATCH(1,("5-DaHall 1-PDU-22"='5층_부하량'!A3:A3000)*(11='5층_부하량'!B3:B3000),0))</f>
        <v>4.2641556086153054</v>
      </c>
      <c r="G541" s="381"/>
      <c r="H541" s="376" t="s">
        <v>4574</v>
      </c>
      <c r="I541" s="552" t="s">
        <v>4226</v>
      </c>
      <c r="J541" s="1025"/>
      <c r="K541" s="1026"/>
      <c r="L541" s="572" t="s">
        <v>4173</v>
      </c>
      <c r="M541" s="1208" t="s">
        <v>5651</v>
      </c>
      <c r="N541" s="381"/>
      <c r="O541" s="381"/>
      <c r="P541" s="2569" cm="1">
        <f t="array" ref="P541">INDEX('5층_부하량'!K3:K3000,MATCH(1,("5-DaHall 1-PDU-22"='5층_부하량'!A3:A3000)*(12='5층_부하량'!B3:B3000),0))</f>
        <v>1.4059020614070135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9" cm="1">
        <f t="array" ref="D542">INDEX('5층_부하량'!I3:I3000,MATCH(1,("5-DaHall 1-PDU-22"='5층_부하량'!A3:A3000)*(13='5층_부하량'!B3:B3000),0))</f>
        <v>5.3669380981633426</v>
      </c>
      <c r="E542" s="381"/>
      <c r="F542" s="381"/>
      <c r="G542" s="381"/>
      <c r="H542" s="376" t="s">
        <v>4574</v>
      </c>
      <c r="I542" s="552" t="s">
        <v>4230</v>
      </c>
      <c r="J542" s="1025"/>
      <c r="K542" s="1026"/>
      <c r="L542" s="572" t="s">
        <v>4175</v>
      </c>
      <c r="M542" s="1208" t="s">
        <v>5651</v>
      </c>
      <c r="N542" s="2569" cm="1">
        <f t="array" ref="N542">INDEX('5층_부하량'!I3:I3000,MATCH(1,("5-DaHall 1-PDU-22"='5층_부하량'!A3:A3000)*(14='5층_부하량'!B3:B3000),0))</f>
        <v>1.954160264931279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9" cm="1">
        <f t="array" ref="E543">INDEX('5층_부하량'!J3:J3000,MATCH(1,("5-DaHall 1-PDU-22"='5층_부하량'!A3:A3000)*(15='5층_부하량'!B3:B3000),0))</f>
        <v>3.9881792067102722</v>
      </c>
      <c r="F543" s="381"/>
      <c r="G543" s="381"/>
      <c r="H543" s="1208" t="s">
        <v>5651</v>
      </c>
      <c r="I543" s="552" t="s">
        <v>4234</v>
      </c>
      <c r="J543" s="1025"/>
      <c r="K543" s="1026"/>
      <c r="L543" s="572" t="s">
        <v>4177</v>
      </c>
      <c r="M543" s="376" t="s">
        <v>4574</v>
      </c>
      <c r="N543" s="381"/>
      <c r="O543" s="2569" cm="1">
        <f t="array" ref="O543">INDEX('5층_부하량'!J3:J3000,MATCH(1,("5-DaHall 1-PDU-22"='5층_부하량'!A3:A3000)*(16='5층_부하량'!B3:B3000),0))</f>
        <v>7.7510477219042135</v>
      </c>
      <c r="P543" s="381"/>
      <c r="Q543" s="381"/>
      <c r="R543" s="382" t="s">
        <v>5562</v>
      </c>
      <c r="S543" s="1206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9" cm="1">
        <f t="array" ref="F544">INDEX('5층_부하량'!K3:K3000,MATCH(1,("5-DaHall 1-PDU-22"='5층_부하량'!A3:A3000)*(17='5층_부하량'!B3:B3000),0))</f>
        <v>3.7630907018988515</v>
      </c>
      <c r="G544" s="381"/>
      <c r="H544" s="1209" t="s">
        <v>4150</v>
      </c>
      <c r="I544" s="552" t="s">
        <v>4238</v>
      </c>
      <c r="J544" s="1025"/>
      <c r="K544" s="1026"/>
      <c r="L544" s="572" t="s">
        <v>4179</v>
      </c>
      <c r="M544" s="376" t="s">
        <v>4574</v>
      </c>
      <c r="N544" s="381"/>
      <c r="O544" s="381"/>
      <c r="P544" s="2569" cm="1">
        <f t="array" ref="P544">INDEX('5층_부하량'!K3:K3000,MATCH(1,("5-DaHall 1-PDU-22"='5층_부하량'!A3:A3000)*(18='5층_부하량'!B3:B3000),0))</f>
        <v>4.5989441594269689</v>
      </c>
      <c r="Q544" s="381"/>
      <c r="R544" s="382" t="s">
        <v>5562</v>
      </c>
      <c r="S544" s="1206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9" cm="1">
        <f t="array" ref="D545">INDEX('5층_부하량'!I3:I3000,MATCH(1,("5-DaHall 1-PDU-22"='5층_부하량'!A3:A3000)*(19='5층_부하량'!B3:B3000),0))</f>
        <v>3.9448050969699637</v>
      </c>
      <c r="E545" s="381"/>
      <c r="F545" s="381"/>
      <c r="G545" s="381"/>
      <c r="H545" s="1209" t="s">
        <v>4150</v>
      </c>
      <c r="I545" s="552" t="s">
        <v>4243</v>
      </c>
      <c r="J545" s="1025"/>
      <c r="K545" s="1026"/>
      <c r="L545" s="572" t="s">
        <v>4183</v>
      </c>
      <c r="M545" s="376" t="s">
        <v>4574</v>
      </c>
      <c r="N545" s="2569" cm="1">
        <f t="array" ref="N545">INDEX('5층_부하량'!I3:I3000,MATCH(1,("5-DaHall 1-PDU-22"='5층_부하량'!A3:A3000)*(20='5층_부하량'!B3:B3000),0))</f>
        <v>1.7462913681206482</v>
      </c>
      <c r="O545" s="381"/>
      <c r="P545" s="381"/>
      <c r="Q545" s="381"/>
      <c r="R545" s="382" t="s">
        <v>5562</v>
      </c>
      <c r="S545" s="1206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6" t="s">
        <v>4296</v>
      </c>
      <c r="D546" s="381"/>
      <c r="E546" s="2562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50" t="s">
        <v>5667</v>
      </c>
      <c r="J546" s="1025"/>
      <c r="K546" s="1026"/>
      <c r="L546" s="583" t="s">
        <v>5668</v>
      </c>
      <c r="M546" s="376" t="s">
        <v>4574</v>
      </c>
      <c r="N546" s="381"/>
      <c r="O546" s="2562" cm="1">
        <f t="array" ref="O546">INDEX('5층_부하량'!J3:J3000,MATCH(1,("5-DaHall 1-PDU-22"='5층_부하량'!A3:A3000)*(22='5층_부하량'!B3:B3000),0))</f>
        <v>0.71106150936598322</v>
      </c>
      <c r="P546" s="381"/>
      <c r="Q546" s="381"/>
      <c r="R546" s="382" t="s">
        <v>5562</v>
      </c>
      <c r="S546" s="1206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70" cm="1">
        <f t="array" ref="F547">INDEX('5층_부하량'!K3:K3000,MATCH(1,("5-DaHall 1-PDU-22"='5층_부하량'!A3:A3000)*(23='5층_부하량'!B3:B3000),0))</f>
        <v>4.8647167611087996</v>
      </c>
      <c r="G547" s="427"/>
      <c r="H547" s="426" t="s">
        <v>4574</v>
      </c>
      <c r="I547" s="2351" t="s">
        <v>5670</v>
      </c>
      <c r="J547" s="1203"/>
      <c r="K547" s="1204"/>
      <c r="L547" s="1205" t="s">
        <v>5671</v>
      </c>
      <c r="M547" s="426" t="s">
        <v>4574</v>
      </c>
      <c r="N547" s="427"/>
      <c r="O547" s="427"/>
      <c r="P547" s="2570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3"/>
      <c r="M548" s="405" t="s">
        <v>5218</v>
      </c>
      <c r="N548" s="406">
        <f>SUM(D536:D547,N536:N547)</f>
        <v>32.471224454691779</v>
      </c>
      <c r="O548" s="406">
        <f>SUM(E536:E547,O536:O547)</f>
        <v>37.48085512601066</v>
      </c>
      <c r="P548" s="406">
        <f>SUM(F536:F547,P536:P547)</f>
        <v>23.223421712266187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3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8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52" t="s">
        <v>5740</v>
      </c>
      <c r="I552" s="2353" t="s">
        <v>5741</v>
      </c>
      <c r="J552" s="369" t="s">
        <v>5742</v>
      </c>
      <c r="K552" s="370" t="s">
        <v>3917</v>
      </c>
      <c r="L552" s="581" t="s">
        <v>4444</v>
      </c>
      <c r="M552" s="2348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54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50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51" t="s">
        <v>5751</v>
      </c>
      <c r="J554" s="443" t="s">
        <v>5747</v>
      </c>
      <c r="K554" s="435" t="s">
        <v>5747</v>
      </c>
      <c r="L554" s="1205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3"/>
    </row>
    <row r="556" spans="1:20" s="350" customFormat="1" ht="17.399999999999999">
      <c r="D556" s="350" t="s">
        <v>4542</v>
      </c>
      <c r="E556" s="350" t="s">
        <v>5754</v>
      </c>
      <c r="L556" s="2343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531.76036075208322</v>
      </c>
      <c r="E557" s="449">
        <f t="shared" ref="E557:E564" si="0">D557/$D$564</f>
        <v>0.52841610418483265</v>
      </c>
      <c r="L557" s="2343"/>
      <c r="M557" s="350" t="s">
        <v>6461</v>
      </c>
      <c r="N557" s="406">
        <f>N53</f>
        <v>35.505193970155212</v>
      </c>
      <c r="O557" s="406">
        <f t="shared" ref="O557:P557" si="1">O53</f>
        <v>37.198082511989341</v>
      </c>
      <c r="P557" s="406">
        <f t="shared" si="1"/>
        <v>28.766294648631153</v>
      </c>
    </row>
    <row r="558" spans="1:20" s="350" customFormat="1" ht="17.399999999999999">
      <c r="A558" s="450"/>
      <c r="B558" s="2355" t="s">
        <v>3509</v>
      </c>
      <c r="D558" s="406">
        <f>SUM(N356:P356,N415:P415,D356:F356,D415:F415,D425:F425)</f>
        <v>44.01141576107166</v>
      </c>
      <c r="E558" s="449">
        <f t="shared" si="0"/>
        <v>4.3734626671368189E-2</v>
      </c>
      <c r="L558" s="2343"/>
      <c r="M558" s="350" t="s">
        <v>6462</v>
      </c>
      <c r="N558" s="406">
        <f>N83</f>
        <v>34.439477950444072</v>
      </c>
      <c r="O558" s="406">
        <f t="shared" ref="O558:P558" si="2">O83</f>
        <v>34.78089741946517</v>
      </c>
      <c r="P558" s="406">
        <f t="shared" si="2"/>
        <v>27.256494707945343</v>
      </c>
    </row>
    <row r="559" spans="1:20" s="350" customFormat="1" ht="17.399999999999999">
      <c r="A559" s="450"/>
      <c r="B559" s="2355" t="s">
        <v>5756</v>
      </c>
      <c r="D559" s="406">
        <f>SUM(D553:F554,N553:P554)</f>
        <v>0</v>
      </c>
      <c r="E559" s="449">
        <f t="shared" si="0"/>
        <v>0</v>
      </c>
      <c r="L559" s="2343"/>
      <c r="M559" s="350" t="s">
        <v>6463</v>
      </c>
      <c r="N559" s="406">
        <f>N113</f>
        <v>27.877528527329719</v>
      </c>
      <c r="O559" s="406">
        <f t="shared" ref="O559:P559" si="3">O113</f>
        <v>18.845998262554676</v>
      </c>
      <c r="P559" s="406">
        <f t="shared" si="3"/>
        <v>14.893025224657158</v>
      </c>
    </row>
    <row r="560" spans="1:20" s="350" customFormat="1" ht="17.399999999999999">
      <c r="A560" s="450"/>
      <c r="B560" s="2355" t="s">
        <v>5757</v>
      </c>
      <c r="D560" s="989">
        <f>SUM(N463:P463)</f>
        <v>15.250100703379672</v>
      </c>
      <c r="E560" s="990">
        <f t="shared" si="0"/>
        <v>1.515419237099405E-2</v>
      </c>
      <c r="L560" s="2343"/>
      <c r="M560" s="350" t="s">
        <v>6464</v>
      </c>
      <c r="N560" s="406">
        <f>N143</f>
        <v>25.337111533524652</v>
      </c>
      <c r="O560" s="406">
        <f t="shared" ref="O560:P560" si="4">O143</f>
        <v>16.256057609168984</v>
      </c>
      <c r="P560" s="406">
        <f t="shared" si="4"/>
        <v>14.673122552911797</v>
      </c>
    </row>
    <row r="561" spans="1:17" s="350" customFormat="1" ht="17.399999999999999">
      <c r="A561" s="450"/>
      <c r="B561" s="2355" t="s">
        <v>5758</v>
      </c>
      <c r="D561" s="989">
        <f>SUM(N484:P484)</f>
        <v>11.176248294456569</v>
      </c>
      <c r="E561" s="990">
        <f t="shared" si="0"/>
        <v>1.1105960539831351E-2</v>
      </c>
      <c r="F561" s="2356" t="s">
        <v>5759</v>
      </c>
      <c r="G561" s="991">
        <f>SUM(E560:E561)</f>
        <v>2.6260152910825403E-2</v>
      </c>
      <c r="H561" s="406"/>
      <c r="L561" s="2343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5" t="s">
        <v>5760</v>
      </c>
      <c r="D562" s="989">
        <f>SUM(D362:F362,D367:F367,D370:F370,D421:F424,D426:F429,N426:P426,N429:P429)</f>
        <v>15.09869978182401</v>
      </c>
      <c r="E562" s="990">
        <f t="shared" si="0"/>
        <v>1.5003743614292277E-2</v>
      </c>
      <c r="F562" s="2356"/>
      <c r="G562" s="991"/>
      <c r="L562" s="2343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5761</v>
      </c>
      <c r="C563" s="1211"/>
      <c r="D563" s="1212">
        <f>SUM(N500:P500,N516:P516,N532:P532,N548:P548)</f>
        <v>389.03200636232452</v>
      </c>
      <c r="E563" s="1213">
        <f t="shared" si="0"/>
        <v>0.38658537261868148</v>
      </c>
      <c r="F563" s="2343"/>
      <c r="L563" s="2343"/>
      <c r="M563" s="350" t="s">
        <v>6467</v>
      </c>
      <c r="N563" s="406">
        <f>N244</f>
        <v>8.7316777684710747</v>
      </c>
      <c r="O563" s="406">
        <f t="shared" ref="O563:P563" si="7">O244</f>
        <v>1.2904128077737169</v>
      </c>
      <c r="P563" s="406">
        <f t="shared" si="7"/>
        <v>0.77584276397951135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1006.3288316551397</v>
      </c>
      <c r="E564" s="451">
        <f t="shared" si="0"/>
        <v>1</v>
      </c>
      <c r="J564" s="406"/>
      <c r="L564" s="2343"/>
      <c r="M564" s="350" t="s">
        <v>6468</v>
      </c>
      <c r="N564" s="406">
        <f>N289</f>
        <v>6.559253847207982</v>
      </c>
      <c r="O564" s="406">
        <f t="shared" ref="O564:P564" si="8">O289</f>
        <v>1.3953580245916024</v>
      </c>
      <c r="P564" s="406">
        <f t="shared" si="8"/>
        <v>1.3557560528233588</v>
      </c>
    </row>
    <row r="565" spans="1:17" s="350" customFormat="1" ht="17.399999999999999">
      <c r="D565" s="406"/>
      <c r="E565" s="406"/>
      <c r="L565" s="2343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3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3"/>
      <c r="M567" s="350" t="s">
        <v>6471</v>
      </c>
      <c r="N567" s="406">
        <f>N332</f>
        <v>15.75087558901512</v>
      </c>
      <c r="O567" s="406">
        <f t="shared" ref="O567:P567" si="11">O332</f>
        <v>9.9686892375029181</v>
      </c>
      <c r="P567" s="406">
        <f t="shared" si="11"/>
        <v>10.377629004385993</v>
      </c>
    </row>
    <row r="568" spans="1:17" s="350" customFormat="1" ht="18" thickBot="1">
      <c r="L568" s="2343"/>
      <c r="M568" s="350" t="s">
        <v>6472</v>
      </c>
      <c r="N568" s="406">
        <f>N391</f>
        <v>21.319101169564338</v>
      </c>
      <c r="O568" s="406">
        <f t="shared" ref="O568:P568" si="12">O391</f>
        <v>13.563082553920994</v>
      </c>
      <c r="P568" s="406">
        <f t="shared" si="12"/>
        <v>14.376069982140903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6473</v>
      </c>
      <c r="N569" s="406">
        <f>N352</f>
        <v>12.69858179558933</v>
      </c>
      <c r="O569" s="406">
        <f t="shared" ref="O569:P569" si="13">O352</f>
        <v>18.750456660691103</v>
      </c>
      <c r="P569" s="406">
        <f t="shared" si="13"/>
        <v>14.551463770170804</v>
      </c>
    </row>
    <row r="570" spans="1:17" s="350" customFormat="1" ht="17.399999999999999">
      <c r="B570" s="3826" t="s">
        <v>5746</v>
      </c>
      <c r="C570" s="3827"/>
      <c r="J570" s="455"/>
      <c r="L570" s="2343"/>
      <c r="M570" s="350" t="s">
        <v>5964</v>
      </c>
      <c r="N570" s="406">
        <f>N411</f>
        <v>13.694182630066958</v>
      </c>
      <c r="O570" s="406">
        <f t="shared" ref="O570:P570" si="14">O411</f>
        <v>11.348622819695924</v>
      </c>
      <c r="P570" s="406">
        <f t="shared" si="14"/>
        <v>7.4893890231912703</v>
      </c>
    </row>
    <row r="571" spans="1:17" s="350" customFormat="1" ht="18" thickBot="1">
      <c r="B571" s="456"/>
      <c r="C571" s="457"/>
      <c r="J571" s="455"/>
      <c r="L571" s="2343"/>
      <c r="M571" s="350" t="s">
        <v>5966</v>
      </c>
      <c r="N571" s="406">
        <f>N371</f>
        <v>19.764022895952483</v>
      </c>
      <c r="O571" s="406">
        <f t="shared" ref="O571:P571" si="15">O371</f>
        <v>13.271266514169007</v>
      </c>
      <c r="P571" s="406">
        <f t="shared" si="15"/>
        <v>14.906980370431219</v>
      </c>
    </row>
    <row r="572" spans="1:17" s="350" customFormat="1" ht="17.399999999999999">
      <c r="B572" s="458"/>
      <c r="J572" s="455"/>
      <c r="L572" s="2343"/>
      <c r="M572" s="350" t="s">
        <v>5968</v>
      </c>
      <c r="N572" s="406">
        <f>N430</f>
        <v>21.103973632501358</v>
      </c>
      <c r="O572" s="406">
        <f t="shared" ref="O572:P572" si="16">O430</f>
        <v>12.459788429442215</v>
      </c>
      <c r="P572" s="406">
        <f t="shared" si="16"/>
        <v>16.300081044530806</v>
      </c>
    </row>
    <row r="573" spans="1:17" s="350" customFormat="1" ht="17.399999999999999">
      <c r="B573" s="458"/>
      <c r="E573" s="459"/>
      <c r="J573" s="455"/>
      <c r="L573" s="2343"/>
      <c r="M573" s="350" t="s">
        <v>6474</v>
      </c>
      <c r="N573" s="406">
        <f>N463</f>
        <v>5.6397728027371565</v>
      </c>
      <c r="O573" s="406">
        <f t="shared" ref="O573:P573" si="17">O463</f>
        <v>7.2016442155659446</v>
      </c>
      <c r="P573" s="406">
        <f t="shared" si="17"/>
        <v>2.4086836850765714</v>
      </c>
      <c r="Q573" s="406">
        <f>SUM(N573:P573)</f>
        <v>15.250100703379672</v>
      </c>
    </row>
    <row r="574" spans="1:17" s="350" customFormat="1" ht="17.399999999999999">
      <c r="B574" s="458"/>
      <c r="E574" s="460"/>
      <c r="J574" s="455"/>
      <c r="L574" s="2343"/>
      <c r="M574" s="350" t="s">
        <v>6475</v>
      </c>
      <c r="N574" s="406">
        <f>N484</f>
        <v>4.7941017922856233</v>
      </c>
      <c r="O574" s="406">
        <f t="shared" ref="O574:P574" si="18">O484</f>
        <v>4.9879789532333083</v>
      </c>
      <c r="P574" s="406">
        <f t="shared" si="18"/>
        <v>1.3941675489376364</v>
      </c>
      <c r="Q574" s="406">
        <f>SUM(N574:P574)</f>
        <v>11.176248294456569</v>
      </c>
    </row>
    <row r="575" spans="1:17" s="350" customFormat="1" ht="17.399999999999999">
      <c r="B575" s="458"/>
      <c r="E575" s="460"/>
      <c r="J575" s="455"/>
      <c r="L575" s="2343"/>
      <c r="M575" s="350" t="s">
        <v>6476</v>
      </c>
      <c r="N575" s="406">
        <f>N500</f>
        <v>36.815336624530218</v>
      </c>
      <c r="O575" s="406">
        <f t="shared" ref="O575:P575" si="19">O500</f>
        <v>40.090528111157312</v>
      </c>
      <c r="P575" s="406">
        <f t="shared" si="19"/>
        <v>24.758184847982164</v>
      </c>
    </row>
    <row r="576" spans="1:17" s="350" customFormat="1" ht="17.399999999999999">
      <c r="B576" s="458"/>
      <c r="E576" s="461" t="s">
        <v>5763</v>
      </c>
      <c r="J576" s="455"/>
      <c r="L576" s="2343"/>
      <c r="M576" s="350" t="s">
        <v>6477</v>
      </c>
      <c r="N576" s="406">
        <f>N516</f>
        <v>32.723322063245661</v>
      </c>
      <c r="O576" s="406">
        <f t="shared" ref="O576:P576" si="20">O516</f>
        <v>34.363184655049871</v>
      </c>
      <c r="P576" s="406">
        <f t="shared" si="20"/>
        <v>23.345499232113976</v>
      </c>
    </row>
    <row r="577" spans="2:18" s="350" customFormat="1" ht="17.399999999999999">
      <c r="B577" s="458"/>
      <c r="E577" s="460"/>
      <c r="J577" s="455"/>
      <c r="L577" s="2343"/>
      <c r="M577" s="350" t="s">
        <v>6478</v>
      </c>
      <c r="N577" s="406">
        <f>N532</f>
        <v>37.720383172918915</v>
      </c>
      <c r="O577" s="406">
        <f t="shared" ref="O577:P577" si="21">O532</f>
        <v>42.030624937454043</v>
      </c>
      <c r="P577" s="406">
        <f t="shared" si="21"/>
        <v>24.009441424903699</v>
      </c>
    </row>
    <row r="578" spans="2:18" s="350" customFormat="1" ht="17.399999999999999">
      <c r="B578" s="458"/>
      <c r="E578" s="460"/>
      <c r="J578" s="455"/>
      <c r="L578" s="2343"/>
      <c r="M578" s="350" t="s">
        <v>6479</v>
      </c>
      <c r="N578" s="406">
        <f>N548</f>
        <v>32.471224454691779</v>
      </c>
      <c r="O578" s="406">
        <f t="shared" ref="O578:P578" si="22">O548</f>
        <v>37.48085512601066</v>
      </c>
      <c r="P578" s="406">
        <f t="shared" si="22"/>
        <v>23.223421712266187</v>
      </c>
      <c r="R578" s="406">
        <f>SUM(N575:P578)</f>
        <v>389.03200636232452</v>
      </c>
    </row>
    <row r="579" spans="2:18" s="350" customFormat="1" ht="18" thickBot="1">
      <c r="B579" s="458"/>
      <c r="E579" s="462" t="s">
        <v>5764</v>
      </c>
      <c r="J579" s="455"/>
      <c r="L579" s="2343"/>
      <c r="N579" s="406">
        <f>SUM(N557:N578)</f>
        <v>392.94512222023161</v>
      </c>
      <c r="O579" s="406">
        <f t="shared" ref="O579:P579" si="23">SUM(O557:O578)</f>
        <v>355.28352884943678</v>
      </c>
      <c r="P579" s="406">
        <f t="shared" si="23"/>
        <v>264.86154759707955</v>
      </c>
      <c r="Q579" s="406">
        <f>SUM(N579:P579)</f>
        <v>1013.0901986667479</v>
      </c>
    </row>
    <row r="580" spans="2:18" s="350" customFormat="1" ht="17.399999999999999">
      <c r="B580" s="458"/>
      <c r="J580" s="455"/>
      <c r="L580" s="2343"/>
      <c r="Q580" s="406">
        <f>SUM(D553:F554)+SUM(N553:P554)</f>
        <v>0</v>
      </c>
    </row>
    <row r="581" spans="2:18" s="350" customFormat="1" ht="18" thickBot="1">
      <c r="B581" s="458"/>
      <c r="J581" s="455"/>
      <c r="L581" s="2343"/>
      <c r="Q581" s="406">
        <f>SUM(Q579:Q580)</f>
        <v>1013.0901986667479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>
      <c r="B583" s="458"/>
      <c r="F583" s="3826" t="s">
        <v>5765</v>
      </c>
      <c r="G583" s="3827"/>
      <c r="H583" s="464" t="s">
        <v>5766</v>
      </c>
      <c r="I583" s="464"/>
      <c r="J583" s="464" t="s">
        <v>5767</v>
      </c>
      <c r="L583" s="2343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>
      <c r="L586" s="2343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4" t="s">
        <v>9312</v>
      </c>
    </row>
    <row r="2" spans="1:22" ht="15" thickBot="1">
      <c r="V2" s="2071"/>
    </row>
    <row r="3" spans="1:22" ht="18.600000000000001" thickTop="1" thickBot="1">
      <c r="A3" s="2" t="s">
        <v>6506</v>
      </c>
      <c r="D3" s="3819" t="s">
        <v>5769</v>
      </c>
      <c r="E3" s="3825"/>
      <c r="F3" s="123"/>
      <c r="G3" s="3818" t="s">
        <v>5770</v>
      </c>
      <c r="H3" s="3818"/>
      <c r="I3" s="3818"/>
      <c r="K3" s="2" t="s">
        <v>6507</v>
      </c>
      <c r="N3" s="3819" t="s">
        <v>5769</v>
      </c>
      <c r="O3" s="3825"/>
      <c r="P3" s="123"/>
      <c r="Q3" s="3818" t="s">
        <v>5772</v>
      </c>
      <c r="R3" s="3818"/>
      <c r="S3" s="3818"/>
    </row>
    <row r="4" spans="1:22" ht="18" thickTop="1" thickBot="1">
      <c r="A4" s="3"/>
      <c r="C4" s="1347" t="s">
        <v>4136</v>
      </c>
      <c r="D4" s="1348">
        <v>73.5</v>
      </c>
      <c r="E4" s="1349">
        <v>46</v>
      </c>
      <c r="F4" s="1350">
        <v>65.400000000000006</v>
      </c>
      <c r="G4" s="1351" t="s">
        <v>4137</v>
      </c>
      <c r="H4" s="132"/>
      <c r="I4" s="127"/>
      <c r="J4" s="522"/>
      <c r="K4" s="3"/>
      <c r="M4" s="1347" t="s">
        <v>4136</v>
      </c>
      <c r="N4" s="1348">
        <v>70.2</v>
      </c>
      <c r="O4" s="1349">
        <v>42.2</v>
      </c>
      <c r="P4" s="1350">
        <v>22.5</v>
      </c>
      <c r="Q4" s="1351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9" cm="1">
        <f t="array" ref="D6">INDEX('4층_부하량'!C3:C3000,MATCH(1,("4-DaHall 1-PDU-02"='4층_부하량'!A3:A3000)*(1='4층_부하량'!B3:B3000),0))</f>
        <v>0.64</v>
      </c>
      <c r="E6" s="2559" cm="1">
        <f t="array" ref="E6">INDEX('4층_부하량'!D3:D3000,MATCH(1,("4-DaHall 1-PDU-02"='4층_부하량'!A3:A3000)*(1='4층_부하량'!B3:B3000),0))</f>
        <v>0.55000000000000004</v>
      </c>
      <c r="F6" s="2559" cm="1">
        <f t="array" ref="F6">INDEX('4층_부하량'!E3:E3000,MATCH(1,("4-DaHall 1-PDU-02"='4층_부하량'!A3:A3000)*(1='4층_부하량'!B3:B3000),0))</f>
        <v>0.79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9" cm="1">
        <f t="array" ref="N6">INDEX('4층_부하량'!C3:C3000,MATCH(1,("4-DaHall 1-PDU-04"='4층_부하량'!A3:A3000)*(1='4층_부하량'!B3:B3000),0))</f>
        <v>0</v>
      </c>
      <c r="O6" s="2559" cm="1">
        <f t="array" ref="O6">INDEX('4층_부하량'!D3:D3000,MATCH(1,("4-DaHall 1-PDU-04"='4층_부하량'!A3:A3000)*(1='4층_부하량'!B3:B3000),0))</f>
        <v>0</v>
      </c>
      <c r="P6" s="2559" cm="1">
        <f t="array" ref="P6">INDEX('4층_부하량'!E3:E3000,MATCH(1,("4-DaHall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60" cm="1">
        <f t="array" ref="D7">INDEX('4층_부하량'!C3:C3000,MATCH(1,("4-DaHall 1-PDU-02"='4층_부하량'!A3:A3000)*(2='4층_부하량'!B3:B3000),0))</f>
        <v>34.76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60" cm="1">
        <f t="array" ref="N7">INDEX('4층_부하량'!C3:C3000,MATCH(1,("4-DaHall 1-PDU-04"='4층_부하량'!A3:A3000)*(2='4층_부하량'!B3:B3000),0))</f>
        <v>38.53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2" cm="1">
        <f t="array" ref="E8">INDEX('4층_부하량'!D3:D3000,MATCH(1,("4-DaHall 1-PDU-02"='4층_부하량'!A3:A3000)*(3='4층_부하량'!B3:B3000),0))</f>
        <v>32.01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2" cm="1">
        <f t="array" ref="O8">INDEX('4층_부하량'!D3:D3000,MATCH(1,("4-DaHall 1-PDU-04"='4층_부하량'!A3:A3000)*(3='4층_부하량'!B3:B3000),0))</f>
        <v>27.68</v>
      </c>
      <c r="P8" s="21"/>
      <c r="Q8" s="2585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2" cm="1">
        <f t="array" ref="F9">INDEX('4층_부하량'!E3:E3000,MATCH(1,("4-DaHall 1-PDU-02"='4층_부하량'!A3:A3000)*(4='4층_부하량'!B3:B3000),0))</f>
        <v>35.26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2" cm="1">
        <f t="array" ref="P9">INDEX('4층_부하량'!E3:E3000,MATCH(1,("4-DaHall 1-PDU-04"='4층_부하량'!A3:A3000)*(4='4층_부하량'!B3:B3000),0))</f>
        <v>0</v>
      </c>
      <c r="Q9" s="2585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3" cm="1">
        <f t="array" ref="D10">INDEX('4층_부하량'!C3:C3000,MATCH(1,("4-DaHall 1-PDU-02"='4층_부하량'!A3:A3000)*(5='4층_부하량'!B3:B3000),0))</f>
        <v>35.630000000000003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3" cm="1">
        <f t="array" ref="N10">INDEX('4층_부하량'!C3:C3000,MATCH(1,("4-DaHall 1-PDU-04"='4층_부하량'!A3:A3000)*(5='4층_부하량'!B3:B3000),0))</f>
        <v>9.6199999999999992</v>
      </c>
      <c r="O10" s="25"/>
      <c r="P10" s="25"/>
      <c r="Q10" s="2586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2" cm="1">
        <f t="array" ref="E11">INDEX('4층_부하량'!D3:D3000,MATCH(1,("4-DaHall 1-PDU-02"='4층_부하량'!A3:A3000)*(6='4층_부하량'!B3:B3000),0))</f>
        <v>11.52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2" cm="1">
        <f t="array" ref="O11">INDEX('4층_부하량'!D3:D3000,MATCH(1,("4-DaHall 1-PDU-04"='4층_부하량'!A3:A3000)*(6='4층_부하량'!B3:B3000),0))</f>
        <v>13.73</v>
      </c>
      <c r="P11" s="21"/>
      <c r="Q11" s="2585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3" cm="1">
        <f t="array" ref="F12">INDEX('4층_부하량'!E3:E3000,MATCH(1,("4-DaHall 1-PDU-02"='4층_부하량'!A3:A3000)*(7='4층_부하량'!B3:B3000),0))</f>
        <v>28.35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3" cm="1">
        <f t="array" ref="P12">INDEX('4층_부하량'!E3:E3000,MATCH(1,("4-DaHall 1-PDU-04"='4층_부하량'!A3:A3000)*(7='4층_부하량'!B3:B3000),0))</f>
        <v>20.64</v>
      </c>
      <c r="Q12" s="2586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2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2" cm="1">
        <f t="array" ref="N13">INDEX('4층_부하량'!C3:C3000,MATCH(1,("4-DaHall 1-PDU-04"='4층_부하량'!A3:A3000)*(8='4층_부하량'!B3:B3000),0))</f>
        <v>21.17</v>
      </c>
      <c r="O13" s="21"/>
      <c r="P13" s="21"/>
      <c r="Q13" s="2585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4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4" cm="1">
        <f t="array" ref="O14">INDEX('4층_부하량'!D3:D3000,MATCH(1,("4-DaHall 1-PDU-04"='4층_부하량'!A3:A3000)*(9='4층_부하량'!B3:B3000),0))</f>
        <v>0</v>
      </c>
      <c r="P14" s="30"/>
      <c r="Q14" s="2587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71.03</v>
      </c>
      <c r="E15" s="33">
        <f>SUM(E6:E14)</f>
        <v>44.08</v>
      </c>
      <c r="F15" s="33">
        <f>SUM(F6:F14)</f>
        <v>64.400000000000006</v>
      </c>
      <c r="M15" s="32" t="s">
        <v>5218</v>
      </c>
      <c r="N15" s="33">
        <f>SUM(N6:N14)</f>
        <v>69.319999999999993</v>
      </c>
      <c r="O15" s="33">
        <f>SUM(O6:O14)</f>
        <v>41.41</v>
      </c>
      <c r="P15" s="33">
        <f>SUM(P6:P14)</f>
        <v>20.64</v>
      </c>
    </row>
    <row r="16" spans="1:22" ht="18.600000000000001" thickTop="1" thickBot="1">
      <c r="A16" s="2" t="s">
        <v>6508</v>
      </c>
      <c r="D16" s="3819" t="s">
        <v>5769</v>
      </c>
      <c r="E16" s="3825"/>
      <c r="F16" s="123"/>
      <c r="G16" s="3818" t="s">
        <v>5792</v>
      </c>
      <c r="H16" s="3818"/>
      <c r="I16" s="3818"/>
      <c r="K16" s="636" t="s">
        <v>6509</v>
      </c>
      <c r="N16" s="3819" t="s">
        <v>5769</v>
      </c>
      <c r="O16" s="3825"/>
      <c r="P16" s="123"/>
      <c r="Q16" s="3818" t="s">
        <v>5794</v>
      </c>
      <c r="R16" s="3818"/>
      <c r="S16" s="3818"/>
    </row>
    <row r="17" spans="1:20" ht="18" thickTop="1" thickBot="1">
      <c r="A17" s="3"/>
      <c r="C17" s="1347" t="s">
        <v>4136</v>
      </c>
      <c r="D17" s="1348">
        <v>67</v>
      </c>
      <c r="E17" s="1349">
        <v>32.4</v>
      </c>
      <c r="F17" s="1350">
        <v>27</v>
      </c>
      <c r="G17" s="1351" t="s">
        <v>4137</v>
      </c>
      <c r="H17" s="132"/>
      <c r="I17" s="127"/>
      <c r="J17" s="522"/>
      <c r="K17" s="3"/>
      <c r="M17" s="1347" t="s">
        <v>4136</v>
      </c>
      <c r="N17" s="1348">
        <v>44.8</v>
      </c>
      <c r="O17" s="1349">
        <v>68.400000000000006</v>
      </c>
      <c r="P17" s="1350">
        <v>18</v>
      </c>
      <c r="Q17" s="1351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9" cm="1">
        <f t="array" ref="D19">INDEX('4층_부하량'!C3:C3000,MATCH(1,("4-DaHall 1-PDU-06"='4층_부하량'!A3:A3000)*(1='4층_부하량'!B3:B3000),0))</f>
        <v>9.89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9" cm="1">
        <f t="array" ref="N19">INDEX('4층_부하량'!C3:C3000,MATCH(1,("4-DaHall 1-PDU-08"='4층_부하량'!A3:A3000)*(1='4층_부하량'!B3:B3000),0))</f>
        <v>22.13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60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60" cm="1">
        <f t="array" ref="O20">INDEX('4층_부하량'!D3:D3000,MATCH(1,("4-DaHall 1-PDU-08"='4층_부하량'!A3:A3000)*(2='4층_부하량'!B3:B3000),0))</f>
        <v>32.65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2" cm="1">
        <f t="array" ref="F21">INDEX('4층_부하량'!E3:E3000,MATCH(1,("4-DaHall 1-PDU-06"='4층_부하량'!A3:A3000)*(3='4층_부하량'!B3:B3000),0))</f>
        <v>8.86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2" cm="1">
        <f t="array" ref="P21">INDEX('4층_부하량'!E3:E3000,MATCH(1,("4-DaHall 1-PDU-08"='4층_부하량'!A3:A3000)*(3='4층_부하량'!B3:B3000),0))</f>
        <v>5.29</v>
      </c>
      <c r="Q21" s="2585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2" cm="1">
        <f t="array" ref="D22">INDEX('4층_부하량'!C3:C3000,MATCH(1,("4-DaHall 1-PDU-06"='4층_부하량'!A3:A3000)*(4='4층_부하량'!B3:B3000),0))</f>
        <v>6.83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2" cm="1">
        <f t="array" ref="N22">INDEX('4층_부하량'!C3:C3000,MATCH(1,("4-DaHall 1-PDU-08"='4층_부하량'!A3:A3000)*(4='4층_부하량'!B3:B3000),0))</f>
        <v>9.2899999999999991</v>
      </c>
      <c r="O22" s="21"/>
      <c r="P22" s="21"/>
      <c r="Q22" s="2585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2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2" cm="1">
        <f t="array" ref="O23">INDEX('4층_부하량'!D3:D3000,MATCH(1,("4-DaHall 1-PDU-08"='4층_부하량'!A3:A3000)*(5='4층_부하량'!B3:B3000),0))</f>
        <v>7.34</v>
      </c>
      <c r="P23" s="25"/>
      <c r="Q23" s="2586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2" cm="1">
        <f t="array" ref="F24">INDEX('4층_부하량'!E3:E3000,MATCH(1,("4-DaHall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2" cm="1">
        <f t="array" ref="P24">INDEX('4층_부하량'!E3:E3000,MATCH(1,("4-DaHall 1-PDU-08"='4층_부하량'!A3:A3000)*(6='4층_부하량'!B3:B3000),0))</f>
        <v>10.72</v>
      </c>
      <c r="Q24" s="2585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3" cm="1">
        <f t="array" ref="D25">INDEX('4층_부하량'!C3:C3000,MATCH(1,("4-DaHall 1-PDU-06"='4층_부하량'!A3:A3000)*(7='4층_부하량'!B3:B3000),0))</f>
        <v>8.07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3" cm="1">
        <f t="array" ref="N25">INDEX('4층_부하량'!C3:C3000,MATCH(1,("4-DaHall 1-PDU-08"='4층_부하량'!A3:A3000)*(7='4층_부하량'!B3:B3000),0))</f>
        <v>12.97</v>
      </c>
      <c r="O25" s="25"/>
      <c r="P25" s="25"/>
      <c r="Q25" s="2586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2" cm="1">
        <f t="array" ref="E26">INDEX('4층_부하량'!D3:D3000,MATCH(1,("4-DaHall 1-PDU-06"='4층_부하량'!A3:A3000)*(8='4층_부하량'!B3:B3000),0))</f>
        <v>13.64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2" cm="1">
        <f t="array" ref="O26">INDEX('4층_부하량'!D3:D3000,MATCH(1,("4-DaHall 1-PDU-08"='4층_부하량'!A3:A3000)*(8='4층_부하량'!B3:B3000),0))</f>
        <v>24.34</v>
      </c>
      <c r="P26" s="21"/>
      <c r="Q26" s="2585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2" cm="1">
        <f t="array" ref="F27">INDEX('4층_부하량'!E3:E3000,MATCH(1,("4-DaHall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2" cm="1">
        <f t="array" ref="P27">INDEX('4층_부하량'!E3:E3000,MATCH(1,("4-DaHall 1-PDU-08"='4층_부하량'!A3:A3000)*(9='4층_부하량'!B3:B3000),0))</f>
        <v>0</v>
      </c>
      <c r="Q27" s="2585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2" cm="1">
        <f t="array" ref="D28">INDEX('4층_부하량'!C3:C3000,MATCH(1,("4-DaHall 1-PDU-06"='4층_부하량'!A3:A3000)*(10='4층_부하량'!B3:B3000),0))</f>
        <v>37.74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2" cm="1">
        <f t="array" ref="N28">INDEX('4층_부하량'!C3:C3000,MATCH(1,("4-DaHall 1-PDU-08"='4층_부하량'!A3:A3000)*(10='4층_부하량'!B3:B3000),0))</f>
        <v>0</v>
      </c>
      <c r="O28" s="21"/>
      <c r="P28" s="21"/>
      <c r="Q28" s="2585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2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2" cm="1">
        <f t="array" ref="O29">INDEX('4층_부하량'!D3:D3000,MATCH(1,("4-DaHall 1-PDU-08"='4층_부하량'!A3:A3000)*(11='4층_부하량'!B3:B3000),0))</f>
        <v>0</v>
      </c>
      <c r="P29" s="21"/>
      <c r="Q29" s="2585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61" cm="1">
        <f t="array" ref="F30">INDEX('4층_부하량'!E3:E3000,MATCH(1,("4-DaHall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61" cm="1">
        <f t="array" ref="P30">INDEX('4층_부하량'!E3:E3000,MATCH(1,("4-DaHall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62.53</v>
      </c>
      <c r="E31" s="33">
        <f>SUM(E19:E30)</f>
        <v>13.64</v>
      </c>
      <c r="F31" s="33">
        <f>SUM(F19:F30)</f>
        <v>8.86</v>
      </c>
      <c r="M31" s="32" t="s">
        <v>5218</v>
      </c>
      <c r="N31" s="33">
        <f>SUM(N19:N30)</f>
        <v>44.39</v>
      </c>
      <c r="O31" s="33">
        <f>SUM(O19:O30)</f>
        <v>64.33</v>
      </c>
      <c r="P31" s="33">
        <f>SUM(P19:P30)</f>
        <v>16.010000000000002</v>
      </c>
    </row>
    <row r="32" spans="1:20" ht="18.600000000000001" thickTop="1" thickBot="1">
      <c r="A32" s="2" t="s">
        <v>6510</v>
      </c>
      <c r="D32" s="3819" t="s">
        <v>5769</v>
      </c>
      <c r="E32" s="3825"/>
      <c r="F32" s="123"/>
      <c r="G32" s="3818" t="s">
        <v>5821</v>
      </c>
      <c r="H32" s="3818"/>
      <c r="I32" s="3818"/>
      <c r="K32" s="2" t="s">
        <v>6511</v>
      </c>
      <c r="N32" s="3819" t="s">
        <v>5769</v>
      </c>
      <c r="O32" s="3825"/>
      <c r="P32" s="123"/>
      <c r="Q32" s="3818" t="s">
        <v>5823</v>
      </c>
      <c r="R32" s="3818"/>
      <c r="S32" s="3818"/>
    </row>
    <row r="33" spans="1:20" ht="18" thickTop="1" thickBot="1">
      <c r="A33" s="3"/>
      <c r="C33" s="1347" t="s">
        <v>4136</v>
      </c>
      <c r="D33" s="1348">
        <v>46.5</v>
      </c>
      <c r="E33" s="1349">
        <v>43.9</v>
      </c>
      <c r="F33" s="1350">
        <v>43.5</v>
      </c>
      <c r="G33" s="1351" t="s">
        <v>4137</v>
      </c>
      <c r="H33" s="132"/>
      <c r="I33" s="127"/>
      <c r="J33" s="522"/>
      <c r="K33" s="3"/>
      <c r="M33" s="1347" t="s">
        <v>4136</v>
      </c>
      <c r="N33" s="1348">
        <v>77.599999999999994</v>
      </c>
      <c r="O33" s="1349">
        <v>59.1</v>
      </c>
      <c r="P33" s="1350">
        <v>50.5</v>
      </c>
      <c r="Q33" s="1351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9" cm="1">
        <f t="array" ref="D35">INDEX('4층_부하량'!C3:C3000,MATCH(1,("4-DaHall 1-PDU-10"='4층_부하량'!A3:A3000)*(1='4층_부하량'!B3:B3000),0))</f>
        <v>0</v>
      </c>
      <c r="E35" s="2559" cm="1">
        <f t="array" ref="E35">INDEX('4층_부하량'!D3:D3000,MATCH(1,("4-DaHall 1-PDU-10"='4층_부하량'!A3:A3000)*(1='4층_부하량'!B3:B3000),0))</f>
        <v>0</v>
      </c>
      <c r="F35" s="2559" cm="1">
        <f t="array" ref="F35">INDEX('4층_부하량'!E3:E3000,MATCH(1,("4-DaHall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9" cm="1">
        <f t="array" ref="N35">INDEX('4층_부하량'!C3:C3000,MATCH(1,("4-DaHall 1-PDU-01"='4층_부하량'!A3:A3000)*(1='4층_부하량'!B3:B3000),0))</f>
        <v>1.25</v>
      </c>
      <c r="O35" s="2559" cm="1">
        <f t="array" ref="O35">INDEX('4층_부하량'!D3:D3000,MATCH(1,("4-DaHall 1-PDU-01"='4층_부하량'!A3:A3000)*(1='4층_부하량'!B3:B3000),0))</f>
        <v>1</v>
      </c>
      <c r="P35" s="2559" cm="1">
        <f t="array" ref="P35">INDEX('4층_부하량'!E3:E3000,MATCH(1,("4-DaHall 1-PDU-01"='4층_부하량'!A3:A3000)*(1='4층_부하량'!B3:B3000),0))</f>
        <v>1.45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60" cm="1">
        <f t="array" ref="D36">INDEX('4층_부하량'!C3:C3000,MATCH(1,("4-DaHall 1-PDU-10"='4층_부하량'!A3:A3000)*(2='4층_부하량'!B3:B3000),0))</f>
        <v>29.04</v>
      </c>
      <c r="E36" s="2560" cm="1">
        <f t="array" ref="E36">INDEX('4층_부하량'!D3:D3000,MATCH(1,("4-DaHall 1-PDU-10"='4층_부하량'!A3:A3000)*(2='4층_부하량'!B3:B3000),0))</f>
        <v>26.36</v>
      </c>
      <c r="F36" s="2560" cm="1">
        <f t="array" ref="F36">INDEX('4층_부하량'!E3:E3000,MATCH(1,("4-DaHall 1-PDU-10"='4층_부하량'!A3:A3000)*(2='4층_부하량'!B3:B3000),0))</f>
        <v>28.06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60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61" cm="1">
        <f t="array" ref="D37">INDEX('4층_부하량'!C3:C3000,MATCH(1,("4-DaHall 1-PDU-10"='4층_부하량'!A3:A3000)*(3='4층_부하량'!B3:B3000),0))</f>
        <v>2.94</v>
      </c>
      <c r="E37" s="2561" cm="1">
        <f t="array" ref="E37">INDEX('4층_부하량'!D3:D3000,MATCH(1,("4-DaHall 1-PDU-10"='4층_부하량'!A3:A3000)*(3='4층_부하량'!B3:B3000),0))</f>
        <v>2.65</v>
      </c>
      <c r="F37" s="2561" cm="1">
        <f t="array" ref="F37">INDEX('4층_부하량'!E3:E3000,MATCH(1,("4-DaHall 1-PDU-10"='4층_부하량'!A3:A3000)*(3='4층_부하량'!B3:B3000),0))</f>
        <v>3.21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2" cm="1">
        <f t="array" ref="O37">INDEX('4층_부하량'!D3:D3000,MATCH(1,("4-DaHall 1-PDU-01"='4층_부하량'!A3:A3000)*(3='4층_부하량'!B3:B3000),0))</f>
        <v>33.51</v>
      </c>
      <c r="P37" s="21"/>
      <c r="Q37" s="2585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7">
        <f>SUM(D35:D37)</f>
        <v>31.98</v>
      </c>
      <c r="E38" s="1147">
        <f t="shared" ref="E38:G38" si="0">SUM(E35:E37)</f>
        <v>29.009999999999998</v>
      </c>
      <c r="F38" s="1147">
        <f t="shared" si="0"/>
        <v>31.27</v>
      </c>
      <c r="G38" s="1147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2" cm="1">
        <f t="array" ref="P38">INDEX('4층_부하량'!E3:E3000,MATCH(1,("4-DaHall 1-PDU-01"='4층_부하량'!A3:A3000)*(4='4층_부하량'!B3:B3000),0))</f>
        <v>36.619999999999997</v>
      </c>
      <c r="Q38" s="2585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3" cm="1">
        <f t="array" ref="N39">INDEX('4층_부하량'!C3:C3000,MATCH(1,("4-DaHall 1-PDU-01"='4층_부하량'!A3:A3000)*(5='4층_부하량'!B3:B3000),0))</f>
        <v>35.799999999999997</v>
      </c>
      <c r="O39" s="25"/>
      <c r="P39" s="25"/>
      <c r="Q39" s="2586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2" cm="1">
        <f t="array" ref="O40">INDEX('4층_부하량'!D3:D3000,MATCH(1,("4-DaHall 1-PDU-01"='4층_부하량'!A3:A3000)*(6='4층_부하량'!B3:B3000),0))</f>
        <v>23</v>
      </c>
      <c r="P40" s="21"/>
      <c r="Q40" s="2585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3" cm="1">
        <f t="array" ref="P41">INDEX('4층_부하량'!E3:E3000,MATCH(1,("4-DaHall 1-PDU-01"='4층_부하량'!A3:A3000)*(7='4층_부하량'!B3:B3000),0))</f>
        <v>12.38</v>
      </c>
      <c r="Q41" s="2586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2" cm="1">
        <f t="array" ref="N42">INDEX('4층_부하량'!C3:C3000,MATCH(1,("4-DaHall 1-PDU-01"='4층_부하량'!A3:A3000)*(8='4층_부하량'!B3:B3000),0))</f>
        <v>0</v>
      </c>
      <c r="O42" s="21"/>
      <c r="P42" s="21"/>
      <c r="Q42" s="2585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4164</v>
      </c>
      <c r="M43" s="35" t="s">
        <v>4215</v>
      </c>
      <c r="N43" s="30"/>
      <c r="O43" s="2561" cm="1">
        <f t="array" ref="O43">INDEX('4층_부하량'!D3:D3000,MATCH(1,("4-DaHall 1-PDU-01"='4층_부하량'!A3:A3000)*(9='4층_부하량'!B3:B3000),0))</f>
        <v>0</v>
      </c>
      <c r="P43" s="30"/>
      <c r="Q43" s="2587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74.14</v>
      </c>
      <c r="O44" s="33">
        <f>SUM(O35:O43)</f>
        <v>57.51</v>
      </c>
      <c r="P44" s="33">
        <f>SUM(P35:P43)</f>
        <v>50.45</v>
      </c>
    </row>
    <row r="45" spans="1:20" ht="18.600000000000001" thickTop="1" thickBot="1">
      <c r="A45" s="2" t="s">
        <v>6512</v>
      </c>
      <c r="D45" s="3819" t="s">
        <v>4288</v>
      </c>
      <c r="E45" s="3825"/>
      <c r="F45" s="123"/>
      <c r="G45" s="3818" t="s">
        <v>5837</v>
      </c>
      <c r="H45" s="3818"/>
      <c r="I45" s="3818"/>
      <c r="K45" s="2" t="s">
        <v>6513</v>
      </c>
      <c r="N45" s="3819" t="s">
        <v>4288</v>
      </c>
      <c r="O45" s="3825"/>
      <c r="P45" s="123"/>
      <c r="Q45" s="3818" t="s">
        <v>5839</v>
      </c>
      <c r="R45" s="3818"/>
      <c r="S45" s="3818"/>
    </row>
    <row r="46" spans="1:20" ht="18" thickTop="1" thickBot="1">
      <c r="A46" s="3"/>
      <c r="C46" s="1347" t="s">
        <v>4136</v>
      </c>
      <c r="D46" s="1348">
        <v>57.4</v>
      </c>
      <c r="E46" s="1349">
        <v>38.799999999999997</v>
      </c>
      <c r="F46" s="1350">
        <v>25.4</v>
      </c>
      <c r="G46" s="1351" t="s">
        <v>4137</v>
      </c>
      <c r="H46" s="132"/>
      <c r="I46" s="127"/>
      <c r="J46" s="522"/>
      <c r="K46" s="3"/>
      <c r="M46" s="1347" t="s">
        <v>4136</v>
      </c>
      <c r="N46" s="1348">
        <v>59.5</v>
      </c>
      <c r="O46" s="1349">
        <v>27.6</v>
      </c>
      <c r="P46" s="1350">
        <v>25.2</v>
      </c>
      <c r="Q46" s="1351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9" cm="1">
        <f t="array" ref="D48">INDEX('4층_부하량'!C3:C3000,MATCH(1,("4-DaHall 1-PDU-03"='4층_부하량'!A3:A3000)*(1='4층_부하량'!B3:B3000),0))</f>
        <v>0</v>
      </c>
      <c r="E48" s="2559" cm="1">
        <f t="array" ref="E48">INDEX('4층_부하량'!D3:D3000,MATCH(1,("4-DaHall 1-PDU-03"='4층_부하량'!A3:A3000)*(1='4층_부하량'!B3:B3000),0))</f>
        <v>0</v>
      </c>
      <c r="F48" s="2559" cm="1">
        <f t="array" ref="F48">INDEX('4층_부하량'!E3:E3000,MATCH(1,("4-DaHall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9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60" cm="1">
        <f t="array" ref="D49">INDEX('4층_부하량'!C3:C3000,MATCH(1,("4-DaHall 1-PDU-03"='4층_부하량'!A3:A3000)*(2='4층_부하량'!B3:B3000),0))</f>
        <v>31.78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60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2" cm="1">
        <f t="array" ref="E50">INDEX('4층_부하량'!D3:D3000,MATCH(1,("4-DaHall 1-PDU-03"='4층_부하량'!A3:A3000)*(3='4층_부하량'!B3:B3000),0))</f>
        <v>27.75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2" cm="1">
        <f t="array" ref="P50">INDEX('4층_부하량'!E3:E3000,MATCH(1,("4-DaHall 1-PDU-05"='4층_부하량'!A3:A3000)*(3='4층_부하량'!B3:B3000),0))</f>
        <v>7.66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2" cm="1">
        <f t="array" ref="F51">INDEX('4층_부하량'!E3:E3000,MATCH(1,("4-DaHall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2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3" cm="1">
        <f t="array" ref="D52">INDEX('4층_부하량'!C3:C3000,MATCH(1,("4-DaHall 1-PDU-03"='4층_부하량'!A3:A3000)*(5='4층_부하량'!B3:B3000),0))</f>
        <v>6.28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2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2" cm="1">
        <f t="array" ref="E53">INDEX('4층_부하량'!D3:D3000,MATCH(1,("4-DaHall 1-PDU-03"='4층_부하량'!A3:A3000)*(6='4층_부하량'!B3:B3000),0))</f>
        <v>9.81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2" cm="1">
        <f t="array" ref="P53">INDEX('4층_부하량'!E3:E3000,MATCH(1,("4-DaHall 1-PDU-05"='4층_부하량'!A3:A3000)*(6='4층_부하량'!B3:B3000),0))</f>
        <v>12.54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3" cm="1">
        <f t="array" ref="F54">INDEX('4층_부하량'!E3:E3000,MATCH(1,("4-DaHall 1-PDU-03"='4층_부하량'!A3:A3000)*(7='4층_부하량'!B3:B3000),0))</f>
        <v>27.72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3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2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2" cm="1">
        <f t="array" ref="O55">INDEX('4층_부하량'!D3:D3000,MATCH(1,("4-DaHall 1-PDU-05"='4층_부하량'!A3:A3000)*(8='4층_부하량'!B3:B3000),0))</f>
        <v>12.6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4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2" cm="1">
        <f t="array" ref="P56">INDEX('4층_부하량'!E3:E3000,MATCH(1,("4-DaHall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55.53</v>
      </c>
      <c r="E57" s="33">
        <f>SUM(E48:E56)</f>
        <v>37.56</v>
      </c>
      <c r="F57" s="33">
        <f>SUM(F48:F56)</f>
        <v>27.72</v>
      </c>
      <c r="K57" s="265" t="s">
        <v>5856</v>
      </c>
      <c r="L57" s="23" t="s">
        <v>4204</v>
      </c>
      <c r="M57" s="24" t="s">
        <v>4149</v>
      </c>
      <c r="N57" s="2562" cm="1">
        <f t="array" ref="N57">INDEX('4층_부하량'!C3:C3000,MATCH(1,("4-DaHall 1-PDU-05"='4층_부하량'!A3:A3000)*(10='4층_부하량'!B3:B3000),0))</f>
        <v>31.55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2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61" cm="1">
        <f t="array" ref="P59">INDEX('4층_부하량'!E3:E3000,MATCH(1,("4-DaHall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53.59</v>
      </c>
      <c r="O60" s="33">
        <f>SUM(O48:O59)</f>
        <v>12.6</v>
      </c>
      <c r="P60" s="33">
        <f>SUM(P48:P59)</f>
        <v>20.2</v>
      </c>
    </row>
    <row r="61" spans="1:20" ht="18.600000000000001" thickTop="1" thickBot="1">
      <c r="A61" s="636" t="s">
        <v>6514</v>
      </c>
      <c r="D61" s="3819" t="s">
        <v>4288</v>
      </c>
      <c r="E61" s="3825"/>
      <c r="F61" s="123"/>
      <c r="G61" s="3818" t="s">
        <v>5858</v>
      </c>
      <c r="H61" s="3818"/>
      <c r="I61" s="3818"/>
      <c r="K61" s="2" t="s">
        <v>6515</v>
      </c>
      <c r="N61" s="3819" t="s">
        <v>4288</v>
      </c>
      <c r="O61" s="3825"/>
      <c r="P61" s="123"/>
      <c r="Q61" s="3818" t="s">
        <v>5860</v>
      </c>
      <c r="R61" s="3818"/>
      <c r="S61" s="3818"/>
    </row>
    <row r="62" spans="1:20" ht="15" customHeight="1" thickTop="1" thickBot="1">
      <c r="A62" s="3"/>
      <c r="C62" s="1347" t="s">
        <v>4136</v>
      </c>
      <c r="D62" s="1348">
        <v>44.7</v>
      </c>
      <c r="E62" s="1349">
        <v>76.7</v>
      </c>
      <c r="F62" s="1350">
        <v>22</v>
      </c>
      <c r="G62" s="1351" t="s">
        <v>4137</v>
      </c>
      <c r="H62" s="132"/>
      <c r="I62" s="127"/>
      <c r="J62" s="522"/>
      <c r="K62" s="3"/>
      <c r="M62" s="1347" t="s">
        <v>4136</v>
      </c>
      <c r="N62" s="1348">
        <v>0</v>
      </c>
      <c r="O62" s="1349">
        <v>0</v>
      </c>
      <c r="P62" s="1350">
        <v>0</v>
      </c>
      <c r="Q62" s="1351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9" cm="1">
        <f t="array" ref="D64">INDEX('4층_부하량'!C3:C3000,MATCH(1,("4-DaHall 1-PDU-07"='4층_부하량'!A3:A3000)*(1='4층_부하량'!B3:B3000),0))</f>
        <v>20.09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9" cm="1">
        <f t="array" ref="N64">INDEX('4층_부하량'!C3:C3000,MATCH(1,("4-DaHall 1-PDU-09"='4층_부하량'!A3:A3000)*(1='4층_부하량'!B3:B3000),0))</f>
        <v>0</v>
      </c>
      <c r="O64" s="2559" cm="1">
        <f t="array" ref="O64">INDEX('4층_부하량'!D3:D3000,MATCH(1,("4-DaHall 1-PDU-09"='4층_부하량'!A3:A3000)*(1='4층_부하량'!B3:B3000),0))</f>
        <v>0</v>
      </c>
      <c r="P64" s="2559" cm="1">
        <f t="array" ref="P64">INDEX('4층_부하량'!E3:E3000,MATCH(1,("4-DaHall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60" cm="1">
        <f t="array" ref="E65">INDEX('4층_부하량'!D3:D3000,MATCH(1,("4-DaHall 1-PDU-07"='4층_부하량'!A3:A3000)*(2='4층_부하량'!B3:B3000),0))</f>
        <v>32.880000000000003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9" cm="1">
        <f t="array" ref="N65">INDEX('4층_부하량'!C3:C3000,MATCH(1,("4-DaHall 1-PDU-09"='4층_부하량'!A3:A3000)*(2='4층_부하량'!B3:B3000),0))</f>
        <v>0</v>
      </c>
      <c r="O65" s="2559" cm="1">
        <f t="array" ref="O65">INDEX('4층_부하량'!D3:D3000,MATCH(1,("4-DaHall 1-PDU-09"='4층_부하량'!A3:A3000)*(2='4층_부하량'!B3:B3000),0))</f>
        <v>0</v>
      </c>
      <c r="P65" s="2559" cm="1">
        <f t="array" ref="P65">INDEX('4층_부하량'!E3:E3000,MATCH(1,("4-DaHall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2" cm="1">
        <f t="array" ref="F66">INDEX('4층_부하량'!E3:E3000,MATCH(1,("4-DaHall 1-PDU-07"='4층_부하량'!A3:A3000)*(3='4층_부하량'!B3:B3000),0))</f>
        <v>5.19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9" cm="1">
        <f t="array" ref="N66">INDEX('4층_부하량'!C3:C3000,MATCH(1,("4-DaHall 1-PDU-09"='4층_부하량'!A3:A3000)*(3='4층_부하량'!B3:B3000),0))</f>
        <v>0</v>
      </c>
      <c r="O66" s="2559" cm="1">
        <f t="array" ref="O66">INDEX('4층_부하량'!D3:D3000,MATCH(1,("4-DaHall 1-PDU-09"='4층_부하량'!A3:A3000)*(3='4층_부하량'!B3:B3000),0))</f>
        <v>0</v>
      </c>
      <c r="P66" s="2559" cm="1">
        <f t="array" ref="P66">INDEX('4층_부하량'!E3:E3000,MATCH(1,("4-DaHall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2" cm="1">
        <f t="array" ref="D67">INDEX('4층_부하량'!C3:C3000,MATCH(1,("4-DaHall 1-PDU-07"='4층_부하량'!A3:A3000)*(4='4층_부하량'!B3:B3000),0))</f>
        <v>10.119999999999999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3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2" cm="1">
        <f t="array" ref="F69">INDEX('4층_부하량'!E3:E3000,MATCH(1,("4-DaHall 1-PDU-07"='4층_부하량'!A3:A3000)*(6='4층_부하량'!B3:B3000),0))</f>
        <v>14.83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3" cm="1">
        <f t="array" ref="D70">INDEX('4층_부하량'!C3:C3000,MATCH(1,("4-DaHall 1-PDU-07"='4층_부하량'!A3:A3000)*(7='4층_부하량'!B3:B3000),0))</f>
        <v>13.73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2" cm="1">
        <f t="array" ref="E71">INDEX('4층_부하량'!D3:D3000,MATCH(1,("4-DaHall 1-PDU-07"='4층_부하량'!A3:A3000)*(8='4층_부하량'!B3:B3000),0))</f>
        <v>30.26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2" cm="1">
        <f t="array" ref="F72">INDEX('4층_부하량'!E3:E3000,MATCH(1,("4-DaHall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2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2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61" cm="1">
        <f t="array" ref="F75">INDEX('4층_부하량'!E3:E3000,MATCH(1,("4-DaHall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5218</v>
      </c>
      <c r="D76" s="33">
        <f>SUM(D64:D75)</f>
        <v>43.94</v>
      </c>
      <c r="E76" s="33">
        <f>SUM(E64:E75)</f>
        <v>69.09</v>
      </c>
      <c r="F76" s="33">
        <f>SUM(F64:F75)</f>
        <v>20.02</v>
      </c>
    </row>
    <row r="78" spans="1:20">
      <c r="E78" t="s">
        <v>4542</v>
      </c>
      <c r="F78" t="s">
        <v>5878</v>
      </c>
    </row>
    <row r="79" spans="1:20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630.88999999999987</v>
      </c>
      <c r="F79" s="51">
        <f>E79/$E$83</f>
        <v>0.60488595288545433</v>
      </c>
    </row>
    <row r="80" spans="1:20">
      <c r="B80" s="50" t="s">
        <v>5880</v>
      </c>
      <c r="C80" s="50" t="s">
        <v>5881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4239</v>
      </c>
      <c r="C81" s="50" t="s">
        <v>5881</v>
      </c>
      <c r="D81" s="50"/>
      <c r="E81" s="33"/>
      <c r="F81" s="51"/>
    </row>
    <row r="82" spans="1:21">
      <c r="B82" s="50" t="s">
        <v>5880</v>
      </c>
      <c r="C82" s="50" t="s">
        <v>5882</v>
      </c>
      <c r="D82" s="50"/>
      <c r="E82" s="33">
        <f>SUM(F51,E50,D49,N39,P38,O37,N36,N35:P35,P9,O8,N7,D10,F9,E8,D7,D6:F6)</f>
        <v>412.09999999999997</v>
      </c>
      <c r="F82" s="51">
        <f>E82/$E$83</f>
        <v>0.39511404711454573</v>
      </c>
    </row>
    <row r="83" spans="1:21">
      <c r="A83" t="s">
        <v>5883</v>
      </c>
      <c r="B83" s="50"/>
      <c r="C83" s="50"/>
      <c r="E83" s="33">
        <f>SUM(E79:E82)</f>
        <v>1042.9899999999998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5884</v>
      </c>
      <c r="D85" s="53"/>
      <c r="E85" s="53"/>
      <c r="F85" s="53"/>
      <c r="G85" s="53"/>
      <c r="H85" s="123"/>
      <c r="I85" s="123"/>
      <c r="J85" s="3819" t="s">
        <v>5885</v>
      </c>
      <c r="K85" s="3825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4136</v>
      </c>
      <c r="M86" s="1348">
        <v>24.1</v>
      </c>
      <c r="N86" s="1349">
        <v>22</v>
      </c>
      <c r="O86" s="1350">
        <v>21.9</v>
      </c>
      <c r="P86" s="1351" t="s">
        <v>4137</v>
      </c>
      <c r="Q86" s="132"/>
      <c r="R86" s="127"/>
      <c r="S86" s="132"/>
      <c r="T86" s="127"/>
      <c r="U86" s="522"/>
    </row>
    <row r="87" spans="1:21" ht="15.6" thickTop="1" thickBot="1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>
      <c r="A88" s="122" t="s">
        <v>5886</v>
      </c>
      <c r="B88" s="17" t="s">
        <v>4204</v>
      </c>
      <c r="C88" s="18" t="s">
        <v>4149</v>
      </c>
      <c r="D88" s="2559"/>
      <c r="E88" s="2559"/>
      <c r="F88" s="2559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59"/>
      <c r="N88" s="2559"/>
      <c r="O88" s="2559"/>
      <c r="P88" s="306"/>
      <c r="Q88" s="17" t="s">
        <v>4204</v>
      </c>
      <c r="R88" s="18" t="s">
        <v>4149</v>
      </c>
      <c r="S88" s="859"/>
      <c r="T88" s="97"/>
    </row>
    <row r="89" spans="1:21" ht="17.399999999999999">
      <c r="A89" s="106" t="s">
        <v>5888</v>
      </c>
      <c r="B89" s="17" t="s">
        <v>4204</v>
      </c>
      <c r="C89" s="18" t="s">
        <v>4149</v>
      </c>
      <c r="D89" s="2560"/>
      <c r="E89" s="2560"/>
      <c r="F89" s="2560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60"/>
      <c r="N89" s="2560"/>
      <c r="O89" s="2560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>
      <c r="A90" s="108" t="s">
        <v>5889</v>
      </c>
      <c r="B90" s="35" t="s">
        <v>4204</v>
      </c>
      <c r="C90" s="39" t="s">
        <v>4149</v>
      </c>
      <c r="D90" s="2561"/>
      <c r="E90" s="2561"/>
      <c r="F90" s="2561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61"/>
      <c r="N90" s="2561"/>
      <c r="O90" s="2561"/>
      <c r="P90" s="312"/>
      <c r="Q90" s="35" t="s">
        <v>4164</v>
      </c>
      <c r="R90" s="35" t="s">
        <v>4215</v>
      </c>
      <c r="S90" s="545"/>
      <c r="T90" s="78"/>
    </row>
    <row r="91" spans="1:21" ht="15" thickTop="1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4" t="s">
        <v>9312</v>
      </c>
    </row>
    <row r="2" spans="1:22" ht="15" thickBot="1">
      <c r="V2" s="2071"/>
    </row>
    <row r="3" spans="1:22" ht="18.600000000000001" thickTop="1" thickBot="1">
      <c r="A3" s="2" t="s">
        <v>6506</v>
      </c>
      <c r="D3" s="3819" t="s">
        <v>5769</v>
      </c>
      <c r="E3" s="3825"/>
      <c r="F3" s="123"/>
      <c r="G3" s="3818" t="s">
        <v>5770</v>
      </c>
      <c r="H3" s="3818"/>
      <c r="I3" s="3818"/>
      <c r="K3" s="2" t="s">
        <v>6507</v>
      </c>
      <c r="N3" s="3819" t="s">
        <v>5769</v>
      </c>
      <c r="O3" s="3825"/>
      <c r="P3" s="123"/>
      <c r="Q3" s="3818" t="s">
        <v>5772</v>
      </c>
      <c r="R3" s="3818"/>
      <c r="S3" s="3818"/>
    </row>
    <row r="4" spans="1:22" ht="18" thickTop="1" thickBot="1">
      <c r="A4" s="3"/>
      <c r="C4" s="1347" t="s">
        <v>4136</v>
      </c>
      <c r="D4" s="1348">
        <v>73.5</v>
      </c>
      <c r="E4" s="1349">
        <v>46</v>
      </c>
      <c r="F4" s="1350">
        <v>65.400000000000006</v>
      </c>
      <c r="G4" s="1351" t="s">
        <v>4137</v>
      </c>
      <c r="H4" s="132"/>
      <c r="I4" s="127"/>
      <c r="J4" s="522"/>
      <c r="K4" s="3"/>
      <c r="M4" s="1347" t="s">
        <v>4136</v>
      </c>
      <c r="N4" s="1348">
        <v>70.2</v>
      </c>
      <c r="O4" s="1349">
        <v>42.2</v>
      </c>
      <c r="P4" s="1350">
        <v>22.5</v>
      </c>
      <c r="Q4" s="1351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9" cm="1">
        <f t="array" ref="D6">INDEX('4층_부하량'!F3:F3000,MATCH(1,("4-DaHall 1-PDU-02"='4층_부하량'!A3:A3000)*(1='4층_부하량'!B3:B3000),0))</f>
        <v>0.89</v>
      </c>
      <c r="E6" s="2559" cm="1">
        <f t="array" ref="E6">INDEX('4층_부하량'!G3:G3000,MATCH(1,("4-DaHall 1-PDU-02"='4층_부하량'!A3:A3000)*(1='4층_부하량'!B3:B3000),0))</f>
        <v>0.71</v>
      </c>
      <c r="F6" s="2559" cm="1">
        <f t="array" ref="F6">INDEX('4층_부하량'!H3:H3000,MATCH(1,("4-DaHall 1-PDU-02"='4층_부하량'!A3:A3000)*(1='4층_부하량'!B3:B3000),0))</f>
        <v>1.07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9" cm="1">
        <f t="array" ref="N6">INDEX('4층_부하량'!F3:F3000,MATCH(1,("4-DaHall 1-PDU-04"='4층_부하량'!A3:A3000)*(1='4층_부하량'!B3:B3000),0))</f>
        <v>0</v>
      </c>
      <c r="O6" s="2559" cm="1">
        <f t="array" ref="O6">INDEX('4층_부하량'!G3:G3000,MATCH(1,("4-DaHall 1-PDU-04"='4층_부하량'!A3:A3000)*(1='4층_부하량'!B3:B3000),0))</f>
        <v>0</v>
      </c>
      <c r="P6" s="2559" cm="1">
        <f t="array" ref="P6">INDEX('4층_부하량'!H3:H3000,MATCH(1,("4-DaHall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60" cm="1">
        <f t="array" ref="D7">INDEX('4층_부하량'!F3:F3000,MATCH(1,("4-DaHall 1-PDU-02"='4층_부하량'!A3:A3000)*(2='4층_부하량'!B3:B3000),0))</f>
        <v>35.35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60" cm="1">
        <f t="array" ref="N7">INDEX('4층_부하량'!F3:F3000,MATCH(1,("4-DaHall 1-PDU-04"='4층_부하량'!A3:A3000)*(2='4층_부하량'!B3:B3000),0))</f>
        <v>40.03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2" cm="1">
        <f t="array" ref="E8">INDEX('4층_부하량'!G3:G3000,MATCH(1,("4-DaHall 1-PDU-02"='4층_부하량'!A3:A3000)*(3='4층_부하량'!B3:B3000),0))</f>
        <v>33.03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2" cm="1">
        <f t="array" ref="O8">INDEX('4층_부하량'!G3:G3000,MATCH(1,("4-DaHall 1-PDU-04"='4층_부하량'!A3:A3000)*(3='4층_부하량'!B3:B3000),0))</f>
        <v>28.68</v>
      </c>
      <c r="P8" s="21"/>
      <c r="Q8" s="2585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2" cm="1">
        <f t="array" ref="F9">INDEX('4층_부하량'!H3:H3000,MATCH(1,("4-DaHall 1-PDU-02"='4층_부하량'!A3:A3000)*(4='4층_부하량'!B3:B3000),0))</f>
        <v>36.28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2" cm="1">
        <f t="array" ref="P9">INDEX('4층_부하량'!H3:H3000,MATCH(1,("4-DaHall 1-PDU-04"='4층_부하량'!A3:A3000)*(4='4층_부하량'!B3:B3000),0))</f>
        <v>0</v>
      </c>
      <c r="Q9" s="2585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3" cm="1">
        <f t="array" ref="D10">INDEX('4층_부하량'!F3:F3000,MATCH(1,("4-DaHall 1-PDU-02"='4층_부하량'!A3:A3000)*(5='4층_부하량'!B3:B3000),0))</f>
        <v>42.07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3" cm="1">
        <f t="array" ref="N10">INDEX('4층_부하량'!F3:F3000,MATCH(1,("4-DaHall 1-PDU-04"='4층_부하량'!A3:A3000)*(5='4층_부하량'!B3:B3000),0))</f>
        <v>10.02</v>
      </c>
      <c r="O10" s="25"/>
      <c r="P10" s="25"/>
      <c r="Q10" s="2586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2" cm="1">
        <f t="array" ref="E11">INDEX('4층_부하량'!G3:G3000,MATCH(1,("4-DaHall 1-PDU-02"='4층_부하량'!A3:A3000)*(6='4층_부하량'!B3:B3000),0))</f>
        <v>13.43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2" cm="1">
        <f t="array" ref="O11">INDEX('4층_부하량'!G3:G3000,MATCH(1,("4-DaHall 1-PDU-04"='4층_부하량'!A3:A3000)*(6='4층_부하량'!B3:B3000),0))</f>
        <v>15.33</v>
      </c>
      <c r="P11" s="21"/>
      <c r="Q11" s="2585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3" cm="1">
        <f t="array" ref="F12">INDEX('4층_부하량'!H3:H3000,MATCH(1,("4-DaHall 1-PDU-02"='4층_부하량'!A3:A3000)*(7='4층_부하량'!B3:B3000),0))</f>
        <v>30.18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3" cm="1">
        <f t="array" ref="P12">INDEX('4층_부하량'!H3:H3000,MATCH(1,("4-DaHall 1-PDU-04"='4층_부하량'!A3:A3000)*(7='4층_부하량'!B3:B3000),0))</f>
        <v>22.75</v>
      </c>
      <c r="Q12" s="2586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2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2" cm="1">
        <f t="array" ref="N13">INDEX('4층_부하량'!F3:F3000,MATCH(1,("4-DaHall 1-PDU-04"='4층_부하량'!A3:A3000)*(8='4층_부하량'!B3:B3000),0))</f>
        <v>23.68</v>
      </c>
      <c r="O13" s="21"/>
      <c r="P13" s="21"/>
      <c r="Q13" s="2585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4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4" cm="1">
        <f t="array" ref="O14">INDEX('4층_부하량'!G3:G3000,MATCH(1,("4-DaHall 1-PDU-04"='4층_부하량'!A3:A3000)*(9='4층_부하량'!B3:B3000),0))</f>
        <v>0</v>
      </c>
      <c r="P14" s="30"/>
      <c r="Q14" s="2587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78.31</v>
      </c>
      <c r="E15" s="33">
        <f>SUM(E6:E14)</f>
        <v>47.17</v>
      </c>
      <c r="F15" s="33">
        <f>SUM(F6:F14)</f>
        <v>67.53</v>
      </c>
      <c r="M15" s="32" t="s">
        <v>5218</v>
      </c>
      <c r="N15" s="33">
        <f>SUM(N6:N14)</f>
        <v>73.72999999999999</v>
      </c>
      <c r="O15" s="33">
        <f>SUM(O6:O14)</f>
        <v>44.01</v>
      </c>
      <c r="P15" s="33">
        <f>SUM(P6:P14)</f>
        <v>22.75</v>
      </c>
    </row>
    <row r="16" spans="1:22" ht="18.600000000000001" thickTop="1" thickBot="1">
      <c r="A16" s="2" t="s">
        <v>6508</v>
      </c>
      <c r="D16" s="3819" t="s">
        <v>5769</v>
      </c>
      <c r="E16" s="3825"/>
      <c r="F16" s="123"/>
      <c r="G16" s="3818" t="s">
        <v>5792</v>
      </c>
      <c r="H16" s="3818"/>
      <c r="I16" s="3818"/>
      <c r="K16" s="636" t="s">
        <v>6509</v>
      </c>
      <c r="N16" s="3819" t="s">
        <v>5769</v>
      </c>
      <c r="O16" s="3825"/>
      <c r="P16" s="123"/>
      <c r="Q16" s="3818" t="s">
        <v>5794</v>
      </c>
      <c r="R16" s="3818"/>
      <c r="S16" s="3818"/>
    </row>
    <row r="17" spans="1:20" ht="18" thickTop="1" thickBot="1">
      <c r="A17" s="3"/>
      <c r="C17" s="1347" t="s">
        <v>4136</v>
      </c>
      <c r="D17" s="1348">
        <v>67</v>
      </c>
      <c r="E17" s="1349">
        <v>32.4</v>
      </c>
      <c r="F17" s="1350">
        <v>27</v>
      </c>
      <c r="G17" s="1351" t="s">
        <v>4137</v>
      </c>
      <c r="H17" s="132"/>
      <c r="I17" s="127"/>
      <c r="J17" s="522"/>
      <c r="K17" s="3"/>
      <c r="M17" s="1347" t="s">
        <v>4136</v>
      </c>
      <c r="N17" s="1348">
        <v>44.8</v>
      </c>
      <c r="O17" s="1349">
        <v>68.400000000000006</v>
      </c>
      <c r="P17" s="1350">
        <v>18</v>
      </c>
      <c r="Q17" s="1351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9" cm="1">
        <f t="array" ref="D19">INDEX('4층_부하량'!F3:F3000,MATCH(1,("4-DaHall 1-PDU-06"='4층_부하량'!A3:A3000)*(1='4층_부하량'!B3:B3000),0))</f>
        <v>11.98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9" cm="1">
        <f t="array" ref="N19">INDEX('4층_부하량'!F3:F3000,MATCH(1,("4-DaHall 1-PDU-08"='4층_부하량'!A3:A3000)*(1='4층_부하량'!B3:B3000),0))</f>
        <v>24.86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60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60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2" cm="1">
        <f t="array" ref="F21">INDEX('4층_부하량'!H3:H3000,MATCH(1,("4-DaHall 1-PDU-06"='4층_부하량'!A3:A3000)*(3='4층_부하량'!B3:B3000),0))</f>
        <v>9.14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2" cm="1">
        <f t="array" ref="P21">INDEX('4층_부하량'!H3:H3000,MATCH(1,("4-DaHall 1-PDU-08"='4층_부하량'!A3:A3000)*(3='4층_부하량'!B3:B3000),0))</f>
        <v>5.59</v>
      </c>
      <c r="Q21" s="2585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2" cm="1">
        <f t="array" ref="D22">INDEX('4층_부하량'!F3:F3000,MATCH(1,("4-DaHall 1-PDU-06"='4층_부하량'!A3:A3000)*(4='4층_부하량'!B3:B3000),0))</f>
        <v>7.57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2" cm="1">
        <f t="array" ref="N22">INDEX('4층_부하량'!F3:F3000,MATCH(1,("4-DaHall 1-PDU-08"='4층_부하량'!A3:A3000)*(4='4층_부하량'!B3:B3000),0))</f>
        <v>9.9700000000000006</v>
      </c>
      <c r="O22" s="21"/>
      <c r="P22" s="21"/>
      <c r="Q22" s="2585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2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2" cm="1">
        <f t="array" ref="O23">INDEX('4층_부하량'!G3:G3000,MATCH(1,("4-DaHall 1-PDU-08"='4층_부하량'!A3:A3000)*(5='4층_부하량'!B3:B3000),0))</f>
        <v>7.96</v>
      </c>
      <c r="P23" s="25"/>
      <c r="Q23" s="2586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2" cm="1">
        <f t="array" ref="F24">INDEX('4층_부하량'!H3:H3000,MATCH(1,("4-DaHall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2" cm="1">
        <f t="array" ref="P24">INDEX('4층_부하량'!H3:H3000,MATCH(1,("4-DaHall 1-PDU-08"='4층_부하량'!A3:A3000)*(6='4층_부하량'!B3:B3000),0))</f>
        <v>13.35</v>
      </c>
      <c r="Q24" s="2585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3" cm="1">
        <f t="array" ref="D25">INDEX('4층_부하량'!F3:F3000,MATCH(1,("4-DaHall 1-PDU-06"='4층_부하량'!A3:A3000)*(7='4층_부하량'!B3:B3000),0))</f>
        <v>8.65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3" cm="1">
        <f t="array" ref="N25">INDEX('4층_부하량'!F3:F3000,MATCH(1,("4-DaHall 1-PDU-08"='4층_부하량'!A3:A3000)*(7='4층_부하량'!B3:B3000),0))</f>
        <v>13.11</v>
      </c>
      <c r="O25" s="25"/>
      <c r="P25" s="25"/>
      <c r="Q25" s="2586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2" cm="1">
        <f t="array" ref="E26">INDEX('4층_부하량'!G3:G3000,MATCH(1,("4-DaHall 1-PDU-06"='4층_부하량'!A3:A3000)*(8='4층_부하량'!B3:B3000),0))</f>
        <v>15.06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2" cm="1">
        <f t="array" ref="O26">INDEX('4층_부하량'!G3:G3000,MATCH(1,("4-DaHall 1-PDU-08"='4층_부하량'!A3:A3000)*(8='4층_부하량'!B3:B3000),0))</f>
        <v>34.54</v>
      </c>
      <c r="P26" s="21"/>
      <c r="Q26" s="2585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2" cm="1">
        <f t="array" ref="F27">INDEX('4층_부하량'!H3:H3000,MATCH(1,("4-DaHall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2" cm="1">
        <f t="array" ref="P27">INDEX('4층_부하량'!H3:H3000,MATCH(1,("4-DaHall 1-PDU-08"='4층_부하량'!A3:A3000)*(9='4층_부하량'!B3:B3000),0))</f>
        <v>0</v>
      </c>
      <c r="Q27" s="2585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2" cm="1">
        <f t="array" ref="D28">INDEX('4층_부하량'!F3:F3000,MATCH(1,("4-DaHall 1-PDU-06"='4층_부하량'!A3:A3000)*(10='4층_부하량'!B3:B3000),0))</f>
        <v>39.32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2" cm="1">
        <f t="array" ref="N28">INDEX('4층_부하량'!F3:F3000,MATCH(1,("4-DaHall 1-PDU-08"='4층_부하량'!A3:A3000)*(10='4층_부하량'!B3:B3000),0))</f>
        <v>0</v>
      </c>
      <c r="O28" s="21"/>
      <c r="P28" s="21"/>
      <c r="Q28" s="2585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2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2" cm="1">
        <f t="array" ref="O29">INDEX('4층_부하량'!G3:G3000,MATCH(1,("4-DaHall 1-PDU-08"='4층_부하량'!A3:A3000)*(11='4층_부하량'!B3:B3000),0))</f>
        <v>0</v>
      </c>
      <c r="P29" s="21"/>
      <c r="Q29" s="2585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61" cm="1">
        <f t="array" ref="F30">INDEX('4층_부하량'!H3:H3000,MATCH(1,("4-DaHall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61" cm="1">
        <f t="array" ref="P30">INDEX('4층_부하량'!H3:H3000,MATCH(1,("4-DaHall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67.52000000000001</v>
      </c>
      <c r="E31" s="33">
        <f>SUM(E19:E30)</f>
        <v>15.06</v>
      </c>
      <c r="F31" s="33">
        <f>SUM(F19:F30)</f>
        <v>9.14</v>
      </c>
      <c r="M31" s="32" t="s">
        <v>5218</v>
      </c>
      <c r="N31" s="33">
        <f>SUM(N19:N30)</f>
        <v>47.94</v>
      </c>
      <c r="O31" s="33">
        <f>SUM(O19:O30)</f>
        <v>77.72999999999999</v>
      </c>
      <c r="P31" s="33">
        <f>SUM(P19:P30)</f>
        <v>18.939999999999998</v>
      </c>
    </row>
    <row r="32" spans="1:20" ht="18.600000000000001" thickTop="1" thickBot="1">
      <c r="A32" s="2" t="s">
        <v>6510</v>
      </c>
      <c r="D32" s="3819" t="s">
        <v>5769</v>
      </c>
      <c r="E32" s="3825"/>
      <c r="F32" s="123"/>
      <c r="G32" s="3818" t="s">
        <v>5821</v>
      </c>
      <c r="H32" s="3818"/>
      <c r="I32" s="3818"/>
      <c r="K32" s="2" t="s">
        <v>6511</v>
      </c>
      <c r="N32" s="3819" t="s">
        <v>5769</v>
      </c>
      <c r="O32" s="3825"/>
      <c r="P32" s="123"/>
      <c r="Q32" s="3818" t="s">
        <v>5823</v>
      </c>
      <c r="R32" s="3818"/>
      <c r="S32" s="3818"/>
    </row>
    <row r="33" spans="1:20" ht="18" thickTop="1" thickBot="1">
      <c r="A33" s="3"/>
      <c r="C33" s="1347" t="s">
        <v>4136</v>
      </c>
      <c r="D33" s="1348">
        <v>46.5</v>
      </c>
      <c r="E33" s="1349">
        <v>43.9</v>
      </c>
      <c r="F33" s="1350">
        <v>43.5</v>
      </c>
      <c r="G33" s="1351" t="s">
        <v>4137</v>
      </c>
      <c r="H33" s="132"/>
      <c r="I33" s="127"/>
      <c r="J33" s="522"/>
      <c r="K33" s="3"/>
      <c r="M33" s="1347" t="s">
        <v>4136</v>
      </c>
      <c r="N33" s="1348">
        <v>77.599999999999994</v>
      </c>
      <c r="O33" s="1349">
        <v>59.1</v>
      </c>
      <c r="P33" s="1350">
        <v>50.5</v>
      </c>
      <c r="Q33" s="1351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9" cm="1">
        <f t="array" ref="D35">INDEX('4층_부하량'!F3:F3000,MATCH(1,("4-DaHall 1-PDU-10"='4층_부하량'!A3:A3000)*(1='4층_부하량'!B3:B3000),0))</f>
        <v>0</v>
      </c>
      <c r="E35" s="2559" cm="1">
        <f t="array" ref="E35">INDEX('4층_부하량'!G3:G3000,MATCH(1,("4-DaHall 1-PDU-10"='4층_부하량'!A3:A3000)*(1='4층_부하량'!B3:B3000),0))</f>
        <v>0</v>
      </c>
      <c r="F35" s="2559" cm="1">
        <f t="array" ref="F35">INDEX('4층_부하량'!H3:H3000,MATCH(1,("4-DaHall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9" cm="1">
        <f t="array" ref="N35">INDEX('4층_부하량'!F3:F3000,MATCH(1,("4-DaHall 1-PDU-01"='4층_부하량'!A3:A3000)*(1='4층_부하량'!B3:B3000),0))</f>
        <v>1.45</v>
      </c>
      <c r="O35" s="2559" cm="1">
        <f t="array" ref="O35">INDEX('4층_부하량'!G3:G3000,MATCH(1,("4-DaHall 1-PDU-01"='4층_부하량'!A3:A3000)*(1='4층_부하량'!B3:B3000),0))</f>
        <v>1.1400000000000001</v>
      </c>
      <c r="P35" s="2559" cm="1">
        <f t="array" ref="P35">INDEX('4층_부하량'!H3:H3000,MATCH(1,("4-DaHall 1-PDU-01"='4층_부하량'!A3:A3000)*(1='4층_부하량'!B3:B3000),0))</f>
        <v>1.65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60" cm="1">
        <f t="array" ref="D36">INDEX('4층_부하량'!F3:F3000,MATCH(1,("4-DaHall 1-PDU-10"='4층_부하량'!A3:A3000)*(2='4층_부하량'!B3:B3000),0))</f>
        <v>32.53</v>
      </c>
      <c r="E36" s="2560" cm="1">
        <f t="array" ref="E36">INDEX('4층_부하량'!G3:G3000,MATCH(1,("4-DaHall 1-PDU-10"='4층_부하량'!A3:A3000)*(2='4층_부하량'!B3:B3000),0))</f>
        <v>29.99</v>
      </c>
      <c r="F36" s="2560" cm="1">
        <f t="array" ref="F36">INDEX('4층_부하량'!H3:H3000,MATCH(1,("4-DaHall 1-PDU-10"='4층_부하량'!A3:A3000)*(2='4층_부하량'!B3:B3000),0))</f>
        <v>31.41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60" cm="1">
        <f t="array" ref="N36">INDEX('4층_부하량'!F3:F3000,MATCH(1,("4-DaHall 1-PDU-01"='4층_부하량'!A3:A3000)*(2='4층_부하량'!B3:B3000),0))</f>
        <v>37.81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61" cm="1">
        <f t="array" ref="D37">INDEX('4층_부하량'!F3:F3000,MATCH(1,("4-DaHall 1-PDU-10"='4층_부하량'!A3:A3000)*(3='4층_부하량'!B3:B3000),0))</f>
        <v>28.29</v>
      </c>
      <c r="E37" s="2561" cm="1">
        <f t="array" ref="E37">INDEX('4층_부하량'!G3:G3000,MATCH(1,("4-DaHall 1-PDU-10"='4층_부하량'!A3:A3000)*(3='4층_부하량'!B3:B3000),0))</f>
        <v>27.65</v>
      </c>
      <c r="F37" s="2561" cm="1">
        <f t="array" ref="F37">INDEX('4층_부하량'!H3:H3000,MATCH(1,("4-DaHall 1-PDU-10"='4층_부하량'!A3:A3000)*(3='4층_부하량'!B3:B3000),0))</f>
        <v>27.26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2" cm="1">
        <f t="array" ref="O37">INDEX('4층_부하량'!G3:G3000,MATCH(1,("4-DaHall 1-PDU-01"='4층_부하량'!A3:A3000)*(3='4층_부하량'!B3:B3000),0))</f>
        <v>34.93</v>
      </c>
      <c r="P37" s="21"/>
      <c r="Q37" s="2585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7">
        <f>SUM(D35:D37)</f>
        <v>60.82</v>
      </c>
      <c r="E38" s="1147">
        <f t="shared" ref="E38:G38" si="0">SUM(E35:E37)</f>
        <v>57.64</v>
      </c>
      <c r="F38" s="1147">
        <f t="shared" si="0"/>
        <v>58.67</v>
      </c>
      <c r="G38" s="1147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2" cm="1">
        <f t="array" ref="P38">INDEX('4층_부하량'!H3:H3000,MATCH(1,("4-DaHall 1-PDU-01"='4층_부하량'!A3:A3000)*(4='4층_부하량'!B3:B3000),0))</f>
        <v>37.61</v>
      </c>
      <c r="Q38" s="2585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3" cm="1">
        <f t="array" ref="N39">INDEX('4층_부하량'!F3:F3000,MATCH(1,("4-DaHall 1-PDU-01"='4층_부하량'!A3:A3000)*(5='4층_부하량'!B3:B3000),0))</f>
        <v>42.35</v>
      </c>
      <c r="O39" s="25"/>
      <c r="P39" s="25"/>
      <c r="Q39" s="2586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2" cm="1">
        <f t="array" ref="O40">INDEX('4층_부하량'!G3:G3000,MATCH(1,("4-DaHall 1-PDU-01"='4층_부하량'!A3:A3000)*(6='4층_부하량'!B3:B3000),0))</f>
        <v>25.04</v>
      </c>
      <c r="P40" s="21"/>
      <c r="Q40" s="2585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3" cm="1">
        <f t="array" ref="P41">INDEX('4층_부하량'!H3:H3000,MATCH(1,("4-DaHall 1-PDU-01"='4층_부하량'!A3:A3000)*(7='4층_부하량'!B3:B3000),0))</f>
        <v>13.27</v>
      </c>
      <c r="Q41" s="2586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2" cm="1">
        <f t="array" ref="N42">INDEX('4층_부하량'!F3:F3000,MATCH(1,("4-DaHall 1-PDU-01"='4층_부하량'!A3:A3000)*(8='4층_부하량'!B3:B3000),0))</f>
        <v>0</v>
      </c>
      <c r="O42" s="21"/>
      <c r="P42" s="21"/>
      <c r="Q42" s="2585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4164</v>
      </c>
      <c r="M43" s="35" t="s">
        <v>4215</v>
      </c>
      <c r="N43" s="30"/>
      <c r="O43" s="2561" cm="1">
        <f t="array" ref="O43">INDEX('4층_부하량'!G3:G3000,MATCH(1,("4-DaHall 1-PDU-01"='4층_부하량'!A3:A3000)*(9='4층_부하량'!B3:B3000),0))</f>
        <v>0</v>
      </c>
      <c r="P43" s="30"/>
      <c r="Q43" s="2587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81.610000000000014</v>
      </c>
      <c r="O44" s="33">
        <f>SUM(O35:O43)</f>
        <v>61.11</v>
      </c>
      <c r="P44" s="33">
        <f>SUM(P35:P43)</f>
        <v>52.53</v>
      </c>
    </row>
    <row r="45" spans="1:20" ht="18.600000000000001" thickTop="1" thickBot="1">
      <c r="A45" s="2" t="s">
        <v>6512</v>
      </c>
      <c r="D45" s="3819" t="s">
        <v>4288</v>
      </c>
      <c r="E45" s="3825"/>
      <c r="F45" s="123"/>
      <c r="G45" s="3818" t="s">
        <v>5837</v>
      </c>
      <c r="H45" s="3818"/>
      <c r="I45" s="3818"/>
      <c r="K45" s="2" t="s">
        <v>6513</v>
      </c>
      <c r="N45" s="3819" t="s">
        <v>4288</v>
      </c>
      <c r="O45" s="3825"/>
      <c r="P45" s="123"/>
      <c r="Q45" s="3818" t="s">
        <v>5839</v>
      </c>
      <c r="R45" s="3818"/>
      <c r="S45" s="3818"/>
    </row>
    <row r="46" spans="1:20" ht="18" thickTop="1" thickBot="1">
      <c r="A46" s="3"/>
      <c r="C46" s="1347" t="s">
        <v>4136</v>
      </c>
      <c r="D46" s="1348">
        <v>57.4</v>
      </c>
      <c r="E46" s="1349">
        <v>38.799999999999997</v>
      </c>
      <c r="F46" s="1350">
        <v>25.4</v>
      </c>
      <c r="G46" s="1351" t="s">
        <v>4137</v>
      </c>
      <c r="H46" s="132"/>
      <c r="I46" s="127"/>
      <c r="J46" s="522"/>
      <c r="K46" s="3"/>
      <c r="M46" s="1347" t="s">
        <v>4136</v>
      </c>
      <c r="N46" s="1348">
        <v>59.5</v>
      </c>
      <c r="O46" s="1349">
        <v>27.6</v>
      </c>
      <c r="P46" s="1350">
        <v>25.2</v>
      </c>
      <c r="Q46" s="1351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9" cm="1">
        <f t="array" ref="D48">INDEX('4층_부하량'!F3:F3000,MATCH(1,("4-DaHall 1-PDU-03"='4층_부하량'!A3:A3000)*(1='4층_부하량'!B3:B3000),0))</f>
        <v>0</v>
      </c>
      <c r="E48" s="2559" cm="1">
        <f t="array" ref="E48">INDEX('4층_부하량'!G3:G3000,MATCH(1,("4-DaHall 1-PDU-03"='4층_부하량'!A3:A3000)*(1='4층_부하량'!B3:B3000),0))</f>
        <v>0</v>
      </c>
      <c r="F48" s="2559" cm="1">
        <f t="array" ref="F48">INDEX('4층_부하량'!H3:H3000,MATCH(1,("4-DaHall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9" cm="1">
        <f t="array" ref="N48">INDEX('4층_부하량'!F3:F3000,MATCH(1,("4-DaHall 1-PDU-05"='4층_부하량'!A3:A3000)*(1='4층_부하량'!B3:B3000),0))</f>
        <v>9.82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60" cm="1">
        <f t="array" ref="D49">INDEX('4층_부하량'!F3:F3000,MATCH(1,("4-DaHall 1-PDU-03"='4층_부하량'!A3:A3000)*(2='4층_부하량'!B3:B3000),0))</f>
        <v>33.479999999999997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60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2" cm="1">
        <f t="array" ref="E50">INDEX('4층_부하량'!G3:G3000,MATCH(1,("4-DaHall 1-PDU-03"='4층_부하량'!A3:A3000)*(3='4층_부하량'!B3:B3000),0))</f>
        <v>28.39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2" cm="1">
        <f t="array" ref="P50">INDEX('4층_부하량'!H3:H3000,MATCH(1,("4-DaHall 1-PDU-05"='4층_부하량'!A3:A3000)*(3='4층_부하량'!B3:B3000),0))</f>
        <v>7.77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2" cm="1">
        <f t="array" ref="F51">INDEX('4층_부하량'!H3:H3000,MATCH(1,("4-DaHall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2" cm="1">
        <f t="array" ref="N51">INDEX('4층_부하량'!F3:F3000,MATCH(1,("4-DaHall 1-PDU-05"='4층_부하량'!A3:A3000)*(4='4층_부하량'!B3:B3000),0))</f>
        <v>7.49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3" cm="1">
        <f t="array" ref="D52">INDEX('4층_부하량'!F3:F3000,MATCH(1,("4-DaHall 1-PDU-03"='4층_부하량'!A3:A3000)*(5='4층_부하량'!B3:B3000),0))</f>
        <v>6.7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2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2" cm="1">
        <f t="array" ref="E53">INDEX('4층_부하량'!G3:G3000,MATCH(1,("4-DaHall 1-PDU-03"='4층_부하량'!A3:A3000)*(6='4층_부하량'!B3:B3000),0))</f>
        <v>10.79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2" cm="1">
        <f t="array" ref="P53">INDEX('4층_부하량'!H3:H3000,MATCH(1,("4-DaHall 1-PDU-05"='4층_부하량'!A3:A3000)*(6='4층_부하량'!B3:B3000),0))</f>
        <v>13.19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3" cm="1">
        <f t="array" ref="F54">INDEX('4층_부하량'!H3:H3000,MATCH(1,("4-DaHall 1-PDU-03"='4층_부하량'!A3:A3000)*(7='4층_부하량'!B3:B3000),0))</f>
        <v>30.73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3" cm="1">
        <f t="array" ref="N54">INDEX('4층_부하량'!F3:F3000,MATCH(1,("4-DaHall 1-PDU-05"='4층_부하량'!A3:A3000)*(7='4층_부하량'!B3:B3000),0))</f>
        <v>7.14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2" cm="1">
        <f t="array" ref="D55">INDEX('4층_부하량'!F3:F3000,MATCH(1,("4-DaHall 1-PDU-03"='4층_부하량'!A3:A3000)*(8='4층_부하량'!B3:B3000),0))</f>
        <v>19.920000000000002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2" cm="1">
        <f t="array" ref="O55">INDEX('4층_부하량'!G3:G3000,MATCH(1,("4-DaHall 1-PDU-05"='4층_부하량'!A3:A3000)*(8='4층_부하량'!B3:B3000),0))</f>
        <v>13.84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4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2" cm="1">
        <f t="array" ref="P56">INDEX('4층_부하량'!H3:H3000,MATCH(1,("4-DaHall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60.1</v>
      </c>
      <c r="E57" s="33">
        <f>SUM(E48:E56)</f>
        <v>39.18</v>
      </c>
      <c r="F57" s="33">
        <f>SUM(F48:F56)</f>
        <v>30.73</v>
      </c>
      <c r="K57" s="265" t="s">
        <v>5856</v>
      </c>
      <c r="L57" s="23" t="s">
        <v>4204</v>
      </c>
      <c r="M57" s="24" t="s">
        <v>4149</v>
      </c>
      <c r="N57" s="2562" cm="1">
        <f t="array" ref="N57">INDEX('4층_부하량'!F3:F3000,MATCH(1,("4-DaHall 1-PDU-05"='4층_부하량'!A3:A3000)*(10='4층_부하량'!B3:B3000),0))</f>
        <v>33.479999999999997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2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61" cm="1">
        <f t="array" ref="P59">INDEX('4층_부하량'!H3:H3000,MATCH(1,("4-DaHall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57.93</v>
      </c>
      <c r="O60" s="33">
        <f>SUM(O48:O59)</f>
        <v>13.84</v>
      </c>
      <c r="P60" s="33">
        <f>SUM(P48:P59)</f>
        <v>20.96</v>
      </c>
    </row>
    <row r="61" spans="1:20" ht="18.600000000000001" thickTop="1" thickBot="1">
      <c r="A61" s="636" t="s">
        <v>6514</v>
      </c>
      <c r="D61" s="3819" t="s">
        <v>4288</v>
      </c>
      <c r="E61" s="3825"/>
      <c r="F61" s="123"/>
      <c r="G61" s="3818" t="s">
        <v>5858</v>
      </c>
      <c r="H61" s="3818"/>
      <c r="I61" s="3818"/>
      <c r="K61" s="2" t="s">
        <v>6515</v>
      </c>
      <c r="N61" s="3819" t="s">
        <v>4288</v>
      </c>
      <c r="O61" s="3825"/>
      <c r="P61" s="123"/>
      <c r="Q61" s="3818" t="s">
        <v>5860</v>
      </c>
      <c r="R61" s="3818"/>
      <c r="S61" s="3818"/>
    </row>
    <row r="62" spans="1:20" ht="15" customHeight="1" thickTop="1" thickBot="1">
      <c r="A62" s="3"/>
      <c r="C62" s="1347" t="s">
        <v>4136</v>
      </c>
      <c r="D62" s="1348">
        <v>44.7</v>
      </c>
      <c r="E62" s="1349">
        <v>76.7</v>
      </c>
      <c r="F62" s="1350">
        <v>22</v>
      </c>
      <c r="G62" s="1351" t="s">
        <v>4137</v>
      </c>
      <c r="H62" s="132"/>
      <c r="I62" s="127"/>
      <c r="J62" s="522"/>
      <c r="K62" s="3"/>
      <c r="M62" s="1347" t="s">
        <v>4136</v>
      </c>
      <c r="N62" s="1348">
        <v>0</v>
      </c>
      <c r="O62" s="1349">
        <v>0</v>
      </c>
      <c r="P62" s="1350">
        <v>0</v>
      </c>
      <c r="Q62" s="1351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9" cm="1">
        <f t="array" ref="D64">INDEX('4층_부하량'!F3:F3000,MATCH(1,("4-DaHall 1-PDU-07"='4층_부하량'!A3:A3000)*(1='4층_부하량'!B3:B3000),0))</f>
        <v>22.07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9" cm="1">
        <f t="array" ref="N64">INDEX('4층_부하량'!F3:F3000,MATCH(1,("4-DaHall 1-PDU-09"='4층_부하량'!A3:A3000)*(1='4층_부하량'!B3:B3000),0))</f>
        <v>0</v>
      </c>
      <c r="O64" s="2559" cm="1">
        <f t="array" ref="O64">INDEX('4층_부하량'!G3:G3000,MATCH(1,("4-DaHall 1-PDU-09"='4층_부하량'!A3:A3000)*(1='4층_부하량'!B3:B3000),0))</f>
        <v>0</v>
      </c>
      <c r="P64" s="2559" cm="1">
        <f t="array" ref="P64">INDEX('4층_부하량'!H3:H3000,MATCH(1,("4-DaHall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60" cm="1">
        <f t="array" ref="E65">INDEX('4층_부하량'!G3:G3000,MATCH(1,("4-DaHall 1-PDU-07"='4층_부하량'!A3:A3000)*(2='4층_부하량'!B3:B3000),0))</f>
        <v>35.520000000000003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9" cm="1">
        <f t="array" ref="N65">INDEX('4층_부하량'!F3:F3000,MATCH(1,("4-DaHall 1-PDU-09"='4층_부하량'!A3:A3000)*(2='4층_부하량'!B3:B3000),0))</f>
        <v>0</v>
      </c>
      <c r="O65" s="2559" cm="1">
        <f t="array" ref="O65">INDEX('4층_부하량'!G3:G3000,MATCH(1,("4-DaHall 1-PDU-09"='4층_부하량'!A3:A3000)*(2='4층_부하량'!B3:B3000),0))</f>
        <v>0</v>
      </c>
      <c r="P65" s="2559" cm="1">
        <f t="array" ref="P65">INDEX('4층_부하량'!H3:H3000,MATCH(1,("4-DaHall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2" cm="1">
        <f t="array" ref="F66">INDEX('4층_부하량'!H3:H3000,MATCH(1,("4-DaHall 1-PDU-07"='4층_부하량'!A3:A3000)*(3='4층_부하량'!B3:B3000),0))</f>
        <v>5.52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9" cm="1">
        <f t="array" ref="N66">INDEX('4층_부하량'!F3:F3000,MATCH(1,("4-DaHall 1-PDU-09"='4층_부하량'!A3:A3000)*(3='4층_부하량'!B3:B3000),0))</f>
        <v>0</v>
      </c>
      <c r="O66" s="2559" cm="1">
        <f t="array" ref="O66">INDEX('4층_부하량'!G3:G3000,MATCH(1,("4-DaHall 1-PDU-09"='4층_부하량'!A3:A3000)*(3='4층_부하량'!B3:B3000),0))</f>
        <v>0</v>
      </c>
      <c r="P66" s="2559" cm="1">
        <f t="array" ref="P66">INDEX('4층_부하량'!H3:H3000,MATCH(1,("4-DaHall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2" cm="1">
        <f t="array" ref="D67">INDEX('4층_부하량'!F3:F3000,MATCH(1,("4-DaHall 1-PDU-07"='4층_부하량'!A3:A3000)*(4='4층_부하량'!B3:B3000),0))</f>
        <v>10.9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3" cm="1">
        <f t="array" ref="E68">INDEX('4층_부하량'!G3:G3000,MATCH(1,("4-DaHall 1-PDU-07"='4층_부하량'!A3:A3000)*(5='4층_부하량'!B3:B3000),0))</f>
        <v>6.58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2" cm="1">
        <f t="array" ref="F69">INDEX('4층_부하량'!H3:H3000,MATCH(1,("4-DaHall 1-PDU-07"='4층_부하량'!A3:A3000)*(6='4층_부하량'!B3:B3000),0))</f>
        <v>17.43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3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2" cm="1">
        <f t="array" ref="E71">INDEX('4층_부하량'!G3:G3000,MATCH(1,("4-DaHall 1-PDU-07"='4층_부하량'!A3:A3000)*(8='4층_부하량'!B3:B3000),0))</f>
        <v>37.25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2" cm="1">
        <f t="array" ref="F72">INDEX('4층_부하량'!H3:H3000,MATCH(1,("4-DaHall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2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2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61" cm="1">
        <f t="array" ref="F75">INDEX('4층_부하량'!H3:H3000,MATCH(1,("4-DaHall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5218</v>
      </c>
      <c r="D76" s="33">
        <f>SUM(D64:D75)</f>
        <v>46.87</v>
      </c>
      <c r="E76" s="33">
        <f>SUM(E64:E75)</f>
        <v>79.349999999999994</v>
      </c>
      <c r="F76" s="33">
        <f>SUM(F64:F75)</f>
        <v>22.95</v>
      </c>
    </row>
    <row r="78" spans="1:20">
      <c r="E78" t="s">
        <v>4542</v>
      </c>
      <c r="F78" t="s">
        <v>5878</v>
      </c>
    </row>
    <row r="79" spans="1:20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700.06999999999982</v>
      </c>
      <c r="F79" s="51">
        <f>E79/$E$83</f>
        <v>0.6157222139156896</v>
      </c>
    </row>
    <row r="80" spans="1:20">
      <c r="B80" s="50" t="s">
        <v>5880</v>
      </c>
      <c r="C80" s="50" t="s">
        <v>5881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4239</v>
      </c>
      <c r="C81" s="50" t="s">
        <v>5881</v>
      </c>
      <c r="D81" s="50"/>
      <c r="E81" s="33"/>
      <c r="F81" s="51"/>
    </row>
    <row r="82" spans="1:21">
      <c r="B82" s="50" t="s">
        <v>5880</v>
      </c>
      <c r="C82" s="50" t="s">
        <v>5882</v>
      </c>
      <c r="D82" s="50"/>
      <c r="E82" s="33">
        <f>SUM(F51,E50,D49,N39,P38,O37,N36,N35:P35,P9,O8,N7,D10,F9,E8,D7,D6:F6)</f>
        <v>436.91999999999996</v>
      </c>
      <c r="F82" s="51">
        <f>E82/$E$83</f>
        <v>0.38427778608431035</v>
      </c>
    </row>
    <row r="83" spans="1:21">
      <c r="A83" t="s">
        <v>5883</v>
      </c>
      <c r="B83" s="50"/>
      <c r="C83" s="50"/>
      <c r="E83" s="33">
        <f>SUM(E79:E82)</f>
        <v>1136.9899999999998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5884</v>
      </c>
      <c r="D85" s="53"/>
      <c r="E85" s="53"/>
      <c r="F85" s="53"/>
      <c r="G85" s="53"/>
      <c r="H85" s="123"/>
      <c r="I85" s="123"/>
      <c r="J85" s="3819" t="s">
        <v>5885</v>
      </c>
      <c r="K85" s="3825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4136</v>
      </c>
      <c r="M86" s="1348">
        <v>24.1</v>
      </c>
      <c r="N86" s="1349">
        <v>22</v>
      </c>
      <c r="O86" s="1350">
        <v>21.9</v>
      </c>
      <c r="P86" s="1351" t="s">
        <v>4137</v>
      </c>
      <c r="Q86" s="132"/>
      <c r="R86" s="127"/>
      <c r="S86" s="132"/>
      <c r="T86" s="127"/>
      <c r="U86" s="522"/>
    </row>
    <row r="87" spans="1:21" ht="15.6" thickTop="1" thickBot="1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>
      <c r="A88" s="122" t="s">
        <v>5886</v>
      </c>
      <c r="B88" s="17" t="s">
        <v>4204</v>
      </c>
      <c r="C88" s="18" t="s">
        <v>4149</v>
      </c>
      <c r="D88" s="2559"/>
      <c r="E88" s="2559"/>
      <c r="F88" s="2559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59"/>
      <c r="N88" s="2559"/>
      <c r="O88" s="2559"/>
      <c r="P88" s="306"/>
      <c r="Q88" s="17" t="s">
        <v>4204</v>
      </c>
      <c r="R88" s="18" t="s">
        <v>4149</v>
      </c>
      <c r="S88" s="859"/>
      <c r="T88" s="97"/>
    </row>
    <row r="89" spans="1:21" ht="17.399999999999999">
      <c r="A89" s="106" t="s">
        <v>5888</v>
      </c>
      <c r="B89" s="17" t="s">
        <v>4204</v>
      </c>
      <c r="C89" s="18" t="s">
        <v>4149</v>
      </c>
      <c r="D89" s="2560"/>
      <c r="E89" s="2560"/>
      <c r="F89" s="2560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60"/>
      <c r="N89" s="2560"/>
      <c r="O89" s="2560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>
      <c r="A90" s="108" t="s">
        <v>5889</v>
      </c>
      <c r="B90" s="35" t="s">
        <v>4204</v>
      </c>
      <c r="C90" s="39" t="s">
        <v>4149</v>
      </c>
      <c r="D90" s="2561"/>
      <c r="E90" s="2561"/>
      <c r="F90" s="2561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61"/>
      <c r="N90" s="2561"/>
      <c r="O90" s="2561"/>
      <c r="P90" s="312"/>
      <c r="Q90" s="35" t="s">
        <v>4164</v>
      </c>
      <c r="R90" s="35" t="s">
        <v>4215</v>
      </c>
      <c r="S90" s="545"/>
      <c r="T90" s="78"/>
    </row>
    <row r="91" spans="1:21" ht="15" thickTop="1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4" t="s">
        <v>9312</v>
      </c>
    </row>
    <row r="2" spans="1:22" ht="15" thickBot="1">
      <c r="V2" s="2071"/>
    </row>
    <row r="3" spans="1:22" ht="18.600000000000001" thickTop="1" thickBot="1">
      <c r="A3" s="2" t="s">
        <v>6506</v>
      </c>
      <c r="D3" s="3819" t="s">
        <v>5769</v>
      </c>
      <c r="E3" s="3825"/>
      <c r="F3" s="123"/>
      <c r="G3" s="3818" t="s">
        <v>5770</v>
      </c>
      <c r="H3" s="3818"/>
      <c r="I3" s="3818"/>
      <c r="K3" s="2" t="s">
        <v>6507</v>
      </c>
      <c r="N3" s="3819" t="s">
        <v>5769</v>
      </c>
      <c r="O3" s="3825"/>
      <c r="P3" s="123"/>
      <c r="Q3" s="3818" t="s">
        <v>5772</v>
      </c>
      <c r="R3" s="3818"/>
      <c r="S3" s="3818"/>
    </row>
    <row r="4" spans="1:22" ht="18" thickTop="1" thickBot="1">
      <c r="A4" s="3"/>
      <c r="C4" s="1347" t="s">
        <v>4136</v>
      </c>
      <c r="D4" s="1348">
        <v>73.5</v>
      </c>
      <c r="E4" s="1349">
        <v>46</v>
      </c>
      <c r="F4" s="1350">
        <v>65.400000000000006</v>
      </c>
      <c r="G4" s="1351" t="s">
        <v>4137</v>
      </c>
      <c r="H4" s="132"/>
      <c r="I4" s="127"/>
      <c r="J4" s="522"/>
      <c r="K4" s="3"/>
      <c r="M4" s="1347" t="s">
        <v>4136</v>
      </c>
      <c r="N4" s="1348">
        <v>70.2</v>
      </c>
      <c r="O4" s="1349">
        <v>42.2</v>
      </c>
      <c r="P4" s="1350">
        <v>22.5</v>
      </c>
      <c r="Q4" s="1351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9" cm="1">
        <f t="array" ref="D6">INDEX('4층_부하량'!I3:I3000,MATCH(1,("4-DaHall 1-PDU-02"='4층_부하량'!A3:A3000)*(1='4층_부하량'!B3:B3000),0))</f>
        <v>0.81258021353575471</v>
      </c>
      <c r="E6" s="2559" cm="1">
        <f t="array" ref="E6">INDEX('4층_부하량'!J3:J3000,MATCH(1,("4-DaHall 1-PDU-02"='4층_부하량'!A3:A3000)*(1='4층_부하량'!B3:B3000),0))</f>
        <v>0.65765937527858653</v>
      </c>
      <c r="F6" s="2559" cm="1">
        <f t="array" ref="F6">INDEX('4층_부하량'!K3:K3000,MATCH(1,("4-DaHall 1-PDU-02"='4층_부하량'!A3:A3000)*(1='4층_부하량'!B3:B3000),0))</f>
        <v>0.98351946314828875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9" cm="1">
        <f t="array" ref="N6">INDEX('4층_부하량'!I3:I3000,MATCH(1,("4-DaHall 1-PDU-04"='4층_부하량'!A3:A3000)*(1='4층_부하량'!B3:B3000),0))</f>
        <v>0</v>
      </c>
      <c r="O6" s="2559" cm="1">
        <f t="array" ref="O6">INDEX('4층_부하량'!J3:J3000,MATCH(1,("4-DaHall 1-PDU-04"='4층_부하량'!A3:A3000)*(1='4층_부하량'!B3:B3000),0))</f>
        <v>0</v>
      </c>
      <c r="P6" s="2559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60" cm="1">
        <f t="array" ref="D7">INDEX('4층_부하량'!I3:I3000,MATCH(1,("4-DaHall 1-PDU-02"='4층_부하량'!A3:A3000)*(2='4층_부하량'!B3:B3000),0))</f>
        <v>35.123797999351943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60" cm="1">
        <f t="array" ref="N7">INDEX('4층_부하량'!I3:I3000,MATCH(1,("4-DaHall 1-PDU-04"='4층_부하량'!A3:A3000)*(2='4층_부하량'!B3:B3000),0))</f>
        <v>39.435236245558251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2" cm="1">
        <f t="array" ref="E8">INDEX('4층_부하량'!J3:J3000,MATCH(1,("4-DaHall 1-PDU-02"='4층_부하량'!A3:A3000)*(3='4층_부하량'!B3:B3000),0))</f>
        <v>32.453603100253581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2" cm="1">
        <f t="array" ref="O8">INDEX('4층_부하량'!J3:J3000,MATCH(1,("4-DaHall 1-PDU-04"='4층_부하량'!A3:A3000)*(3='4층_부하량'!B3:B3000),0))</f>
        <v>28.193915464961371</v>
      </c>
      <c r="P8" s="21"/>
      <c r="Q8" s="2585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2" cm="1">
        <f t="array" ref="F9">INDEX('4층_부하량'!K3:K3000,MATCH(1,("4-DaHall 1-PDU-02"='4층_부하량'!A3:A3000)*(4='4층_부하량'!B3:B3000),0))</f>
        <v>35.894050316547165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2" cm="1">
        <f t="array" ref="P9">INDEX('4층_부하량'!K3:K3000,MATCH(1,("4-DaHall 1-PDU-04"='4층_부하량'!A3:A3000)*(4='4층_부하량'!B3:B3000),0))</f>
        <v>0</v>
      </c>
      <c r="Q9" s="2585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3" cm="1">
        <f t="array" ref="D10">INDEX('4층_부하량'!I3:I3000,MATCH(1,("4-DaHall 1-PDU-02"='4층_부하량'!A3:A3000)*(5='4층_부하량'!B3:B3000),0))</f>
        <v>40.550416984927338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3" cm="1">
        <f t="array" ref="N10">INDEX('4층_부하량'!I3:I3000,MATCH(1,("4-DaHall 1-PDU-04"='4층_부하량'!A3:A3000)*(5='4층_부하량'!B3:B3000),0))</f>
        <v>9.8120829610517539</v>
      </c>
      <c r="O10" s="25"/>
      <c r="P10" s="25"/>
      <c r="Q10" s="2586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2" cm="1">
        <f t="array" ref="E11">INDEX('4층_부하량'!J3:J3000,MATCH(1,("4-DaHall 1-PDU-02"='4층_부하량'!A3:A3000)*(6='4층_부하량'!B3:B3000),0))</f>
        <v>12.26991079043764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2" cm="1">
        <f t="array" ref="O11">INDEX('4층_부하량'!J3:J3000,MATCH(1,("4-DaHall 1-PDU-04"='4층_부하량'!A3:A3000)*(6='4층_부하량'!B3:B3000),0))</f>
        <v>14.426753218749552</v>
      </c>
      <c r="P11" s="21"/>
      <c r="Q11" s="2585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3" cm="1">
        <f t="array" ref="F12">INDEX('4층_부하량'!K3:K3000,MATCH(1,("4-DaHall 1-PDU-02"='4층_부하량'!A3:A3000)*(7='4층_부하량'!B3:B3000),0))</f>
        <v>29.025108755804577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3" cm="1">
        <f t="array" ref="P12">INDEX('4층_부하량'!K3:K3000,MATCH(1,("4-DaHall 1-PDU-04"='4층_부하량'!A3:A3000)*(7='4층_부하량'!B3:B3000),0))</f>
        <v>21.588904247311696</v>
      </c>
      <c r="Q12" s="2586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2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2" cm="1">
        <f t="array" ref="N13">INDEX('4층_부하량'!I3:I3000,MATCH(1,("4-DaHall 1-PDU-04"='4층_부하량'!A3:A3000)*(8='4층_부하량'!B3:B3000),0))</f>
        <v>22.365613183682324</v>
      </c>
      <c r="O13" s="21"/>
      <c r="P13" s="21"/>
      <c r="Q13" s="2585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4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4" cm="1">
        <f t="array" ref="O14">INDEX('4층_부하량'!J3:J3000,MATCH(1,("4-DaHall 1-PDU-04"='4층_부하량'!A3:A3000)*(9='4층_부하량'!B3:B3000),0))</f>
        <v>0</v>
      </c>
      <c r="P14" s="30"/>
      <c r="Q14" s="2587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76.486795197815042</v>
      </c>
      <c r="E15" s="33">
        <f>SUM(E6:E14)</f>
        <v>45.381173265969807</v>
      </c>
      <c r="F15" s="33">
        <f>SUM(F6:F14)</f>
        <v>65.90267853550003</v>
      </c>
      <c r="M15" s="32" t="s">
        <v>5218</v>
      </c>
      <c r="N15" s="33">
        <f>SUM(N6:N14)</f>
        <v>71.612932390292329</v>
      </c>
      <c r="O15" s="33">
        <f>SUM(O6:O14)</f>
        <v>42.620668683710925</v>
      </c>
      <c r="P15" s="33">
        <f>SUM(P6:P14)</f>
        <v>21.588904247311696</v>
      </c>
    </row>
    <row r="16" spans="1:22" ht="18.600000000000001" thickTop="1" thickBot="1">
      <c r="A16" s="2" t="s">
        <v>6508</v>
      </c>
      <c r="D16" s="3819" t="s">
        <v>5769</v>
      </c>
      <c r="E16" s="3825"/>
      <c r="F16" s="123"/>
      <c r="G16" s="3818" t="s">
        <v>5792</v>
      </c>
      <c r="H16" s="3818"/>
      <c r="I16" s="3818"/>
      <c r="K16" s="636" t="s">
        <v>6509</v>
      </c>
      <c r="N16" s="3819" t="s">
        <v>5769</v>
      </c>
      <c r="O16" s="3825"/>
      <c r="P16" s="123"/>
      <c r="Q16" s="3818" t="s">
        <v>5794</v>
      </c>
      <c r="R16" s="3818"/>
      <c r="S16" s="3818"/>
    </row>
    <row r="17" spans="1:20" ht="18" thickTop="1" thickBot="1">
      <c r="A17" s="3"/>
      <c r="C17" s="1347" t="s">
        <v>4136</v>
      </c>
      <c r="D17" s="1348">
        <v>67</v>
      </c>
      <c r="E17" s="1349">
        <v>32.4</v>
      </c>
      <c r="F17" s="1350">
        <v>27</v>
      </c>
      <c r="G17" s="1351" t="s">
        <v>4137</v>
      </c>
      <c r="H17" s="132"/>
      <c r="I17" s="127"/>
      <c r="J17" s="522"/>
      <c r="K17" s="3"/>
      <c r="M17" s="1347" t="s">
        <v>4136</v>
      </c>
      <c r="N17" s="1348">
        <v>44.8</v>
      </c>
      <c r="O17" s="1349">
        <v>68.400000000000006</v>
      </c>
      <c r="P17" s="1350">
        <v>18</v>
      </c>
      <c r="Q17" s="1351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9" cm="1">
        <f t="array" ref="D19">INDEX('4층_부하량'!I3:I3000,MATCH(1,("4-DaHall 1-PDU-06"='4층_부하량'!A3:A3000)*(1='4층_부하량'!B3:B3000),0))</f>
        <v>10.579549843542107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9" cm="1">
        <f t="array" ref="N19">INDEX('4층_부하량'!I3:I3000,MATCH(1,("4-DaHall 1-PDU-08"='4층_부하량'!A3:A3000)*(1='4층_부하량'!B3:B3000),0))</f>
        <v>22.848984809768154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60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60" cm="1">
        <f t="array" ref="O20">INDEX('4층_부하량'!J3:J3000,MATCH(1,("4-DaHall 1-PDU-08"='4층_부하량'!A3:A3000)*(2='4층_부하량'!B3:B3000),0))</f>
        <v>33.292204035950363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2" cm="1">
        <f t="array" ref="F21">INDEX('4층_부하량'!K3:K3000,MATCH(1,("4-DaHall 1-PDU-06"='4층_부하량'!A3:A3000)*(3='4층_부하량'!B3:B3000),0))</f>
        <v>8.9390094684596821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2" cm="1">
        <f t="array" ref="P21">INDEX('4층_부하량'!K3:K3000,MATCH(1,("4-DaHall 1-PDU-08"='4층_부하량'!A3:A3000)*(3='4층_부하량'!B3:B3000),0))</f>
        <v>5.3890276747567327</v>
      </c>
      <c r="Q21" s="2585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2" cm="1">
        <f t="array" ref="D22">INDEX('4층_부하량'!I3:I3000,MATCH(1,("4-DaHall 1-PDU-06"='4층_부하량'!A3:A3000)*(4='4층_부하량'!B3:B3000),0))</f>
        <v>6.9178206459703837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2" cm="1">
        <f t="array" ref="N22">INDEX('4층_부하량'!I3:I3000,MATCH(1,("4-DaHall 1-PDU-08"='4층_부하량'!A3:A3000)*(4='4층_부하량'!B3:B3000),0))</f>
        <v>9.4764818599094038</v>
      </c>
      <c r="O22" s="21"/>
      <c r="P22" s="21"/>
      <c r="Q22" s="2585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2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2" cm="1">
        <f t="array" ref="O23">INDEX('4층_부하량'!J3:J3000,MATCH(1,("4-DaHall 1-PDU-08"='4층_부하량'!A3:A3000)*(5='4층_부하량'!B3:B3000),0))</f>
        <v>7.4156375125905507</v>
      </c>
      <c r="P23" s="25"/>
      <c r="Q23" s="2586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2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2" cm="1">
        <f t="array" ref="P24">INDEX('4층_부하량'!K3:K3000,MATCH(1,("4-DaHall 1-PDU-08"='4층_부하량'!A3:A3000)*(6='4층_부하량'!B3:B3000),0))</f>
        <v>12.016159416708657</v>
      </c>
      <c r="Q24" s="2585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3" cm="1">
        <f t="array" ref="D25">INDEX('4층_부하량'!I3:I3000,MATCH(1,("4-DaHall 1-PDU-06"='4층_부하량'!A3:A3000)*(7='4층_부하량'!B3:B3000),0))</f>
        <v>8.1989380586514038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3" cm="1">
        <f t="array" ref="N25">INDEX('4층_부하량'!I3:I3000,MATCH(1,("4-DaHall 1-PDU-08"='4층_부하량'!A3:A3000)*(7='4층_부하량'!B3:B3000),0))</f>
        <v>13.02966962640018</v>
      </c>
      <c r="O25" s="25"/>
      <c r="P25" s="25"/>
      <c r="Q25" s="2586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2" cm="1">
        <f t="array" ref="E26">INDEX('4층_부하량'!J3:J3000,MATCH(1,("4-DaHall 1-PDU-06"='4층_부하량'!A3:A3000)*(8='4층_부하량'!B3:B3000),0))</f>
        <v>14.000851890958302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2" cm="1">
        <f t="array" ref="O26">INDEX('4층_부하량'!J3:J3000,MATCH(1,("4-DaHall 1-PDU-08"='4층_부하량'!A3:A3000)*(8='4층_부하량'!B3:B3000),0))</f>
        <v>27.290510605881128</v>
      </c>
      <c r="P26" s="21"/>
      <c r="Q26" s="2585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2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2" cm="1">
        <f t="array" ref="P27">INDEX('4층_부하량'!K3:K3000,MATCH(1,("4-DaHall 1-PDU-08"='4층_부하량'!A3:A3000)*(9='4층_부하량'!B3:B3000),0))</f>
        <v>0</v>
      </c>
      <c r="Q27" s="2585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2" cm="1">
        <f t="array" ref="D28">INDEX('4층_부하량'!I3:I3000,MATCH(1,("4-DaHall 1-PDU-06"='4층_부하량'!A3:A3000)*(10='4층_부하량'!B3:B3000),0))</f>
        <v>38.390952111068763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2" cm="1">
        <f t="array" ref="N28">INDEX('4층_부하량'!I3:I3000,MATCH(1,("4-DaHall 1-PDU-08"='4층_부하량'!A3:A3000)*(10='4층_부하량'!B3:B3000),0))</f>
        <v>0</v>
      </c>
      <c r="O28" s="21"/>
      <c r="P28" s="21"/>
      <c r="Q28" s="2585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2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2" cm="1">
        <f t="array" ref="O29">INDEX('4층_부하량'!J3:J3000,MATCH(1,("4-DaHall 1-PDU-08"='4층_부하량'!A3:A3000)*(11='4층_부하량'!B3:B3000),0))</f>
        <v>0</v>
      </c>
      <c r="P29" s="21"/>
      <c r="Q29" s="2585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61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61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64.087260659232655</v>
      </c>
      <c r="E31" s="33">
        <f>SUM(E19:E30)</f>
        <v>14.000851890958302</v>
      </c>
      <c r="F31" s="33">
        <f>SUM(F19:F30)</f>
        <v>8.9390094684596821</v>
      </c>
      <c r="M31" s="32" t="s">
        <v>5218</v>
      </c>
      <c r="N31" s="33">
        <f>SUM(N19:N30)</f>
        <v>45.355136296077738</v>
      </c>
      <c r="O31" s="33">
        <f>SUM(O19:O30)</f>
        <v>67.998352154422037</v>
      </c>
      <c r="P31" s="33">
        <f>SUM(P19:P30)</f>
        <v>17.40518709146539</v>
      </c>
    </row>
    <row r="32" spans="1:20" ht="18.600000000000001" thickTop="1" thickBot="1">
      <c r="A32" s="2" t="s">
        <v>6510</v>
      </c>
      <c r="D32" s="3819" t="s">
        <v>5769</v>
      </c>
      <c r="E32" s="3825"/>
      <c r="F32" s="123"/>
      <c r="G32" s="3818" t="s">
        <v>5821</v>
      </c>
      <c r="H32" s="3818"/>
      <c r="I32" s="3818"/>
      <c r="K32" s="2" t="s">
        <v>6511</v>
      </c>
      <c r="N32" s="3819" t="s">
        <v>5769</v>
      </c>
      <c r="O32" s="3825"/>
      <c r="P32" s="123"/>
      <c r="Q32" s="3818" t="s">
        <v>5823</v>
      </c>
      <c r="R32" s="3818"/>
      <c r="S32" s="3818"/>
    </row>
    <row r="33" spans="1:20" ht="18" thickTop="1" thickBot="1">
      <c r="A33" s="3"/>
      <c r="C33" s="1347" t="s">
        <v>4136</v>
      </c>
      <c r="D33" s="1348">
        <v>46.5</v>
      </c>
      <c r="E33" s="1349">
        <v>43.9</v>
      </c>
      <c r="F33" s="1350">
        <v>43.5</v>
      </c>
      <c r="G33" s="1351" t="s">
        <v>4137</v>
      </c>
      <c r="H33" s="132"/>
      <c r="I33" s="127"/>
      <c r="J33" s="522"/>
      <c r="K33" s="3"/>
      <c r="M33" s="1347" t="s">
        <v>4136</v>
      </c>
      <c r="N33" s="1348">
        <v>77.599999999999994</v>
      </c>
      <c r="O33" s="1349">
        <v>59.1</v>
      </c>
      <c r="P33" s="1350">
        <v>50.5</v>
      </c>
      <c r="Q33" s="1351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9" cm="1">
        <f t="array" ref="D35">INDEX('4층_부하량'!I3:I3000,MATCH(1,("4-DaHall 1-PDU-10"='4층_부하량'!A3:A3000)*(1='4층_부하량'!B3:B3000),0))</f>
        <v>0</v>
      </c>
      <c r="E35" s="2559" cm="1">
        <f t="array" ref="E35">INDEX('4층_부하량'!J3:J3000,MATCH(1,("4-DaHall 1-PDU-10"='4층_부하량'!A3:A3000)*(1='4층_부하량'!B3:B3000),0))</f>
        <v>0</v>
      </c>
      <c r="F35" s="2559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9" cm="1">
        <f t="array" ref="N35">INDEX('4층_부하량'!I3:I3000,MATCH(1,("4-DaHall 1-PDU-01"='4층_부하량'!A3:A3000)*(1='4층_부하량'!B3:B3000),0))</f>
        <v>1.3353597706327813</v>
      </c>
      <c r="O35" s="2559" cm="1">
        <f t="array" ref="O35">INDEX('4층_부하량'!J3:J3000,MATCH(1,("4-DaHall 1-PDU-01"='4층_부하량'!A3:A3000)*(1='4층_부하량'!B3:B3000),0))</f>
        <v>1.0495615782755618</v>
      </c>
      <c r="P35" s="2559" cm="1">
        <f t="array" ref="P35">INDEX('4층_부하량'!K3:K3000,MATCH(1,("4-DaHall 1-PDU-01"='4층_부하량'!A3:A3000)*(1='4층_부하량'!B3:B3000),0))</f>
        <v>1.530533610434692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60" cm="1">
        <f t="array" ref="D36">INDEX('4층_부하량'!I3:I3000,MATCH(1,("4-DaHall 1-PDU-10"='4층_부하량'!A3:A3000)*(2='4층_부하량'!B3:B3000),0))</f>
        <v>30.605465931953763</v>
      </c>
      <c r="E36" s="2560" cm="1">
        <f t="array" ref="E36">INDEX('4층_부하량'!J3:J3000,MATCH(1,("4-DaHall 1-PDU-10"='4층_부하량'!A3:A3000)*(2='4층_부하량'!B3:B3000),0))</f>
        <v>28.005182196911878</v>
      </c>
      <c r="F36" s="2560" cm="1">
        <f t="array" ref="F36">INDEX('4층_부하량'!K3:K3000,MATCH(1,("4-DaHall 1-PDU-10"='4층_부하량'!A3:A3000)*(2='4층_부하량'!B3:B3000),0))</f>
        <v>29.511825415367369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60" cm="1">
        <f t="array" ref="N36">INDEX('4층_부하량'!I3:I3000,MATCH(1,("4-DaHall 1-PDU-01"='4층_부하량'!A3:A3000)*(2='4층_부하량'!B3:B3000),0))</f>
        <v>37.416822660522101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61" cm="1">
        <f t="array" ref="D37">INDEX('4층_부하량'!I3:I3000,MATCH(1,("4-DaHall 1-PDU-10"='4층_부하량'!A3:A3000)*(3='4층_부하량'!B3:B3000),0))</f>
        <v>15.288716765046544</v>
      </c>
      <c r="E37" s="2561" cm="1">
        <f t="array" ref="E37">INDEX('4층_부하량'!J3:J3000,MATCH(1,("4-DaHall 1-PDU-10"='4층_부하량'!A3:A3000)*(3='4층_부하량'!B3:B3000),0))</f>
        <v>15.006032109125686</v>
      </c>
      <c r="F37" s="2561" cm="1">
        <f t="array" ref="F37">INDEX('4층_부하량'!K3:K3000,MATCH(1,("4-DaHall 1-PDU-10"='4층_부하량'!A3:A3000)*(3='4층_부하량'!B3:B3000),0))</f>
        <v>14.659001679573484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2" cm="1">
        <f t="array" ref="O37">INDEX('4층_부하량'!J3:J3000,MATCH(1,("4-DaHall 1-PDU-01"='4층_부하량'!A3:A3000)*(3='4층_부하량'!B3:B3000),0))</f>
        <v>34.228668104023164</v>
      </c>
      <c r="P37" s="21"/>
      <c r="Q37" s="2585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7">
        <f>SUM(D35:D37)</f>
        <v>45.894182697000304</v>
      </c>
      <c r="E38" s="1147">
        <f t="shared" ref="E38:G38" si="0">SUM(E35:E37)</f>
        <v>43.011214306037566</v>
      </c>
      <c r="F38" s="1147">
        <f t="shared" si="0"/>
        <v>44.170827094940854</v>
      </c>
      <c r="G38" s="1147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2" cm="1">
        <f t="array" ref="P38">INDEX('4층_부하량'!K3:K3000,MATCH(1,("4-DaHall 1-PDU-01"='4층_부하량'!A3:A3000)*(4='4층_부하량'!B3:B3000),0))</f>
        <v>37.155698504598092</v>
      </c>
      <c r="Q38" s="2585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3" cm="1">
        <f t="array" ref="N39">INDEX('4층_부하량'!I3:I3000,MATCH(1,("4-DaHall 1-PDU-01"='4층_부하량'!A3:A3000)*(5='4층_부하량'!B3:B3000),0))</f>
        <v>41.059504115926664</v>
      </c>
      <c r="O39" s="25"/>
      <c r="P39" s="25"/>
      <c r="Q39" s="2586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2" cm="1">
        <f t="array" ref="O40">INDEX('4층_부하량'!J3:J3000,MATCH(1,("4-DaHall 1-PDU-01"='4층_부하량'!A3:A3000)*(6='4층_부하량'!B3:B3000),0))</f>
        <v>23.790832409003098</v>
      </c>
      <c r="P40" s="21"/>
      <c r="Q40" s="2585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3" cm="1">
        <f t="array" ref="P41">INDEX('4층_부하량'!K3:K3000,MATCH(1,("4-DaHall 1-PDU-01"='4층_부하량'!A3:A3000)*(7='4층_부하량'!B3:B3000),0))</f>
        <v>12.555711806006379</v>
      </c>
      <c r="Q41" s="2586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2" cm="1">
        <f t="array" ref="N42">INDEX('4층_부하량'!I3:I3000,MATCH(1,("4-DaHall 1-PDU-01"='4층_부하량'!A3:A3000)*(8='4층_부하량'!B3:B3000),0))</f>
        <v>0</v>
      </c>
      <c r="O42" s="21"/>
      <c r="P42" s="21"/>
      <c r="Q42" s="2585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4164</v>
      </c>
      <c r="M43" s="35" t="s">
        <v>4215</v>
      </c>
      <c r="N43" s="30"/>
      <c r="O43" s="2561" cm="1">
        <f t="array" ref="O43">INDEX('4층_부하량'!J3:J3000,MATCH(1,("4-DaHall 1-PDU-01"='4층_부하량'!A3:A3000)*(9='4층_부하량'!B3:B3000),0))</f>
        <v>0</v>
      </c>
      <c r="P43" s="30"/>
      <c r="Q43" s="2587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79.81168654708155</v>
      </c>
      <c r="O44" s="33">
        <f>SUM(O35:O43)</f>
        <v>59.069062091301831</v>
      </c>
      <c r="P44" s="33">
        <f>SUM(P35:P43)</f>
        <v>51.241943921039166</v>
      </c>
    </row>
    <row r="45" spans="1:20" ht="18.600000000000001" thickTop="1" thickBot="1">
      <c r="A45" s="2" t="s">
        <v>6512</v>
      </c>
      <c r="D45" s="3819" t="s">
        <v>4288</v>
      </c>
      <c r="E45" s="3825"/>
      <c r="F45" s="123"/>
      <c r="G45" s="3818" t="s">
        <v>5837</v>
      </c>
      <c r="H45" s="3818"/>
      <c r="I45" s="3818"/>
      <c r="K45" s="2" t="s">
        <v>6513</v>
      </c>
      <c r="N45" s="3819" t="s">
        <v>4288</v>
      </c>
      <c r="O45" s="3825"/>
      <c r="P45" s="123"/>
      <c r="Q45" s="3818" t="s">
        <v>5839</v>
      </c>
      <c r="R45" s="3818"/>
      <c r="S45" s="3818"/>
    </row>
    <row r="46" spans="1:20" ht="18" thickTop="1" thickBot="1">
      <c r="A46" s="3"/>
      <c r="C46" s="1347" t="s">
        <v>4136</v>
      </c>
      <c r="D46" s="1348">
        <v>57.4</v>
      </c>
      <c r="E46" s="1349">
        <v>38.799999999999997</v>
      </c>
      <c r="F46" s="1350">
        <v>25.4</v>
      </c>
      <c r="G46" s="1351" t="s">
        <v>4137</v>
      </c>
      <c r="H46" s="132"/>
      <c r="I46" s="127"/>
      <c r="J46" s="522"/>
      <c r="K46" s="3"/>
      <c r="M46" s="1347" t="s">
        <v>4136</v>
      </c>
      <c r="N46" s="1348">
        <v>59.5</v>
      </c>
      <c r="O46" s="1349">
        <v>27.6</v>
      </c>
      <c r="P46" s="1350">
        <v>25.2</v>
      </c>
      <c r="Q46" s="1351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9" cm="1">
        <f t="array" ref="D48">INDEX('4층_부하량'!I3:I3000,MATCH(1,("4-DaHall 1-PDU-03"='4층_부하량'!A3:A3000)*(1='4층_부하량'!B3:B3000),0))</f>
        <v>0</v>
      </c>
      <c r="E48" s="2559" cm="1">
        <f t="array" ref="E48">INDEX('4층_부하량'!J3:J3000,MATCH(1,("4-DaHall 1-PDU-03"='4층_부하량'!A3:A3000)*(1='4층_부하량'!B3:B3000),0))</f>
        <v>0</v>
      </c>
      <c r="F48" s="2559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9" cm="1">
        <f t="array" ref="N48">INDEX('4층_부하량'!I3:I3000,MATCH(1,("4-DaHall 1-PDU-05"='4층_부하량'!A3:A3000)*(1='4층_부하량'!B3:B3000),0))</f>
        <v>8.9999479395326958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60" cm="1">
        <f t="array" ref="D49">INDEX('4층_부하량'!I3:I3000,MATCH(1,("4-DaHall 1-PDU-03"='4층_부하량'!A3:A3000)*(2='4층_부하량'!B3:B3000),0))</f>
        <v>32.196759763022428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60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2" cm="1">
        <f t="array" ref="E50">INDEX('4층_부하량'!J3:J3000,MATCH(1,("4-DaHall 1-PDU-03"='4층_부하량'!A3:A3000)*(3='4층_부하량'!B3:B3000),0))</f>
        <v>28.077009807419458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2" cm="1">
        <f t="array" ref="P50">INDEX('4층_부하량'!K3:K3000,MATCH(1,("4-DaHall 1-PDU-05"='4층_부하량'!A3:A3000)*(3='4층_부하량'!B3:B3000),0))</f>
        <v>7.7166178191024724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2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2" cm="1">
        <f t="array" ref="N51">INDEX('4층_부하량'!I3:I3000,MATCH(1,("4-DaHall 1-PDU-05"='4층_부하량'!A3:A3000)*(4='4층_부하량'!B3:B3000),0))</f>
        <v>7.2118840753374567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3" cm="1">
        <f t="array" ref="D52">INDEX('4층_부하량'!I3:I3000,MATCH(1,("4-DaHall 1-PDU-03"='4층_부하량'!A3:A3000)*(5='4층_부하량'!B3:B3000),0))</f>
        <v>6.4563675703259147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2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2" cm="1">
        <f t="array" ref="E53">INDEX('4층_부하량'!J3:J3000,MATCH(1,("4-DaHall 1-PDU-03"='4층_부하량'!A3:A3000)*(6='4층_부하량'!B3:B3000),0))</f>
        <v>10.277521570985932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2" cm="1">
        <f t="array" ref="P53">INDEX('4층_부하량'!K3:K3000,MATCH(1,("4-DaHall 1-PDU-05"='4층_부하량'!A3:A3000)*(6='4층_부하량'!B3:B3000),0))</f>
        <v>12.861502697120752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3" cm="1">
        <f t="array" ref="F54">INDEX('4층_부하량'!K3:K3000,MATCH(1,("4-DaHall 1-PDU-03"='4층_부하량'!A3:A3000)*(7='4층_부하량'!B3:B3000),0))</f>
        <v>28.816860546471965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3" cm="1">
        <f t="array" ref="N54">INDEX('4층_부하량'!I3:I3000,MATCH(1,("4-DaHall 1-PDU-05"='4층_부하량'!A3:A3000)*(7='4층_부하량'!B3:B3000),0))</f>
        <v>6.6732216849112334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2" cm="1">
        <f t="array" ref="D55">INDEX('4층_부하량'!I3:I3000,MATCH(1,("4-DaHall 1-PDU-03"='4층_부하량'!A3:A3000)*(8='4층_부하량'!B3:B3000),0))</f>
        <v>18.481394385227542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2" cm="1">
        <f t="array" ref="O55">INDEX('4층_부하량'!J3:J3000,MATCH(1,("4-DaHall 1-PDU-05"='4층_부하량'!A3:A3000)*(8='4층_부하량'!B3:B3000),0))</f>
        <v>13.236199006025595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4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2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57.134521718575883</v>
      </c>
      <c r="E57" s="33">
        <f>SUM(E48:E56)</f>
        <v>38.35453137840539</v>
      </c>
      <c r="F57" s="33">
        <f>SUM(F48:F56)</f>
        <v>28.816860546471965</v>
      </c>
      <c r="K57" s="265" t="s">
        <v>5856</v>
      </c>
      <c r="L57" s="23" t="s">
        <v>4204</v>
      </c>
      <c r="M57" s="24" t="s">
        <v>4149</v>
      </c>
      <c r="N57" s="2562" cm="1">
        <f t="array" ref="N57">INDEX('4층_부하량'!I3:I3000,MATCH(1,("4-DaHall 1-PDU-05"='4층_부하량'!A3:A3000)*(10='4층_부하량'!B3:B3000),0))</f>
        <v>31.920548973884557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2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61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54.805602673665945</v>
      </c>
      <c r="O60" s="33">
        <f>SUM(O48:O59)</f>
        <v>13.236199006025595</v>
      </c>
      <c r="P60" s="33">
        <f>SUM(P48:P59)</f>
        <v>20.578120516223223</v>
      </c>
    </row>
    <row r="61" spans="1:20" ht="18.600000000000001" thickTop="1" thickBot="1">
      <c r="A61" s="636" t="s">
        <v>6514</v>
      </c>
      <c r="D61" s="3819" t="s">
        <v>4288</v>
      </c>
      <c r="E61" s="3825"/>
      <c r="F61" s="123"/>
      <c r="G61" s="3818" t="s">
        <v>5858</v>
      </c>
      <c r="H61" s="3818"/>
      <c r="I61" s="3818"/>
      <c r="K61" s="2" t="s">
        <v>6515</v>
      </c>
      <c r="N61" s="3819" t="s">
        <v>4288</v>
      </c>
      <c r="O61" s="3825"/>
      <c r="P61" s="123"/>
      <c r="Q61" s="3818" t="s">
        <v>5860</v>
      </c>
      <c r="R61" s="3818"/>
      <c r="S61" s="3818"/>
    </row>
    <row r="62" spans="1:20" ht="15" customHeight="1" thickTop="1" thickBot="1">
      <c r="A62" s="3"/>
      <c r="C62" s="1347" t="s">
        <v>4136</v>
      </c>
      <c r="D62" s="1348">
        <v>44.7</v>
      </c>
      <c r="E62" s="1349">
        <v>76.7</v>
      </c>
      <c r="F62" s="1350">
        <v>22</v>
      </c>
      <c r="G62" s="1351" t="s">
        <v>4137</v>
      </c>
      <c r="H62" s="132"/>
      <c r="I62" s="127"/>
      <c r="J62" s="522"/>
      <c r="K62" s="3"/>
      <c r="M62" s="1347" t="s">
        <v>4136</v>
      </c>
      <c r="N62" s="1348">
        <v>0</v>
      </c>
      <c r="O62" s="1349">
        <v>0</v>
      </c>
      <c r="P62" s="1350">
        <v>0</v>
      </c>
      <c r="Q62" s="1351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9" cm="1">
        <f t="array" ref="D64">INDEX('4층_부하량'!I3:I3000,MATCH(1,("4-DaHall 1-PDU-07"='4층_부하량'!A3:A3000)*(1='4층_부하량'!B3:B3000),0))</f>
        <v>20.543573975435553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9" cm="1">
        <f t="array" ref="N64">INDEX('4층_부하량'!I3:I3000,MATCH(1,("4-DaHall 1-PDU-09"='4층_부하량'!A3:A3000)*(1='4층_부하량'!B3:B3000),0))</f>
        <v>0</v>
      </c>
      <c r="O64" s="2559" cm="1">
        <f t="array" ref="O64">INDEX('4층_부하량'!J3:J3000,MATCH(1,("4-DaHall 1-PDU-09"='4층_부하량'!A3:A3000)*(1='4층_부하량'!B3:B3000),0))</f>
        <v>0</v>
      </c>
      <c r="P64" s="2559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60" cm="1">
        <f t="array" ref="E65">INDEX('4층_부하량'!J3:J3000,MATCH(1,("4-DaHall 1-PDU-07"='4층_부하량'!A3:A3000)*(2='4층_부하량'!B3:B3000),0))</f>
        <v>33.58008236793944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9" cm="1">
        <f t="array" ref="N65">INDEX('4층_부하량'!I3:I3000,MATCH(1,("4-DaHall 1-PDU-09"='4층_부하량'!A3:A3000)*(2='4층_부하량'!B3:B3000),0))</f>
        <v>0</v>
      </c>
      <c r="O65" s="2559" cm="1">
        <f t="array" ref="O65">INDEX('4층_부하량'!J3:J3000,MATCH(1,("4-DaHall 1-PDU-09"='4층_부하량'!A3:A3000)*(2='4층_부하량'!B3:B3000),0))</f>
        <v>0</v>
      </c>
      <c r="P65" s="2559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2" cm="1">
        <f t="array" ref="F66">INDEX('4층_부하량'!K3:K3000,MATCH(1,("4-DaHall 1-PDU-07"='4층_부하량'!A3:A3000)*(3='4층_부하량'!B3:B3000),0))</f>
        <v>5.2875749616125036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9" cm="1">
        <f t="array" ref="N66">INDEX('4층_부하량'!I3:I3000,MATCH(1,("4-DaHall 1-PDU-09"='4층_부하량'!A3:A3000)*(3='4층_부하량'!B3:B3000),0))</f>
        <v>0</v>
      </c>
      <c r="O66" s="2559" cm="1">
        <f t="array" ref="O66">INDEX('4층_부하량'!J3:J3000,MATCH(1,("4-DaHall 1-PDU-09"='4층_부하량'!A3:A3000)*(3='4층_부하량'!B3:B3000),0))</f>
        <v>0</v>
      </c>
      <c r="P66" s="2559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2" cm="1">
        <f t="array" ref="D67">INDEX('4층_부하량'!I3:I3000,MATCH(1,("4-DaHall 1-PDU-07"='4층_부하량'!A3:A3000)*(4='4층_부하량'!B3:B3000),0))</f>
        <v>10.362030431576024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3" cm="1">
        <f t="array" ref="E68">INDEX('4층_부하량'!J3:J3000,MATCH(1,("4-DaHall 1-PDU-07"='4층_부하량'!A3:A3000)*(5='4층_부하량'!B3:B3000),0))</f>
        <v>5.9983034401830526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2" cm="1">
        <f t="array" ref="F69">INDEX('4층_부하량'!K3:K3000,MATCH(1,("4-DaHall 1-PDU-07"='4층_부하량'!A3:A3000)*(6='4층_부하량'!B3:B3000),0))</f>
        <v>15.958598084731264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3" cm="1">
        <f t="array" ref="D70">INDEX('4층_부하량'!I3:I3000,MATCH(1,("4-DaHall 1-PDU-07"='4층_부하량'!A3:A3000)*(7='4층_부하량'!B3:B3000),0))</f>
        <v>13.809094358016063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2" cm="1">
        <f t="array" ref="E71">INDEX('4층_부하량'!J3:J3000,MATCH(1,("4-DaHall 1-PDU-07"='4층_부하량'!A3:A3000)*(8='4층_부하량'!B3:B3000),0))</f>
        <v>33.917271821155126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2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2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2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61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5218</v>
      </c>
      <c r="D76" s="33">
        <f>SUM(D64:D75)</f>
        <v>44.714698765027642</v>
      </c>
      <c r="E76" s="33">
        <f>SUM(E64:E75)</f>
        <v>73.495657629277616</v>
      </c>
      <c r="F76" s="33">
        <f>SUM(F64:F75)</f>
        <v>21.246173046343767</v>
      </c>
    </row>
    <row r="78" spans="1:20">
      <c r="E78" t="s">
        <v>4542</v>
      </c>
      <c r="F78" t="s">
        <v>5878</v>
      </c>
    </row>
    <row r="79" spans="1:20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655.72931064223781</v>
      </c>
      <c r="F79" s="51">
        <f>E79/$E$83</f>
        <v>0.60498107359402631</v>
      </c>
    </row>
    <row r="80" spans="1:20">
      <c r="B80" s="50" t="s">
        <v>5880</v>
      </c>
      <c r="C80" s="50" t="s">
        <v>5881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4239</v>
      </c>
      <c r="C81" s="50" t="s">
        <v>5881</v>
      </c>
      <c r="D81" s="50"/>
      <c r="E81" s="33"/>
      <c r="F81" s="51"/>
    </row>
    <row r="82" spans="1:21">
      <c r="B82" s="50" t="s">
        <v>5880</v>
      </c>
      <c r="C82" s="50" t="s">
        <v>5882</v>
      </c>
      <c r="D82" s="50"/>
      <c r="E82" s="33">
        <f>SUM(F51,E50,D49,N39,P38,O37,N36,N35:P35,P9,O8,N7,D10,F9,E8,D7,D6:F6)</f>
        <v>428.15469707841726</v>
      </c>
      <c r="F82" s="51">
        <f>E82/$E$83</f>
        <v>0.39501892640597369</v>
      </c>
    </row>
    <row r="83" spans="1:21">
      <c r="A83" t="s">
        <v>5883</v>
      </c>
      <c r="B83" s="50"/>
      <c r="C83" s="50"/>
      <c r="E83" s="33">
        <f>SUM(E79:E82)</f>
        <v>1083.8840077206551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5884</v>
      </c>
      <c r="D85" s="53"/>
      <c r="E85" s="53"/>
      <c r="F85" s="53"/>
      <c r="G85" s="53"/>
      <c r="H85" s="123"/>
      <c r="I85" s="123"/>
      <c r="J85" s="3819" t="s">
        <v>5885</v>
      </c>
      <c r="K85" s="3825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4136</v>
      </c>
      <c r="M86" s="1348">
        <v>24.1</v>
      </c>
      <c r="N86" s="1349">
        <v>22</v>
      </c>
      <c r="O86" s="1350">
        <v>21.9</v>
      </c>
      <c r="P86" s="1351" t="s">
        <v>4137</v>
      </c>
      <c r="Q86" s="132"/>
      <c r="R86" s="127"/>
      <c r="S86" s="132"/>
      <c r="T86" s="127"/>
      <c r="U86" s="522"/>
    </row>
    <row r="87" spans="1:21" ht="15.6" thickTop="1" thickBot="1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>
      <c r="A88" s="122" t="s">
        <v>5886</v>
      </c>
      <c r="B88" s="17" t="s">
        <v>4204</v>
      </c>
      <c r="C88" s="18" t="s">
        <v>4149</v>
      </c>
      <c r="D88" s="2559"/>
      <c r="E88" s="2559"/>
      <c r="F88" s="2559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59"/>
      <c r="N88" s="2559"/>
      <c r="O88" s="2559"/>
      <c r="P88" s="306"/>
      <c r="Q88" s="17" t="s">
        <v>4204</v>
      </c>
      <c r="R88" s="18" t="s">
        <v>4149</v>
      </c>
      <c r="S88" s="859"/>
      <c r="T88" s="97"/>
    </row>
    <row r="89" spans="1:21" ht="17.399999999999999">
      <c r="A89" s="106" t="s">
        <v>5888</v>
      </c>
      <c r="B89" s="17" t="s">
        <v>4204</v>
      </c>
      <c r="C89" s="18" t="s">
        <v>4149</v>
      </c>
      <c r="D89" s="2560"/>
      <c r="E89" s="2560"/>
      <c r="F89" s="2560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60"/>
      <c r="N89" s="2560"/>
      <c r="O89" s="2560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>
      <c r="A90" s="108" t="s">
        <v>5889</v>
      </c>
      <c r="B90" s="35" t="s">
        <v>4204</v>
      </c>
      <c r="C90" s="39" t="s">
        <v>4149</v>
      </c>
      <c r="D90" s="2561"/>
      <c r="E90" s="2561"/>
      <c r="F90" s="2561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61"/>
      <c r="N90" s="2561"/>
      <c r="O90" s="2561"/>
      <c r="P90" s="312"/>
      <c r="Q90" s="35" t="s">
        <v>4164</v>
      </c>
      <c r="R90" s="35" t="s">
        <v>4215</v>
      </c>
      <c r="S90" s="545"/>
      <c r="T90" s="78"/>
    </row>
    <row r="91" spans="1:21" ht="15" thickTop="1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3830" t="s">
        <v>8717</v>
      </c>
      <c r="B1" s="3830" t="s">
        <v>8718</v>
      </c>
      <c r="C1" s="3830" t="s">
        <v>8719</v>
      </c>
      <c r="D1" s="3830"/>
      <c r="E1" s="3830"/>
      <c r="F1" s="3830" t="s">
        <v>8720</v>
      </c>
      <c r="G1" s="3830"/>
      <c r="H1" s="3830"/>
      <c r="I1" s="3830" t="s">
        <v>8721</v>
      </c>
      <c r="J1" s="3830"/>
      <c r="K1" s="3830"/>
    </row>
    <row r="2" spans="1:11" ht="17.399999999999999">
      <c r="A2" s="3830"/>
      <c r="B2" s="3830"/>
      <c r="C2" s="2588" t="s">
        <v>4141</v>
      </c>
      <c r="D2" s="2588" t="s">
        <v>4142</v>
      </c>
      <c r="E2" s="2588" t="s">
        <v>4143</v>
      </c>
      <c r="F2" s="2588" t="s">
        <v>4141</v>
      </c>
      <c r="G2" s="2588" t="s">
        <v>4142</v>
      </c>
      <c r="H2" s="2588" t="s">
        <v>4143</v>
      </c>
      <c r="I2" s="2588" t="s">
        <v>4141</v>
      </c>
      <c r="J2" s="2588" t="s">
        <v>4142</v>
      </c>
      <c r="K2" s="2588" t="s">
        <v>4143</v>
      </c>
    </row>
    <row r="3" spans="1:11">
      <c r="A3" t="s">
        <v>6591</v>
      </c>
      <c r="B3">
        <v>1</v>
      </c>
      <c r="C3">
        <v>0</v>
      </c>
      <c r="F3">
        <v>0</v>
      </c>
    </row>
    <row r="4" spans="1:11" ht="13.95" customHeight="1">
      <c r="A4" t="s">
        <v>6591</v>
      </c>
      <c r="B4">
        <v>2</v>
      </c>
      <c r="C4">
        <v>0</v>
      </c>
      <c r="F4">
        <v>0</v>
      </c>
    </row>
    <row r="5" spans="1:11" ht="13.95" customHeight="1">
      <c r="A5" t="s">
        <v>6591</v>
      </c>
      <c r="B5">
        <v>3</v>
      </c>
      <c r="D5">
        <v>0</v>
      </c>
      <c r="G5">
        <v>0</v>
      </c>
    </row>
    <row r="6" spans="1:11" ht="13.95" customHeight="1">
      <c r="A6" t="s">
        <v>6591</v>
      </c>
      <c r="B6">
        <v>4</v>
      </c>
      <c r="D6">
        <v>0</v>
      </c>
      <c r="G6">
        <v>0</v>
      </c>
    </row>
    <row r="7" spans="1:11" ht="13.95" customHeight="1">
      <c r="A7" t="s">
        <v>6591</v>
      </c>
      <c r="B7">
        <v>5</v>
      </c>
      <c r="E7">
        <v>0</v>
      </c>
      <c r="H7">
        <v>0</v>
      </c>
    </row>
    <row r="8" spans="1:11" ht="13.95" customHeight="1">
      <c r="A8" t="s">
        <v>6591</v>
      </c>
      <c r="B8">
        <v>6</v>
      </c>
      <c r="E8">
        <v>0</v>
      </c>
      <c r="H8">
        <v>0</v>
      </c>
    </row>
    <row r="9" spans="1:11" ht="13.95" customHeight="1">
      <c r="A9" t="s">
        <v>6591</v>
      </c>
      <c r="B9">
        <v>7</v>
      </c>
      <c r="C9">
        <v>0</v>
      </c>
      <c r="F9">
        <v>0</v>
      </c>
    </row>
    <row r="10" spans="1:11" ht="13.95" customHeight="1">
      <c r="A10" t="s">
        <v>6591</v>
      </c>
      <c r="B10">
        <v>8</v>
      </c>
      <c r="C10">
        <v>2.38</v>
      </c>
      <c r="F10">
        <v>2.39</v>
      </c>
      <c r="I10">
        <v>2.386762985791961</v>
      </c>
    </row>
    <row r="11" spans="1:11" ht="13.95" customHeight="1">
      <c r="A11" t="s">
        <v>6591</v>
      </c>
      <c r="B11">
        <v>9</v>
      </c>
      <c r="D11">
        <v>0</v>
      </c>
      <c r="G11">
        <v>0</v>
      </c>
    </row>
    <row r="12" spans="1:11" ht="13.95" customHeight="1">
      <c r="A12" t="s">
        <v>6591</v>
      </c>
      <c r="B12">
        <v>10</v>
      </c>
      <c r="D12">
        <v>1.67</v>
      </c>
      <c r="G12">
        <v>2.02</v>
      </c>
      <c r="J12">
        <v>1.6802836904159473</v>
      </c>
    </row>
    <row r="13" spans="1:11" ht="13.95" customHeight="1">
      <c r="A13" t="s">
        <v>6591</v>
      </c>
      <c r="B13">
        <v>11</v>
      </c>
      <c r="E13">
        <v>0</v>
      </c>
      <c r="H13">
        <v>0</v>
      </c>
    </row>
    <row r="14" spans="1:11" ht="13.95" customHeight="1">
      <c r="A14" t="s">
        <v>6591</v>
      </c>
      <c r="B14">
        <v>12</v>
      </c>
      <c r="E14">
        <v>3.4</v>
      </c>
      <c r="H14">
        <v>5.54</v>
      </c>
      <c r="K14">
        <v>4.1870727699500492</v>
      </c>
    </row>
    <row r="15" spans="1:11" ht="13.95" customHeight="1">
      <c r="A15" t="s">
        <v>6591</v>
      </c>
      <c r="B15">
        <v>13</v>
      </c>
      <c r="C15">
        <v>0</v>
      </c>
      <c r="F15">
        <v>0</v>
      </c>
    </row>
    <row r="16" spans="1:11" ht="13.95" customHeight="1">
      <c r="A16" t="s">
        <v>6591</v>
      </c>
      <c r="B16">
        <v>14</v>
      </c>
      <c r="C16">
        <v>6.27</v>
      </c>
      <c r="F16">
        <v>7.23</v>
      </c>
      <c r="I16">
        <v>6.441352314088447</v>
      </c>
    </row>
    <row r="17" spans="1:11" ht="13.95" customHeight="1">
      <c r="A17" t="s">
        <v>6591</v>
      </c>
      <c r="B17">
        <v>15</v>
      </c>
      <c r="D17">
        <v>0</v>
      </c>
      <c r="G17">
        <v>0</v>
      </c>
    </row>
    <row r="18" spans="1:11" ht="13.95" customHeight="1">
      <c r="A18" t="s">
        <v>6591</v>
      </c>
      <c r="B18">
        <v>16</v>
      </c>
      <c r="D18">
        <v>2.56</v>
      </c>
      <c r="G18">
        <v>2.66</v>
      </c>
      <c r="J18">
        <v>2.6076670868290011</v>
      </c>
    </row>
    <row r="19" spans="1:11" ht="13.95" customHeight="1">
      <c r="A19" t="s">
        <v>6591</v>
      </c>
      <c r="B19">
        <v>17</v>
      </c>
      <c r="E19">
        <v>0</v>
      </c>
      <c r="H19">
        <v>0</v>
      </c>
    </row>
    <row r="20" spans="1:11" ht="13.95" customHeight="1">
      <c r="A20" t="s">
        <v>6591</v>
      </c>
      <c r="B20">
        <v>18</v>
      </c>
      <c r="E20">
        <v>1.27</v>
      </c>
      <c r="H20">
        <v>2.15</v>
      </c>
      <c r="K20">
        <v>1.5609174086060287</v>
      </c>
    </row>
    <row r="21" spans="1:11" ht="13.95" customHeight="1">
      <c r="A21" t="s">
        <v>6591</v>
      </c>
      <c r="B21">
        <v>19</v>
      </c>
      <c r="C21">
        <v>0.99</v>
      </c>
      <c r="F21">
        <v>1.04</v>
      </c>
      <c r="I21">
        <v>1.0041294787678525</v>
      </c>
    </row>
    <row r="22" spans="1:11" ht="13.95" customHeight="1">
      <c r="A22" t="s">
        <v>6591</v>
      </c>
      <c r="B22">
        <v>20</v>
      </c>
      <c r="C22">
        <v>1.49</v>
      </c>
      <c r="F22">
        <v>1.51</v>
      </c>
      <c r="I22">
        <v>1.4967726087276036</v>
      </c>
    </row>
    <row r="23" spans="1:11" ht="13.95" customHeight="1">
      <c r="A23" t="s">
        <v>6591</v>
      </c>
      <c r="B23">
        <v>21</v>
      </c>
      <c r="D23">
        <v>0</v>
      </c>
      <c r="G23">
        <v>0</v>
      </c>
    </row>
    <row r="24" spans="1:11" ht="13.95" customHeight="1">
      <c r="A24" t="s">
        <v>6591</v>
      </c>
      <c r="B24">
        <v>22</v>
      </c>
      <c r="D24">
        <v>0</v>
      </c>
      <c r="G24">
        <v>0</v>
      </c>
    </row>
    <row r="25" spans="1:11" ht="13.95" customHeight="1">
      <c r="A25" t="s">
        <v>6591</v>
      </c>
      <c r="B25">
        <v>23</v>
      </c>
      <c r="E25">
        <v>1.44</v>
      </c>
      <c r="H25">
        <v>3.04</v>
      </c>
      <c r="K25">
        <v>1.4548574384000821</v>
      </c>
    </row>
    <row r="26" spans="1:11" ht="13.95" customHeight="1">
      <c r="A26" t="s">
        <v>6591</v>
      </c>
      <c r="B26">
        <v>24</v>
      </c>
      <c r="E26">
        <v>0</v>
      </c>
      <c r="H26">
        <v>0</v>
      </c>
    </row>
    <row r="27" spans="1:11" ht="13.95" customHeight="1">
      <c r="A27" t="s">
        <v>6591</v>
      </c>
      <c r="B27">
        <v>25</v>
      </c>
      <c r="C27">
        <v>1.5</v>
      </c>
      <c r="F27">
        <v>1.52</v>
      </c>
      <c r="I27">
        <v>1.5108131554898807</v>
      </c>
    </row>
    <row r="28" spans="1:11" ht="13.95" customHeight="1">
      <c r="A28" t="s">
        <v>6591</v>
      </c>
      <c r="B28">
        <v>26</v>
      </c>
      <c r="C28">
        <v>0</v>
      </c>
      <c r="F28">
        <v>3.45</v>
      </c>
      <c r="I28">
        <v>2.1089191100406066</v>
      </c>
    </row>
    <row r="29" spans="1:11" ht="13.95" customHeight="1">
      <c r="A29" t="s">
        <v>6591</v>
      </c>
      <c r="B29">
        <v>27</v>
      </c>
      <c r="D29">
        <v>3.1</v>
      </c>
      <c r="G29">
        <v>3.62</v>
      </c>
      <c r="J29">
        <v>3.3507526698250545</v>
      </c>
    </row>
    <row r="30" spans="1:11" ht="13.95" customHeight="1">
      <c r="A30" t="s">
        <v>6591</v>
      </c>
      <c r="B30">
        <v>28</v>
      </c>
      <c r="D30">
        <v>0.86</v>
      </c>
      <c r="G30">
        <v>4.34</v>
      </c>
      <c r="J30">
        <v>1.5886038510586329</v>
      </c>
    </row>
    <row r="31" spans="1:11" ht="13.95" customHeight="1">
      <c r="A31" t="s">
        <v>6591</v>
      </c>
      <c r="B31">
        <v>29</v>
      </c>
      <c r="E31">
        <v>4.04</v>
      </c>
      <c r="H31">
        <v>4.62</v>
      </c>
      <c r="K31">
        <v>4.1683632263997223</v>
      </c>
    </row>
    <row r="32" spans="1:11" ht="13.95" customHeight="1">
      <c r="A32" t="s">
        <v>6591</v>
      </c>
      <c r="B32">
        <v>30</v>
      </c>
      <c r="E32">
        <v>3.69</v>
      </c>
      <c r="H32">
        <v>6.02</v>
      </c>
      <c r="K32">
        <v>4.4077855847119389</v>
      </c>
    </row>
    <row r="33" spans="1:11" ht="13.95" customHeight="1">
      <c r="A33" t="s">
        <v>6591</v>
      </c>
      <c r="B33">
        <v>31</v>
      </c>
      <c r="C33">
        <v>5.16</v>
      </c>
      <c r="F33">
        <v>6.42</v>
      </c>
      <c r="I33">
        <v>5.7145312967792243</v>
      </c>
    </row>
    <row r="34" spans="1:11" ht="13.95" customHeight="1">
      <c r="A34" t="s">
        <v>6591</v>
      </c>
      <c r="B34">
        <v>32</v>
      </c>
      <c r="C34">
        <v>0</v>
      </c>
      <c r="F34">
        <v>0</v>
      </c>
    </row>
    <row r="35" spans="1:11" ht="13.95" customHeight="1">
      <c r="A35" t="s">
        <v>6591</v>
      </c>
      <c r="B35">
        <v>33</v>
      </c>
      <c r="D35">
        <v>0</v>
      </c>
      <c r="G35">
        <v>0</v>
      </c>
    </row>
    <row r="36" spans="1:11" ht="13.95" customHeight="1">
      <c r="A36" t="s">
        <v>6591</v>
      </c>
      <c r="B36">
        <v>34</v>
      </c>
      <c r="D36">
        <v>0</v>
      </c>
      <c r="G36">
        <v>0</v>
      </c>
    </row>
    <row r="37" spans="1:11" ht="13.95" customHeight="1">
      <c r="A37" t="s">
        <v>6591</v>
      </c>
      <c r="B37">
        <v>35</v>
      </c>
      <c r="E37">
        <v>0</v>
      </c>
      <c r="H37">
        <v>6.72</v>
      </c>
      <c r="K37">
        <v>2.4073645206113942E-3</v>
      </c>
    </row>
    <row r="38" spans="1:11" ht="13.95" customHeight="1">
      <c r="A38" t="s">
        <v>6591</v>
      </c>
      <c r="B38">
        <v>36</v>
      </c>
      <c r="E38">
        <v>2.2200000000000002</v>
      </c>
      <c r="H38">
        <v>4.1399999999999997</v>
      </c>
      <c r="K38">
        <v>3.4526774844341195</v>
      </c>
    </row>
    <row r="39" spans="1:11" ht="13.95" customHeight="1">
      <c r="A39" t="s">
        <v>6591</v>
      </c>
      <c r="B39">
        <v>37</v>
      </c>
      <c r="C39">
        <v>4.53</v>
      </c>
      <c r="F39">
        <v>6.51</v>
      </c>
      <c r="I39">
        <v>5.1643874592801433</v>
      </c>
    </row>
    <row r="40" spans="1:11" ht="13.95" customHeight="1">
      <c r="A40" t="s">
        <v>6591</v>
      </c>
      <c r="B40">
        <v>38</v>
      </c>
      <c r="C40">
        <v>0.82</v>
      </c>
      <c r="F40">
        <v>2.3199999999999998</v>
      </c>
      <c r="I40">
        <v>2.1579311651095039</v>
      </c>
    </row>
    <row r="41" spans="1:11" ht="13.95" customHeight="1">
      <c r="A41" t="s">
        <v>6591</v>
      </c>
      <c r="B41">
        <v>39</v>
      </c>
      <c r="D41">
        <v>0</v>
      </c>
      <c r="G41">
        <v>4.17</v>
      </c>
      <c r="J41">
        <v>8.3034163288940371E-4</v>
      </c>
    </row>
    <row r="42" spans="1:11" ht="13.95" customHeight="1">
      <c r="A42" t="s">
        <v>6591</v>
      </c>
      <c r="B42">
        <v>40</v>
      </c>
      <c r="D42">
        <v>4.7</v>
      </c>
      <c r="G42">
        <v>5.01</v>
      </c>
      <c r="J42">
        <v>4.8977299221139692</v>
      </c>
    </row>
    <row r="43" spans="1:11" ht="13.95" customHeight="1">
      <c r="A43" t="s">
        <v>6592</v>
      </c>
      <c r="B43">
        <v>1</v>
      </c>
      <c r="D43">
        <v>0</v>
      </c>
      <c r="G43">
        <v>0</v>
      </c>
    </row>
    <row r="44" spans="1:11" ht="13.95" customHeight="1">
      <c r="A44" t="s">
        <v>6592</v>
      </c>
      <c r="B44">
        <v>2</v>
      </c>
      <c r="D44">
        <v>0</v>
      </c>
      <c r="G44">
        <v>0</v>
      </c>
    </row>
    <row r="45" spans="1:11" ht="13.95" customHeight="1">
      <c r="A45" t="s">
        <v>6592</v>
      </c>
      <c r="B45">
        <v>3</v>
      </c>
      <c r="E45">
        <v>5.19</v>
      </c>
      <c r="H45">
        <v>5.88</v>
      </c>
      <c r="K45">
        <v>5.5844193378533529</v>
      </c>
    </row>
    <row r="46" spans="1:11" ht="13.95" customHeight="1">
      <c r="A46" t="s">
        <v>6592</v>
      </c>
      <c r="B46">
        <v>4</v>
      </c>
      <c r="E46">
        <v>0</v>
      </c>
      <c r="H46">
        <v>0</v>
      </c>
    </row>
    <row r="47" spans="1:11" ht="13.95" customHeight="1">
      <c r="A47" t="s">
        <v>6592</v>
      </c>
      <c r="B47">
        <v>5</v>
      </c>
      <c r="C47">
        <v>0</v>
      </c>
      <c r="F47">
        <v>0</v>
      </c>
    </row>
    <row r="48" spans="1:11" ht="13.95" customHeight="1">
      <c r="A48" t="s">
        <v>6592</v>
      </c>
      <c r="B48">
        <v>6</v>
      </c>
      <c r="C48">
        <v>0</v>
      </c>
      <c r="F48">
        <v>0</v>
      </c>
    </row>
    <row r="49" spans="1:11" ht="13.95" customHeight="1">
      <c r="A49" t="s">
        <v>6592</v>
      </c>
      <c r="B49">
        <v>7</v>
      </c>
      <c r="D49">
        <v>5.7</v>
      </c>
      <c r="G49">
        <v>5.77</v>
      </c>
      <c r="J49">
        <v>5.7291048451715589</v>
      </c>
    </row>
    <row r="50" spans="1:11" ht="13.95" customHeight="1">
      <c r="A50" t="s">
        <v>6592</v>
      </c>
      <c r="B50">
        <v>8</v>
      </c>
      <c r="D50">
        <v>0</v>
      </c>
      <c r="G50">
        <v>0</v>
      </c>
    </row>
    <row r="51" spans="1:11" ht="13.95" customHeight="1">
      <c r="A51" t="s">
        <v>6592</v>
      </c>
      <c r="B51">
        <v>9</v>
      </c>
      <c r="E51">
        <v>4.46</v>
      </c>
      <c r="H51">
        <v>6.06</v>
      </c>
      <c r="K51">
        <v>5.8741569521923287</v>
      </c>
    </row>
    <row r="52" spans="1:11" ht="13.95" customHeight="1">
      <c r="A52" t="s">
        <v>6592</v>
      </c>
      <c r="B52">
        <v>10</v>
      </c>
      <c r="E52">
        <v>3.2800000000000002</v>
      </c>
      <c r="H52">
        <v>4.6899999999999995</v>
      </c>
      <c r="K52">
        <v>3.3260760405142697</v>
      </c>
    </row>
    <row r="53" spans="1:11" ht="13.95" customHeight="1">
      <c r="A53" t="s">
        <v>6592</v>
      </c>
      <c r="B53">
        <v>11</v>
      </c>
      <c r="C53">
        <v>5.67</v>
      </c>
      <c r="F53">
        <v>5.7</v>
      </c>
      <c r="I53">
        <v>5.6836857671698908</v>
      </c>
    </row>
    <row r="54" spans="1:11" ht="13.95" customHeight="1">
      <c r="A54" t="s">
        <v>6592</v>
      </c>
      <c r="B54">
        <v>12</v>
      </c>
      <c r="C54">
        <v>0</v>
      </c>
      <c r="F54">
        <v>0</v>
      </c>
    </row>
    <row r="55" spans="1:11" ht="13.95" customHeight="1">
      <c r="A55" t="s">
        <v>6592</v>
      </c>
      <c r="B55">
        <v>13</v>
      </c>
      <c r="D55">
        <v>5.22</v>
      </c>
      <c r="G55">
        <v>5.26</v>
      </c>
      <c r="J55">
        <v>5.2359115275273327</v>
      </c>
    </row>
    <row r="56" spans="1:11" ht="13.95" customHeight="1">
      <c r="A56" t="s">
        <v>6592</v>
      </c>
      <c r="B56">
        <v>14</v>
      </c>
      <c r="D56">
        <v>2.99</v>
      </c>
      <c r="G56">
        <v>3.26</v>
      </c>
      <c r="J56">
        <v>3.0865557429539963</v>
      </c>
    </row>
    <row r="57" spans="1:11" ht="13.95" customHeight="1">
      <c r="A57" t="s">
        <v>6592</v>
      </c>
      <c r="B57">
        <v>15</v>
      </c>
      <c r="E57">
        <v>1.08</v>
      </c>
      <c r="H57">
        <v>1.1100000000000001</v>
      </c>
      <c r="K57">
        <v>1.0801211245414637</v>
      </c>
    </row>
    <row r="58" spans="1:11" ht="13.95" customHeight="1">
      <c r="A58" t="s">
        <v>6592</v>
      </c>
      <c r="B58">
        <v>16</v>
      </c>
      <c r="E58">
        <v>2.92</v>
      </c>
      <c r="H58">
        <v>3.17</v>
      </c>
      <c r="K58">
        <v>2.9625195479265649</v>
      </c>
    </row>
    <row r="59" spans="1:11" ht="13.95" customHeight="1">
      <c r="A59" t="s">
        <v>6592</v>
      </c>
      <c r="B59">
        <v>17</v>
      </c>
      <c r="C59">
        <v>3.2800000000000002</v>
      </c>
      <c r="F59">
        <v>3.6</v>
      </c>
      <c r="I59">
        <v>3.3701472780608719</v>
      </c>
    </row>
    <row r="60" spans="1:11" ht="13.95" customHeight="1">
      <c r="A60" t="s">
        <v>6592</v>
      </c>
      <c r="B60">
        <v>18</v>
      </c>
      <c r="C60">
        <v>1.74</v>
      </c>
      <c r="F60">
        <v>1.78</v>
      </c>
      <c r="I60">
        <v>1.7551248426016357</v>
      </c>
    </row>
    <row r="61" spans="1:11" ht="13.95" customHeight="1">
      <c r="A61" t="s">
        <v>6592</v>
      </c>
      <c r="B61">
        <v>19</v>
      </c>
      <c r="D61">
        <v>8.66</v>
      </c>
      <c r="G61">
        <v>9.2899999999999991</v>
      </c>
      <c r="J61">
        <v>8.9022973311430516</v>
      </c>
    </row>
    <row r="62" spans="1:11" ht="13.95" customHeight="1">
      <c r="A62" t="s">
        <v>6592</v>
      </c>
      <c r="B62">
        <v>20</v>
      </c>
      <c r="D62">
        <v>1.96</v>
      </c>
      <c r="G62">
        <v>3.04</v>
      </c>
      <c r="J62">
        <v>1.9870814863859281</v>
      </c>
    </row>
    <row r="63" spans="1:11" ht="13.95" customHeight="1">
      <c r="A63" t="s">
        <v>6592</v>
      </c>
      <c r="B63">
        <v>21</v>
      </c>
      <c r="E63">
        <v>3.86</v>
      </c>
      <c r="H63">
        <v>4.3899999999999997</v>
      </c>
      <c r="K63">
        <v>4.0772155493752953</v>
      </c>
    </row>
    <row r="64" spans="1:11" ht="13.95" customHeight="1">
      <c r="A64" t="s">
        <v>6592</v>
      </c>
      <c r="B64">
        <v>22</v>
      </c>
      <c r="E64">
        <v>1.95</v>
      </c>
      <c r="H64">
        <v>1.99</v>
      </c>
      <c r="K64">
        <v>1.9626940823661654</v>
      </c>
    </row>
    <row r="65" spans="1:11" ht="13.95" customHeight="1">
      <c r="A65" t="s">
        <v>6592</v>
      </c>
      <c r="B65">
        <v>23</v>
      </c>
      <c r="C65">
        <v>2.54</v>
      </c>
      <c r="F65">
        <v>2.95</v>
      </c>
      <c r="I65">
        <v>2.6367674980235698</v>
      </c>
    </row>
    <row r="66" spans="1:11" ht="13.95" customHeight="1">
      <c r="A66" t="s">
        <v>6592</v>
      </c>
      <c r="B66">
        <v>24</v>
      </c>
      <c r="C66">
        <v>2.2000000000000002</v>
      </c>
      <c r="F66">
        <v>2.42</v>
      </c>
      <c r="I66">
        <v>2.2644564833397696</v>
      </c>
    </row>
    <row r="67" spans="1:11" ht="13.95" customHeight="1">
      <c r="A67" t="s">
        <v>6592</v>
      </c>
      <c r="B67">
        <v>25</v>
      </c>
      <c r="D67">
        <v>1.46</v>
      </c>
      <c r="G67">
        <v>2.34</v>
      </c>
      <c r="J67">
        <v>2.1204284058600513</v>
      </c>
    </row>
    <row r="68" spans="1:11" ht="13.95" customHeight="1">
      <c r="A68" t="s">
        <v>6592</v>
      </c>
      <c r="B68">
        <v>26</v>
      </c>
      <c r="D68">
        <v>3.57</v>
      </c>
      <c r="G68">
        <v>3.64</v>
      </c>
      <c r="J68">
        <v>3.6124938253512471</v>
      </c>
    </row>
    <row r="69" spans="1:11" ht="13.95" customHeight="1">
      <c r="A69" t="s">
        <v>6592</v>
      </c>
      <c r="B69">
        <v>27</v>
      </c>
      <c r="E69">
        <v>3.58</v>
      </c>
      <c r="H69">
        <v>4.3099999999999996</v>
      </c>
      <c r="K69">
        <v>3.8065431060520942</v>
      </c>
    </row>
    <row r="70" spans="1:11" ht="13.95" customHeight="1">
      <c r="A70" t="s">
        <v>6592</v>
      </c>
      <c r="B70">
        <v>28</v>
      </c>
      <c r="E70">
        <v>5.72</v>
      </c>
      <c r="H70">
        <v>5.83</v>
      </c>
      <c r="K70">
        <v>5.7740639709519082</v>
      </c>
    </row>
    <row r="71" spans="1:11" ht="13.95" customHeight="1">
      <c r="A71" t="s">
        <v>6592</v>
      </c>
      <c r="B71">
        <v>29</v>
      </c>
      <c r="C71">
        <v>1.47</v>
      </c>
      <c r="F71">
        <v>2.44</v>
      </c>
      <c r="I71">
        <v>1.7912094336048019</v>
      </c>
    </row>
    <row r="72" spans="1:11" ht="13.95" customHeight="1">
      <c r="A72" t="s">
        <v>6592</v>
      </c>
      <c r="B72">
        <v>30</v>
      </c>
      <c r="C72">
        <v>0.52</v>
      </c>
      <c r="F72">
        <v>0.68</v>
      </c>
      <c r="I72">
        <v>0.56678855180643595</v>
      </c>
    </row>
    <row r="73" spans="1:11" ht="13.95" customHeight="1">
      <c r="A73" t="s">
        <v>6592</v>
      </c>
      <c r="B73">
        <v>31</v>
      </c>
      <c r="D73">
        <v>3.65</v>
      </c>
      <c r="G73">
        <v>3.7800000000000002</v>
      </c>
      <c r="J73">
        <v>3.7013590801928586</v>
      </c>
    </row>
    <row r="74" spans="1:11" ht="13.95" customHeight="1">
      <c r="A74" t="s">
        <v>6592</v>
      </c>
      <c r="B74">
        <v>32</v>
      </c>
      <c r="D74">
        <v>1.8900000000000001</v>
      </c>
      <c r="G74">
        <v>2.09</v>
      </c>
      <c r="J74">
        <v>1.9005430965946679</v>
      </c>
    </row>
    <row r="75" spans="1:11" ht="13.95" customHeight="1">
      <c r="A75" t="s">
        <v>6592</v>
      </c>
      <c r="B75">
        <v>33</v>
      </c>
      <c r="E75">
        <v>8.1999999999999993</v>
      </c>
      <c r="H75">
        <v>8.58</v>
      </c>
      <c r="K75">
        <v>8.36821985924621</v>
      </c>
    </row>
    <row r="76" spans="1:11" ht="13.95" customHeight="1">
      <c r="A76" t="s">
        <v>6592</v>
      </c>
      <c r="B76">
        <v>34</v>
      </c>
      <c r="E76">
        <v>0</v>
      </c>
      <c r="H76">
        <v>0</v>
      </c>
    </row>
    <row r="77" spans="1:11" ht="13.95" customHeight="1">
      <c r="A77" t="s">
        <v>6592</v>
      </c>
      <c r="B77">
        <v>35</v>
      </c>
      <c r="C77">
        <v>6.43</v>
      </c>
      <c r="F77">
        <v>6.77</v>
      </c>
      <c r="I77">
        <v>6.5156386329948575</v>
      </c>
    </row>
    <row r="78" spans="1:11" ht="13.95" customHeight="1">
      <c r="A78" t="s">
        <v>6592</v>
      </c>
      <c r="B78">
        <v>36</v>
      </c>
      <c r="C78">
        <v>0</v>
      </c>
      <c r="F78">
        <v>0</v>
      </c>
    </row>
    <row r="79" spans="1:11" ht="13.95" customHeight="1">
      <c r="A79" t="s">
        <v>6592</v>
      </c>
      <c r="B79">
        <v>37</v>
      </c>
      <c r="D79">
        <v>0</v>
      </c>
      <c r="G79">
        <v>0.7</v>
      </c>
      <c r="J79">
        <v>5.3544675903548769E-3</v>
      </c>
    </row>
    <row r="80" spans="1:11" ht="13.95" customHeight="1">
      <c r="A80" t="s">
        <v>6592</v>
      </c>
      <c r="B80">
        <v>38</v>
      </c>
      <c r="D80">
        <v>3.83</v>
      </c>
      <c r="G80">
        <v>4.0599999999999996</v>
      </c>
      <c r="J80">
        <v>3.8731486240173623</v>
      </c>
    </row>
    <row r="81" spans="1:11" ht="13.95" customHeight="1">
      <c r="A81" t="s">
        <v>6592</v>
      </c>
      <c r="B81">
        <v>39</v>
      </c>
      <c r="E81">
        <v>1.83</v>
      </c>
      <c r="H81">
        <v>1.88</v>
      </c>
      <c r="K81">
        <v>1.8575097675227878</v>
      </c>
    </row>
    <row r="82" spans="1:11" ht="13.95" customHeight="1">
      <c r="A82" t="s">
        <v>6592</v>
      </c>
      <c r="B82">
        <v>40</v>
      </c>
      <c r="E82">
        <v>2.91</v>
      </c>
      <c r="H82">
        <v>3.35</v>
      </c>
      <c r="K82">
        <v>3.0173502175058649</v>
      </c>
    </row>
    <row r="83" spans="1:11" ht="13.95" customHeight="1">
      <c r="A83" t="s">
        <v>6592</v>
      </c>
      <c r="B83">
        <v>41</v>
      </c>
      <c r="C83">
        <v>0</v>
      </c>
      <c r="F83">
        <v>0</v>
      </c>
    </row>
    <row r="84" spans="1:11" ht="13.95" customHeight="1">
      <c r="A84" t="s">
        <v>6592</v>
      </c>
      <c r="B84">
        <v>42</v>
      </c>
      <c r="C84">
        <v>3.68</v>
      </c>
      <c r="F84">
        <v>5.33</v>
      </c>
      <c r="I84">
        <v>4.6018941706770891</v>
      </c>
    </row>
    <row r="85" spans="1:11" ht="13.95" customHeight="1">
      <c r="A85" t="s">
        <v>6592</v>
      </c>
      <c r="B85">
        <v>43</v>
      </c>
      <c r="D85">
        <v>0</v>
      </c>
      <c r="G85">
        <v>0</v>
      </c>
    </row>
    <row r="86" spans="1:11" ht="13.95" customHeight="1">
      <c r="A86" t="s">
        <v>6592</v>
      </c>
      <c r="B86">
        <v>44</v>
      </c>
      <c r="D86">
        <v>1.26</v>
      </c>
      <c r="G86">
        <v>3.42</v>
      </c>
      <c r="J86">
        <v>2.1364311722495182</v>
      </c>
    </row>
    <row r="87" spans="1:11" ht="13.95" customHeight="1">
      <c r="A87" t="s">
        <v>6592</v>
      </c>
      <c r="B87">
        <v>45</v>
      </c>
      <c r="E87">
        <v>0</v>
      </c>
      <c r="H87">
        <v>0</v>
      </c>
    </row>
    <row r="88" spans="1:11" ht="13.95" customHeight="1">
      <c r="A88" t="s">
        <v>6592</v>
      </c>
      <c r="B88">
        <v>46</v>
      </c>
      <c r="E88">
        <v>0</v>
      </c>
      <c r="H88">
        <v>0</v>
      </c>
    </row>
    <row r="89" spans="1:11" ht="13.95" customHeight="1">
      <c r="A89" t="s">
        <v>6592</v>
      </c>
      <c r="B89">
        <v>47</v>
      </c>
      <c r="C89">
        <v>0</v>
      </c>
      <c r="F89">
        <v>0</v>
      </c>
    </row>
    <row r="90" spans="1:11" ht="13.95" customHeight="1">
      <c r="A90" t="s">
        <v>6592</v>
      </c>
      <c r="B90">
        <v>48</v>
      </c>
      <c r="C90">
        <v>1.1599999999999999</v>
      </c>
      <c r="F90">
        <v>2.73</v>
      </c>
      <c r="I90">
        <v>1.9764362063733956</v>
      </c>
    </row>
    <row r="91" spans="1:11" ht="13.95" customHeight="1">
      <c r="A91" t="s">
        <v>6592</v>
      </c>
      <c r="B91">
        <v>49</v>
      </c>
      <c r="D91">
        <v>0.88</v>
      </c>
      <c r="G91">
        <v>0.94</v>
      </c>
      <c r="J91">
        <v>0.90509394142494615</v>
      </c>
    </row>
    <row r="92" spans="1:11" ht="13.95" customHeight="1">
      <c r="A92" t="s">
        <v>6592</v>
      </c>
      <c r="B92">
        <v>50</v>
      </c>
      <c r="D92">
        <v>3.21</v>
      </c>
      <c r="G92">
        <v>3.82</v>
      </c>
      <c r="J92">
        <v>3.4988071971104837</v>
      </c>
    </row>
    <row r="93" spans="1:11" ht="13.95" customHeight="1">
      <c r="A93" t="s">
        <v>6592</v>
      </c>
      <c r="B93">
        <v>51</v>
      </c>
      <c r="E93">
        <v>0.55000000000000004</v>
      </c>
      <c r="H93">
        <v>0.56999999999999995</v>
      </c>
      <c r="K93">
        <v>0.55017027761298676</v>
      </c>
    </row>
    <row r="94" spans="1:11" ht="13.95" customHeight="1">
      <c r="A94" t="s">
        <v>6592</v>
      </c>
      <c r="B94">
        <v>52</v>
      </c>
      <c r="E94">
        <v>0</v>
      </c>
      <c r="H94">
        <v>0</v>
      </c>
    </row>
    <row r="95" spans="1:11" ht="13.95" customHeight="1">
      <c r="A95" t="s">
        <v>6592</v>
      </c>
      <c r="B95">
        <v>53</v>
      </c>
      <c r="C95">
        <v>0.23</v>
      </c>
      <c r="F95">
        <v>0.24</v>
      </c>
      <c r="I95">
        <v>0.23026406136550578</v>
      </c>
    </row>
    <row r="96" spans="1:11" ht="13.95" customHeight="1">
      <c r="A96" t="s">
        <v>6592</v>
      </c>
      <c r="B96">
        <v>54</v>
      </c>
      <c r="C96">
        <v>0</v>
      </c>
      <c r="F96">
        <v>0</v>
      </c>
    </row>
    <row r="97" spans="1:11" ht="13.95" customHeight="1">
      <c r="A97" t="s">
        <v>6593</v>
      </c>
      <c r="B97">
        <v>1</v>
      </c>
      <c r="D97">
        <v>0</v>
      </c>
      <c r="G97">
        <v>0</v>
      </c>
    </row>
    <row r="98" spans="1:11" ht="13.95" customHeight="1">
      <c r="A98" t="s">
        <v>6593</v>
      </c>
      <c r="B98">
        <v>2</v>
      </c>
      <c r="D98">
        <v>0</v>
      </c>
      <c r="G98">
        <v>0</v>
      </c>
    </row>
    <row r="99" spans="1:11" ht="13.95" customHeight="1">
      <c r="A99" t="s">
        <v>6593</v>
      </c>
      <c r="B99">
        <v>3</v>
      </c>
      <c r="E99">
        <v>2.0699999999999998</v>
      </c>
      <c r="H99">
        <v>3</v>
      </c>
      <c r="K99">
        <v>2.4882153531238091</v>
      </c>
    </row>
    <row r="100" spans="1:11" ht="13.95" customHeight="1">
      <c r="A100" t="s">
        <v>6593</v>
      </c>
      <c r="B100">
        <v>4</v>
      </c>
      <c r="E100">
        <v>0</v>
      </c>
      <c r="H100">
        <v>0</v>
      </c>
    </row>
    <row r="101" spans="1:11" ht="13.95" customHeight="1">
      <c r="A101" t="s">
        <v>6593</v>
      </c>
      <c r="B101">
        <v>5</v>
      </c>
      <c r="C101">
        <v>4.91</v>
      </c>
      <c r="F101">
        <v>5.39</v>
      </c>
      <c r="I101">
        <v>5.1348474714556858</v>
      </c>
    </row>
    <row r="102" spans="1:11" ht="13.95" customHeight="1">
      <c r="A102" t="s">
        <v>6593</v>
      </c>
      <c r="B102">
        <v>6</v>
      </c>
      <c r="C102">
        <v>0</v>
      </c>
      <c r="F102">
        <v>0</v>
      </c>
    </row>
    <row r="103" spans="1:11" ht="13.95" customHeight="1">
      <c r="A103" t="s">
        <v>6593</v>
      </c>
      <c r="B103">
        <v>7</v>
      </c>
      <c r="D103">
        <v>5.93</v>
      </c>
      <c r="G103">
        <v>6.02</v>
      </c>
      <c r="J103">
        <v>5.9765293166114972</v>
      </c>
    </row>
    <row r="104" spans="1:11" ht="13.95" customHeight="1">
      <c r="A104" t="s">
        <v>6593</v>
      </c>
      <c r="B104">
        <v>8</v>
      </c>
      <c r="D104">
        <v>1.53</v>
      </c>
      <c r="G104">
        <v>2.31</v>
      </c>
      <c r="J104">
        <v>1.8066486203581242</v>
      </c>
    </row>
    <row r="105" spans="1:11" ht="13.95" customHeight="1">
      <c r="A105" t="s">
        <v>6593</v>
      </c>
      <c r="B105">
        <v>9</v>
      </c>
      <c r="E105">
        <v>5.65</v>
      </c>
      <c r="H105">
        <v>7.41</v>
      </c>
      <c r="K105">
        <v>5.884965607650174</v>
      </c>
    </row>
    <row r="106" spans="1:11" ht="13.95" customHeight="1">
      <c r="A106" t="s">
        <v>6593</v>
      </c>
      <c r="B106">
        <v>10</v>
      </c>
      <c r="E106">
        <v>2.52</v>
      </c>
      <c r="H106">
        <v>2.89</v>
      </c>
      <c r="K106">
        <v>2.58590483220252</v>
      </c>
    </row>
    <row r="107" spans="1:11" ht="13.95" customHeight="1">
      <c r="A107" t="s">
        <v>6593</v>
      </c>
      <c r="B107">
        <v>11</v>
      </c>
      <c r="C107">
        <v>6.79</v>
      </c>
      <c r="F107">
        <v>6.9</v>
      </c>
      <c r="I107">
        <v>6.8216466705460546</v>
      </c>
    </row>
    <row r="108" spans="1:11" ht="13.95" customHeight="1">
      <c r="A108" t="s">
        <v>6593</v>
      </c>
      <c r="B108">
        <v>12</v>
      </c>
      <c r="C108">
        <v>0</v>
      </c>
      <c r="F108">
        <v>0</v>
      </c>
    </row>
    <row r="109" spans="1:11" ht="13.95" customHeight="1">
      <c r="A109" t="s">
        <v>6593</v>
      </c>
      <c r="B109">
        <v>13</v>
      </c>
      <c r="D109">
        <v>6.58</v>
      </c>
      <c r="G109">
        <v>6.7</v>
      </c>
      <c r="J109">
        <v>6.6154733629984976</v>
      </c>
    </row>
    <row r="110" spans="1:11" ht="13.95" customHeight="1">
      <c r="A110" t="s">
        <v>6593</v>
      </c>
      <c r="B110">
        <v>14</v>
      </c>
      <c r="D110">
        <v>3.69</v>
      </c>
      <c r="G110">
        <v>4.58</v>
      </c>
      <c r="J110">
        <v>4.2569060973323545</v>
      </c>
    </row>
    <row r="111" spans="1:11" ht="13.95" customHeight="1">
      <c r="A111" t="s">
        <v>6593</v>
      </c>
      <c r="B111">
        <v>15</v>
      </c>
      <c r="E111">
        <v>0.75</v>
      </c>
      <c r="H111">
        <v>0.79</v>
      </c>
      <c r="K111">
        <v>0.78994891414537638</v>
      </c>
    </row>
    <row r="112" spans="1:11" ht="13.95" customHeight="1">
      <c r="A112" t="s">
        <v>6593</v>
      </c>
      <c r="B112">
        <v>16</v>
      </c>
      <c r="E112">
        <v>2.2800000000000002</v>
      </c>
      <c r="H112">
        <v>2.4500000000000002</v>
      </c>
      <c r="K112">
        <v>2.3040371063636886</v>
      </c>
    </row>
    <row r="113" spans="1:11" ht="13.95" customHeight="1">
      <c r="A113" t="s">
        <v>6593</v>
      </c>
      <c r="B113">
        <v>17</v>
      </c>
      <c r="C113">
        <v>2.75</v>
      </c>
      <c r="F113">
        <v>3.24</v>
      </c>
      <c r="I113">
        <v>2.9124464214114925</v>
      </c>
    </row>
    <row r="114" spans="1:11" ht="13.95" customHeight="1">
      <c r="A114" t="s">
        <v>6593</v>
      </c>
      <c r="B114">
        <v>18</v>
      </c>
      <c r="C114">
        <v>1.75</v>
      </c>
      <c r="F114">
        <v>1.78</v>
      </c>
      <c r="I114">
        <v>1.767458953848376</v>
      </c>
    </row>
    <row r="115" spans="1:11" ht="13.95" customHeight="1">
      <c r="A115" t="s">
        <v>6593</v>
      </c>
      <c r="B115">
        <v>19</v>
      </c>
      <c r="D115">
        <v>3.86</v>
      </c>
      <c r="G115">
        <v>4.2300000000000004</v>
      </c>
      <c r="J115">
        <v>3.9229666391435707</v>
      </c>
    </row>
    <row r="116" spans="1:11" ht="13.95" customHeight="1">
      <c r="A116" t="s">
        <v>6593</v>
      </c>
      <c r="B116">
        <v>20</v>
      </c>
      <c r="D116">
        <v>0.9</v>
      </c>
      <c r="G116">
        <v>1.8900000000000001</v>
      </c>
      <c r="J116">
        <v>1.8691719947519312</v>
      </c>
    </row>
    <row r="117" spans="1:11" ht="13.95" customHeight="1">
      <c r="A117" t="s">
        <v>6593</v>
      </c>
      <c r="B117">
        <v>21</v>
      </c>
      <c r="E117">
        <v>3.87</v>
      </c>
      <c r="H117">
        <v>4.1500000000000004</v>
      </c>
      <c r="K117">
        <v>3.948377786713444</v>
      </c>
    </row>
    <row r="118" spans="1:11" ht="13.95" customHeight="1">
      <c r="A118" t="s">
        <v>6593</v>
      </c>
      <c r="B118">
        <v>22</v>
      </c>
      <c r="E118">
        <v>1.71</v>
      </c>
      <c r="H118">
        <v>1.75</v>
      </c>
      <c r="K118">
        <v>1.7322875372682636</v>
      </c>
    </row>
    <row r="119" spans="1:11" ht="13.95" customHeight="1">
      <c r="A119" t="s">
        <v>6593</v>
      </c>
      <c r="B119">
        <v>23</v>
      </c>
      <c r="C119">
        <v>1.75</v>
      </c>
      <c r="F119">
        <v>2.0499999999999998</v>
      </c>
      <c r="I119">
        <v>1.8260453557245937</v>
      </c>
    </row>
    <row r="120" spans="1:11" ht="13.95" customHeight="1">
      <c r="A120" t="s">
        <v>6593</v>
      </c>
      <c r="B120">
        <v>24</v>
      </c>
      <c r="C120">
        <v>2.57</v>
      </c>
      <c r="F120">
        <v>2.77</v>
      </c>
      <c r="I120">
        <v>2.7155556777593461</v>
      </c>
    </row>
    <row r="121" spans="1:11" ht="13.95" customHeight="1">
      <c r="A121" t="s">
        <v>6593</v>
      </c>
      <c r="B121">
        <v>25</v>
      </c>
      <c r="D121">
        <v>1.46</v>
      </c>
      <c r="G121">
        <v>2.2400000000000002</v>
      </c>
      <c r="J121">
        <v>1.8648915152585053</v>
      </c>
    </row>
    <row r="122" spans="1:11" ht="13.95" customHeight="1">
      <c r="A122" t="s">
        <v>6593</v>
      </c>
      <c r="B122">
        <v>26</v>
      </c>
      <c r="D122">
        <v>3.39</v>
      </c>
      <c r="G122">
        <v>3.45</v>
      </c>
      <c r="J122">
        <v>3.4078564533564477</v>
      </c>
    </row>
    <row r="123" spans="1:11" ht="13.95" customHeight="1">
      <c r="A123" t="s">
        <v>6593</v>
      </c>
      <c r="B123">
        <v>27</v>
      </c>
      <c r="E123">
        <v>3.2</v>
      </c>
      <c r="H123">
        <v>3.5</v>
      </c>
      <c r="K123">
        <v>3.2907864645213585</v>
      </c>
    </row>
    <row r="124" spans="1:11" ht="13.95" customHeight="1">
      <c r="A124" t="s">
        <v>6593</v>
      </c>
      <c r="B124">
        <v>28</v>
      </c>
      <c r="E124">
        <v>5.51</v>
      </c>
      <c r="H124">
        <v>5.63</v>
      </c>
      <c r="K124">
        <v>5.5754982868118299</v>
      </c>
    </row>
    <row r="125" spans="1:11" ht="13.95" customHeight="1">
      <c r="A125" t="s">
        <v>6593</v>
      </c>
      <c r="B125">
        <v>29</v>
      </c>
      <c r="C125">
        <v>0</v>
      </c>
      <c r="F125">
        <v>0</v>
      </c>
    </row>
    <row r="126" spans="1:11" ht="13.95" customHeight="1">
      <c r="A126" t="s">
        <v>6593</v>
      </c>
      <c r="B126">
        <v>30</v>
      </c>
      <c r="C126">
        <v>0.34</v>
      </c>
      <c r="F126">
        <v>0.35</v>
      </c>
      <c r="I126">
        <v>0.34999170866740886</v>
      </c>
    </row>
    <row r="127" spans="1:11" ht="13.95" customHeight="1">
      <c r="A127" t="s">
        <v>6593</v>
      </c>
      <c r="B127">
        <v>31</v>
      </c>
      <c r="D127">
        <v>4.42</v>
      </c>
      <c r="G127">
        <v>4.5999999999999996</v>
      </c>
      <c r="J127">
        <v>4.5078405440625886</v>
      </c>
    </row>
    <row r="128" spans="1:11" ht="13.95" customHeight="1">
      <c r="A128" t="s">
        <v>6593</v>
      </c>
      <c r="B128">
        <v>32</v>
      </c>
      <c r="D128">
        <v>1.69</v>
      </c>
      <c r="G128">
        <v>2.4</v>
      </c>
      <c r="J128">
        <v>2.1103717380149996</v>
      </c>
    </row>
    <row r="129" spans="1:11" ht="13.95" customHeight="1">
      <c r="A129" t="s">
        <v>6593</v>
      </c>
      <c r="B129">
        <v>33</v>
      </c>
      <c r="E129">
        <v>8.4700000000000006</v>
      </c>
      <c r="H129">
        <v>8.89</v>
      </c>
      <c r="K129">
        <v>8.6385174254821546</v>
      </c>
    </row>
    <row r="130" spans="1:11" ht="13.95" customHeight="1">
      <c r="A130" t="s">
        <v>6593</v>
      </c>
      <c r="B130">
        <v>34</v>
      </c>
      <c r="E130">
        <v>0</v>
      </c>
      <c r="H130">
        <v>0</v>
      </c>
    </row>
    <row r="131" spans="1:11" ht="13.95" customHeight="1">
      <c r="A131" t="s">
        <v>6593</v>
      </c>
      <c r="B131">
        <v>35</v>
      </c>
      <c r="C131">
        <v>6.5</v>
      </c>
      <c r="F131">
        <v>7.06</v>
      </c>
      <c r="I131">
        <v>6.7686223868756317</v>
      </c>
    </row>
    <row r="132" spans="1:11" ht="13.95" customHeight="1">
      <c r="A132" t="s">
        <v>6593</v>
      </c>
      <c r="B132">
        <v>36</v>
      </c>
      <c r="C132">
        <v>0</v>
      </c>
      <c r="F132">
        <v>0</v>
      </c>
    </row>
    <row r="133" spans="1:11" ht="13.95" customHeight="1">
      <c r="A133" t="s">
        <v>6593</v>
      </c>
      <c r="B133">
        <v>37</v>
      </c>
      <c r="D133">
        <v>0</v>
      </c>
      <c r="G133">
        <v>0</v>
      </c>
    </row>
    <row r="134" spans="1:11" ht="13.95" customHeight="1">
      <c r="A134" t="s">
        <v>6593</v>
      </c>
      <c r="B134">
        <v>38</v>
      </c>
      <c r="D134">
        <v>2.75</v>
      </c>
      <c r="G134">
        <v>2.99</v>
      </c>
      <c r="J134">
        <v>2.8036552764950282</v>
      </c>
    </row>
    <row r="135" spans="1:11" ht="13.95" customHeight="1">
      <c r="A135" t="s">
        <v>6593</v>
      </c>
      <c r="B135">
        <v>39</v>
      </c>
      <c r="E135">
        <v>1.03</v>
      </c>
      <c r="H135">
        <v>1.06</v>
      </c>
      <c r="K135">
        <v>1.0428070100126572</v>
      </c>
    </row>
    <row r="136" spans="1:11" ht="13.95" customHeight="1">
      <c r="A136" t="s">
        <v>6593</v>
      </c>
      <c r="B136">
        <v>40</v>
      </c>
      <c r="E136">
        <v>3.2800000000000002</v>
      </c>
      <c r="H136">
        <v>3.55</v>
      </c>
      <c r="K136">
        <v>3.3593524821224419</v>
      </c>
    </row>
    <row r="137" spans="1:11" ht="13.95" customHeight="1">
      <c r="A137" t="s">
        <v>6593</v>
      </c>
      <c r="B137">
        <v>41</v>
      </c>
      <c r="C137">
        <v>1.06</v>
      </c>
      <c r="F137">
        <v>1.08</v>
      </c>
      <c r="I137">
        <v>1.0604050541930996</v>
      </c>
    </row>
    <row r="138" spans="1:11" ht="13.95" customHeight="1">
      <c r="A138" t="s">
        <v>6593</v>
      </c>
      <c r="B138">
        <v>42</v>
      </c>
      <c r="C138">
        <v>3.23</v>
      </c>
      <c r="F138">
        <v>3.79</v>
      </c>
      <c r="I138">
        <v>3.4184131394138197</v>
      </c>
    </row>
    <row r="139" spans="1:11" ht="13.95" customHeight="1">
      <c r="A139" t="s">
        <v>6593</v>
      </c>
      <c r="B139">
        <v>43</v>
      </c>
      <c r="D139">
        <v>0</v>
      </c>
      <c r="G139">
        <v>0</v>
      </c>
    </row>
    <row r="140" spans="1:11" ht="13.95" customHeight="1">
      <c r="A140" t="s">
        <v>6593</v>
      </c>
      <c r="B140">
        <v>44</v>
      </c>
      <c r="D140">
        <v>4.96</v>
      </c>
      <c r="G140">
        <v>7.96</v>
      </c>
      <c r="J140">
        <v>6.6204197603684856</v>
      </c>
    </row>
    <row r="141" spans="1:11" ht="13.95" customHeight="1">
      <c r="A141" t="s">
        <v>6593</v>
      </c>
      <c r="B141">
        <v>45</v>
      </c>
      <c r="E141">
        <v>0</v>
      </c>
      <c r="H141">
        <v>0</v>
      </c>
    </row>
    <row r="142" spans="1:11" ht="13.95" customHeight="1">
      <c r="A142" t="s">
        <v>6593</v>
      </c>
      <c r="B142">
        <v>46</v>
      </c>
      <c r="E142">
        <v>0</v>
      </c>
      <c r="H142">
        <v>0</v>
      </c>
    </row>
    <row r="143" spans="1:11" ht="13.95" customHeight="1">
      <c r="A143" t="s">
        <v>6593</v>
      </c>
      <c r="B143">
        <v>47</v>
      </c>
      <c r="C143">
        <v>0</v>
      </c>
      <c r="F143">
        <v>0</v>
      </c>
    </row>
    <row r="144" spans="1:11" ht="13.95" customHeight="1">
      <c r="A144" t="s">
        <v>6593</v>
      </c>
      <c r="B144">
        <v>48</v>
      </c>
      <c r="C144">
        <v>1.1100000000000001</v>
      </c>
      <c r="F144">
        <v>3.56</v>
      </c>
      <c r="I144">
        <v>1.7783515337126403</v>
      </c>
    </row>
    <row r="145" spans="1:10" ht="13.95" customHeight="1">
      <c r="A145" t="s">
        <v>6593</v>
      </c>
      <c r="B145">
        <v>49</v>
      </c>
      <c r="D145">
        <v>0</v>
      </c>
      <c r="G145">
        <v>0</v>
      </c>
    </row>
    <row r="146" spans="1:10" ht="13.95" customHeight="1">
      <c r="A146" t="s">
        <v>6593</v>
      </c>
      <c r="B146">
        <v>50</v>
      </c>
      <c r="D146">
        <v>0</v>
      </c>
      <c r="G146">
        <v>0</v>
      </c>
    </row>
    <row r="147" spans="1:10" ht="13.95" customHeight="1">
      <c r="A147" t="s">
        <v>6593</v>
      </c>
      <c r="B147">
        <v>51</v>
      </c>
      <c r="E147">
        <v>0</v>
      </c>
      <c r="H147">
        <v>0</v>
      </c>
    </row>
    <row r="148" spans="1:10" ht="13.95" customHeight="1">
      <c r="A148" t="s">
        <v>6593</v>
      </c>
      <c r="B148">
        <v>52</v>
      </c>
      <c r="E148">
        <v>0</v>
      </c>
      <c r="H148">
        <v>0</v>
      </c>
    </row>
    <row r="149" spans="1:10" ht="13.95" customHeight="1">
      <c r="A149" t="s">
        <v>6593</v>
      </c>
      <c r="B149">
        <v>53</v>
      </c>
      <c r="C149">
        <v>0</v>
      </c>
      <c r="F149">
        <v>0</v>
      </c>
    </row>
    <row r="150" spans="1:10" ht="13.95" customHeight="1">
      <c r="A150" t="s">
        <v>6593</v>
      </c>
      <c r="B150">
        <v>54</v>
      </c>
      <c r="C150">
        <v>0.34</v>
      </c>
      <c r="F150">
        <v>0.35</v>
      </c>
      <c r="I150">
        <v>0.34010955017173905</v>
      </c>
    </row>
    <row r="151" spans="1:10" ht="13.95" customHeight="1">
      <c r="A151" t="s">
        <v>6587</v>
      </c>
      <c r="B151">
        <v>1</v>
      </c>
      <c r="C151">
        <v>0</v>
      </c>
      <c r="F151">
        <v>5.0599999999999996</v>
      </c>
      <c r="I151">
        <v>0.86817545863433088</v>
      </c>
    </row>
    <row r="152" spans="1:10" ht="13.95" customHeight="1">
      <c r="A152" t="s">
        <v>6587</v>
      </c>
      <c r="B152">
        <v>2</v>
      </c>
      <c r="C152">
        <v>0</v>
      </c>
      <c r="F152">
        <v>8.1999999999999993</v>
      </c>
      <c r="I152">
        <v>1.6264164896273741</v>
      </c>
    </row>
    <row r="153" spans="1:10" ht="13.95" customHeight="1">
      <c r="A153" t="s">
        <v>6587</v>
      </c>
      <c r="B153">
        <v>3</v>
      </c>
      <c r="D153">
        <v>0.54</v>
      </c>
      <c r="G153">
        <v>0.56000000000000005</v>
      </c>
      <c r="J153">
        <v>0.54998326794983188</v>
      </c>
    </row>
    <row r="154" spans="1:10" ht="13.95" customHeight="1">
      <c r="A154" t="s">
        <v>6587</v>
      </c>
      <c r="B154">
        <v>4</v>
      </c>
      <c r="D154">
        <v>0</v>
      </c>
      <c r="G154">
        <v>0</v>
      </c>
    </row>
    <row r="155" spans="1:10" ht="13.95" customHeight="1">
      <c r="A155" t="s">
        <v>6587</v>
      </c>
      <c r="B155">
        <v>5</v>
      </c>
      <c r="E155">
        <v>0</v>
      </c>
      <c r="H155">
        <v>0</v>
      </c>
    </row>
    <row r="156" spans="1:10" ht="13.95" customHeight="1">
      <c r="A156" t="s">
        <v>6587</v>
      </c>
      <c r="B156">
        <v>6</v>
      </c>
      <c r="E156">
        <v>0</v>
      </c>
      <c r="H156">
        <v>0</v>
      </c>
    </row>
    <row r="157" spans="1:10" ht="13.95" customHeight="1">
      <c r="A157" t="s">
        <v>6587</v>
      </c>
      <c r="B157">
        <v>7</v>
      </c>
      <c r="C157">
        <v>1.1100000000000001</v>
      </c>
      <c r="F157">
        <v>1.1299999999999999</v>
      </c>
      <c r="I157">
        <v>1.1212534433466859</v>
      </c>
    </row>
    <row r="158" spans="1:10" ht="13.95" customHeight="1">
      <c r="A158" t="s">
        <v>6587</v>
      </c>
      <c r="B158">
        <v>8</v>
      </c>
      <c r="C158">
        <v>4.05</v>
      </c>
      <c r="F158">
        <v>7.52</v>
      </c>
      <c r="I158">
        <v>4.8337030740295885</v>
      </c>
    </row>
    <row r="159" spans="1:10" ht="13.95" customHeight="1">
      <c r="A159" t="s">
        <v>6587</v>
      </c>
      <c r="B159">
        <v>9</v>
      </c>
      <c r="D159">
        <v>0.83</v>
      </c>
      <c r="G159">
        <v>1.5899999999999999</v>
      </c>
      <c r="J159">
        <v>1.170950985289744</v>
      </c>
    </row>
    <row r="160" spans="1:10" ht="13.95" customHeight="1">
      <c r="A160" t="s">
        <v>6587</v>
      </c>
      <c r="B160">
        <v>10</v>
      </c>
      <c r="D160">
        <v>0.66</v>
      </c>
      <c r="G160">
        <v>0.71</v>
      </c>
      <c r="J160">
        <v>0.67010830531657406</v>
      </c>
    </row>
    <row r="161" spans="1:11" ht="13.95" customHeight="1">
      <c r="A161" t="s">
        <v>6587</v>
      </c>
      <c r="B161">
        <v>11</v>
      </c>
      <c r="E161">
        <v>0</v>
      </c>
      <c r="H161">
        <v>0</v>
      </c>
    </row>
    <row r="162" spans="1:11" ht="13.95" customHeight="1">
      <c r="A162" t="s">
        <v>6587</v>
      </c>
      <c r="B162">
        <v>12</v>
      </c>
      <c r="E162">
        <v>4.41</v>
      </c>
      <c r="H162">
        <v>4.71</v>
      </c>
      <c r="K162">
        <v>4.4491158001357816</v>
      </c>
    </row>
    <row r="163" spans="1:11" ht="13.95" customHeight="1">
      <c r="A163" t="s">
        <v>6587</v>
      </c>
      <c r="B163">
        <v>13</v>
      </c>
      <c r="C163">
        <v>2.84</v>
      </c>
      <c r="F163">
        <v>2.86</v>
      </c>
      <c r="I163">
        <v>2.8491649598101079</v>
      </c>
    </row>
    <row r="164" spans="1:11" ht="13.95" customHeight="1">
      <c r="A164" t="s">
        <v>6587</v>
      </c>
      <c r="B164">
        <v>14</v>
      </c>
      <c r="C164">
        <v>13.91</v>
      </c>
      <c r="F164">
        <v>16.05</v>
      </c>
      <c r="I164">
        <v>14.516444444932365</v>
      </c>
    </row>
    <row r="165" spans="1:11" ht="13.95" customHeight="1">
      <c r="A165" t="s">
        <v>6587</v>
      </c>
      <c r="B165">
        <v>15</v>
      </c>
      <c r="D165">
        <v>1.76</v>
      </c>
      <c r="G165">
        <v>1.77</v>
      </c>
      <c r="J165">
        <v>1.7628952982927228</v>
      </c>
    </row>
    <row r="166" spans="1:11" ht="13.95" customHeight="1">
      <c r="A166" t="s">
        <v>6587</v>
      </c>
      <c r="B166">
        <v>16</v>
      </c>
      <c r="D166">
        <v>0</v>
      </c>
      <c r="G166">
        <v>0</v>
      </c>
    </row>
    <row r="167" spans="1:11" ht="13.95" customHeight="1">
      <c r="A167" t="s">
        <v>6587</v>
      </c>
      <c r="B167">
        <v>17</v>
      </c>
      <c r="E167">
        <v>2.4300000000000002</v>
      </c>
      <c r="H167">
        <v>4.55</v>
      </c>
      <c r="K167">
        <v>3.1085118739641748</v>
      </c>
    </row>
    <row r="168" spans="1:11" ht="13.95" customHeight="1">
      <c r="A168" t="s">
        <v>6587</v>
      </c>
      <c r="B168">
        <v>18</v>
      </c>
      <c r="E168">
        <v>0</v>
      </c>
      <c r="H168">
        <v>0</v>
      </c>
    </row>
    <row r="169" spans="1:11" ht="13.95" customHeight="1">
      <c r="A169" t="s">
        <v>6587</v>
      </c>
      <c r="B169">
        <v>19</v>
      </c>
      <c r="C169">
        <v>0</v>
      </c>
      <c r="F169">
        <v>0</v>
      </c>
    </row>
    <row r="170" spans="1:11" ht="13.95" customHeight="1">
      <c r="A170" t="s">
        <v>6587</v>
      </c>
      <c r="B170">
        <v>20</v>
      </c>
      <c r="C170">
        <v>0</v>
      </c>
      <c r="F170">
        <v>4.25</v>
      </c>
      <c r="I170">
        <v>1.8427444511385029</v>
      </c>
    </row>
    <row r="171" spans="1:11" ht="13.95" customHeight="1">
      <c r="A171" t="s">
        <v>6587</v>
      </c>
      <c r="B171">
        <v>21</v>
      </c>
      <c r="D171">
        <v>0</v>
      </c>
      <c r="G171">
        <v>0</v>
      </c>
    </row>
    <row r="172" spans="1:11" ht="13.95" customHeight="1">
      <c r="A172" t="s">
        <v>6587</v>
      </c>
      <c r="B172">
        <v>22</v>
      </c>
      <c r="D172">
        <v>0</v>
      </c>
      <c r="G172">
        <v>0</v>
      </c>
    </row>
    <row r="173" spans="1:11" ht="13.95" customHeight="1">
      <c r="A173" t="s">
        <v>6587</v>
      </c>
      <c r="B173">
        <v>23</v>
      </c>
      <c r="E173">
        <v>0</v>
      </c>
      <c r="H173">
        <v>0</v>
      </c>
    </row>
    <row r="174" spans="1:11" ht="13.95" customHeight="1">
      <c r="A174" t="s">
        <v>6587</v>
      </c>
      <c r="B174">
        <v>24</v>
      </c>
      <c r="E174">
        <v>1.25</v>
      </c>
      <c r="H174">
        <v>4.58</v>
      </c>
      <c r="K174">
        <v>2.2798488907171173</v>
      </c>
    </row>
    <row r="175" spans="1:11" ht="13.95" customHeight="1">
      <c r="A175" t="s">
        <v>6587</v>
      </c>
      <c r="B175">
        <v>25</v>
      </c>
      <c r="C175">
        <v>0</v>
      </c>
      <c r="F175">
        <v>0</v>
      </c>
    </row>
    <row r="176" spans="1:11" ht="13.95" customHeight="1">
      <c r="A176" t="s">
        <v>6587</v>
      </c>
      <c r="B176">
        <v>26</v>
      </c>
      <c r="C176">
        <v>0.3</v>
      </c>
      <c r="F176">
        <v>0.63</v>
      </c>
      <c r="I176">
        <v>0.42734076380786234</v>
      </c>
    </row>
    <row r="177" spans="1:11" ht="13.95" customHeight="1">
      <c r="A177" t="s">
        <v>6587</v>
      </c>
      <c r="B177">
        <v>27</v>
      </c>
      <c r="D177">
        <v>5.62</v>
      </c>
      <c r="G177">
        <v>6.27</v>
      </c>
      <c r="J177">
        <v>5.7870600560056698</v>
      </c>
    </row>
    <row r="178" spans="1:11" ht="13.95" customHeight="1">
      <c r="A178" t="s">
        <v>6587</v>
      </c>
      <c r="B178">
        <v>28</v>
      </c>
      <c r="D178">
        <v>0</v>
      </c>
      <c r="G178">
        <v>0</v>
      </c>
    </row>
    <row r="179" spans="1:11" ht="13.95" customHeight="1">
      <c r="A179" t="s">
        <v>6587</v>
      </c>
      <c r="B179">
        <v>29</v>
      </c>
      <c r="E179">
        <v>0</v>
      </c>
      <c r="H179">
        <v>0</v>
      </c>
    </row>
    <row r="180" spans="1:11" ht="13.95" customHeight="1">
      <c r="A180" t="s">
        <v>6587</v>
      </c>
      <c r="B180">
        <v>30</v>
      </c>
      <c r="E180">
        <v>1.67</v>
      </c>
      <c r="H180">
        <v>2.69</v>
      </c>
      <c r="K180">
        <v>1.9976248216015566</v>
      </c>
    </row>
    <row r="181" spans="1:11" ht="13.95" customHeight="1">
      <c r="A181" t="s">
        <v>6587</v>
      </c>
      <c r="B181">
        <v>31</v>
      </c>
      <c r="C181">
        <v>0</v>
      </c>
      <c r="F181">
        <v>0</v>
      </c>
    </row>
    <row r="182" spans="1:11" ht="13.95" customHeight="1">
      <c r="A182" t="s">
        <v>6587</v>
      </c>
      <c r="B182">
        <v>32</v>
      </c>
      <c r="C182">
        <v>3.12</v>
      </c>
      <c r="F182">
        <v>3.73</v>
      </c>
      <c r="I182">
        <v>3.4619542577925428</v>
      </c>
    </row>
    <row r="183" spans="1:11" ht="13.95" customHeight="1">
      <c r="A183" t="s">
        <v>6587</v>
      </c>
      <c r="B183">
        <v>33</v>
      </c>
      <c r="D183">
        <v>0</v>
      </c>
      <c r="G183">
        <v>0</v>
      </c>
    </row>
    <row r="184" spans="1:11" ht="13.95" customHeight="1">
      <c r="A184" t="s">
        <v>6587</v>
      </c>
      <c r="B184">
        <v>34</v>
      </c>
      <c r="D184">
        <v>0</v>
      </c>
      <c r="G184">
        <v>0</v>
      </c>
    </row>
    <row r="185" spans="1:11" ht="13.95" customHeight="1">
      <c r="A185" t="s">
        <v>6587</v>
      </c>
      <c r="B185">
        <v>35</v>
      </c>
      <c r="E185">
        <v>2.38</v>
      </c>
      <c r="H185">
        <v>2.92</v>
      </c>
      <c r="K185">
        <v>2.5731669086990143</v>
      </c>
    </row>
    <row r="186" spans="1:11" ht="13.95" customHeight="1">
      <c r="A186" t="s">
        <v>6587</v>
      </c>
      <c r="B186">
        <v>36</v>
      </c>
      <c r="E186">
        <v>6.8100000000000005</v>
      </c>
      <c r="H186">
        <v>8.02</v>
      </c>
      <c r="K186">
        <v>7.3423192313033478</v>
      </c>
    </row>
    <row r="187" spans="1:11" ht="13.95" customHeight="1">
      <c r="A187" t="s">
        <v>6587</v>
      </c>
      <c r="B187">
        <v>37</v>
      </c>
      <c r="C187">
        <v>5.4</v>
      </c>
      <c r="F187">
        <v>6.7</v>
      </c>
      <c r="I187">
        <v>5.8651822589427249</v>
      </c>
    </row>
    <row r="188" spans="1:11" ht="13.95" customHeight="1">
      <c r="A188" t="s">
        <v>6587</v>
      </c>
      <c r="B188">
        <v>38</v>
      </c>
      <c r="C188">
        <v>4.8100000000000005</v>
      </c>
      <c r="F188">
        <v>5.12</v>
      </c>
      <c r="I188">
        <v>5.0205564536349216</v>
      </c>
    </row>
    <row r="189" spans="1:11" ht="13.95" customHeight="1">
      <c r="A189" t="s">
        <v>6587</v>
      </c>
      <c r="B189">
        <v>39</v>
      </c>
      <c r="D189">
        <v>2.5</v>
      </c>
      <c r="G189">
        <v>8.3699999999999992</v>
      </c>
      <c r="J189">
        <v>2.870517241897061</v>
      </c>
    </row>
    <row r="190" spans="1:11" ht="13.95" customHeight="1">
      <c r="A190" t="s">
        <v>6587</v>
      </c>
      <c r="B190">
        <v>40</v>
      </c>
      <c r="D190">
        <v>0</v>
      </c>
      <c r="G190">
        <v>0</v>
      </c>
    </row>
    <row r="191" spans="1:11" ht="13.95" customHeight="1">
      <c r="A191" t="s">
        <v>6590</v>
      </c>
      <c r="B191">
        <v>1</v>
      </c>
      <c r="C191">
        <v>1.1599999999999999</v>
      </c>
      <c r="F191">
        <v>1.2</v>
      </c>
      <c r="I191">
        <v>1.1777412379764884</v>
      </c>
    </row>
    <row r="192" spans="1:11" ht="13.95" customHeight="1">
      <c r="A192" t="s">
        <v>6590</v>
      </c>
      <c r="B192">
        <v>2</v>
      </c>
      <c r="C192">
        <v>0.8</v>
      </c>
      <c r="F192">
        <v>1.51</v>
      </c>
      <c r="I192">
        <v>1.0315129914177468</v>
      </c>
    </row>
    <row r="193" spans="1:11" ht="13.95" customHeight="1">
      <c r="A193" t="s">
        <v>6590</v>
      </c>
      <c r="B193">
        <v>3</v>
      </c>
      <c r="D193">
        <v>2.54</v>
      </c>
      <c r="G193">
        <v>2.93</v>
      </c>
      <c r="J193">
        <v>2.7993312648006219</v>
      </c>
    </row>
    <row r="194" spans="1:11" ht="13.95" customHeight="1">
      <c r="A194" t="s">
        <v>6590</v>
      </c>
      <c r="B194">
        <v>4</v>
      </c>
      <c r="D194">
        <v>0</v>
      </c>
      <c r="G194">
        <v>0</v>
      </c>
    </row>
    <row r="195" spans="1:11" ht="13.95" customHeight="1">
      <c r="A195" t="s">
        <v>6590</v>
      </c>
      <c r="B195">
        <v>5</v>
      </c>
      <c r="E195">
        <v>3.21</v>
      </c>
      <c r="H195">
        <v>3.6</v>
      </c>
      <c r="K195">
        <v>3.4542290573589089</v>
      </c>
    </row>
    <row r="196" spans="1:11" ht="13.95" customHeight="1">
      <c r="A196" t="s">
        <v>6590</v>
      </c>
      <c r="B196">
        <v>6</v>
      </c>
      <c r="E196">
        <v>1.55</v>
      </c>
      <c r="H196">
        <v>1.75</v>
      </c>
      <c r="K196">
        <v>1.5846086598320743</v>
      </c>
    </row>
    <row r="197" spans="1:11" ht="13.95" customHeight="1">
      <c r="A197" t="s">
        <v>6590</v>
      </c>
      <c r="B197">
        <v>7</v>
      </c>
      <c r="C197">
        <v>2.42</v>
      </c>
      <c r="F197">
        <v>2.64</v>
      </c>
      <c r="I197">
        <v>2.5443615638815036</v>
      </c>
    </row>
    <row r="198" spans="1:11" ht="13.95" customHeight="1">
      <c r="A198" t="s">
        <v>6590</v>
      </c>
      <c r="B198">
        <v>8</v>
      </c>
      <c r="C198">
        <v>1.94</v>
      </c>
      <c r="F198">
        <v>2.13</v>
      </c>
      <c r="I198">
        <v>1.9825772550346199</v>
      </c>
    </row>
    <row r="199" spans="1:11" ht="13.95" customHeight="1">
      <c r="A199" t="s">
        <v>6590</v>
      </c>
      <c r="B199">
        <v>9</v>
      </c>
      <c r="D199">
        <v>2.7199999999999998</v>
      </c>
      <c r="G199">
        <v>2.9</v>
      </c>
      <c r="J199">
        <v>2.7519624258589053</v>
      </c>
    </row>
    <row r="200" spans="1:11" ht="13.95" customHeight="1">
      <c r="A200" t="s">
        <v>6590</v>
      </c>
      <c r="B200">
        <v>10</v>
      </c>
      <c r="D200">
        <v>2.57</v>
      </c>
      <c r="G200">
        <v>2.79</v>
      </c>
      <c r="J200">
        <v>2.6170833580273798</v>
      </c>
    </row>
    <row r="201" spans="1:11" ht="13.95" customHeight="1">
      <c r="A201" t="s">
        <v>6588</v>
      </c>
      <c r="B201">
        <v>1</v>
      </c>
      <c r="C201">
        <v>1.17</v>
      </c>
      <c r="F201">
        <v>1.19</v>
      </c>
      <c r="I201">
        <v>1.1767347473275105</v>
      </c>
    </row>
    <row r="202" spans="1:11" ht="13.95" customHeight="1">
      <c r="A202" t="s">
        <v>6588</v>
      </c>
      <c r="B202">
        <v>2</v>
      </c>
      <c r="C202">
        <v>1.47</v>
      </c>
      <c r="F202">
        <v>2.0099999999999998</v>
      </c>
      <c r="I202">
        <v>1.6537366638268731</v>
      </c>
    </row>
    <row r="203" spans="1:11" ht="13.95" customHeight="1">
      <c r="A203" t="s">
        <v>6588</v>
      </c>
      <c r="B203">
        <v>3</v>
      </c>
      <c r="D203">
        <v>2.57</v>
      </c>
      <c r="G203">
        <v>3.64</v>
      </c>
      <c r="J203">
        <v>3.3577218810015981</v>
      </c>
    </row>
    <row r="204" spans="1:11" ht="13.95" customHeight="1">
      <c r="A204" t="s">
        <v>6588</v>
      </c>
      <c r="B204">
        <v>4</v>
      </c>
      <c r="D204">
        <v>0</v>
      </c>
      <c r="G204">
        <v>0</v>
      </c>
    </row>
    <row r="205" spans="1:11" ht="13.95" customHeight="1">
      <c r="A205" t="s">
        <v>6588</v>
      </c>
      <c r="B205">
        <v>5</v>
      </c>
      <c r="E205">
        <v>3.15</v>
      </c>
      <c r="H205">
        <v>4.59</v>
      </c>
      <c r="K205">
        <v>4.4847758598187166</v>
      </c>
    </row>
    <row r="206" spans="1:11" ht="13.95" customHeight="1">
      <c r="A206" t="s">
        <v>6588</v>
      </c>
      <c r="B206">
        <v>6</v>
      </c>
      <c r="E206">
        <v>1.2</v>
      </c>
      <c r="H206">
        <v>1.3900000000000001</v>
      </c>
      <c r="K206">
        <v>1.230463695723041</v>
      </c>
    </row>
    <row r="207" spans="1:11" ht="13.95" customHeight="1">
      <c r="A207" t="s">
        <v>6588</v>
      </c>
      <c r="B207">
        <v>7</v>
      </c>
      <c r="C207">
        <v>4.0599999999999996</v>
      </c>
      <c r="F207">
        <v>4.33</v>
      </c>
      <c r="I207">
        <v>4.1385957122946948</v>
      </c>
    </row>
    <row r="208" spans="1:11" ht="13.95" customHeight="1">
      <c r="A208" t="s">
        <v>6588</v>
      </c>
      <c r="B208">
        <v>8</v>
      </c>
      <c r="C208">
        <v>1.9100000000000001</v>
      </c>
      <c r="F208">
        <v>2.08</v>
      </c>
      <c r="I208">
        <v>1.9416075089087841</v>
      </c>
    </row>
    <row r="209" spans="1:11" ht="13.95" customHeight="1">
      <c r="A209" t="s">
        <v>6588</v>
      </c>
      <c r="B209">
        <v>9</v>
      </c>
      <c r="D209">
        <v>1.6099999999999999</v>
      </c>
      <c r="G209">
        <v>1.97</v>
      </c>
      <c r="J209">
        <v>1.637979992479152</v>
      </c>
    </row>
    <row r="210" spans="1:11" ht="13.95" customHeight="1">
      <c r="A210" t="s">
        <v>6588</v>
      </c>
      <c r="B210">
        <v>10</v>
      </c>
      <c r="D210">
        <v>2.79</v>
      </c>
      <c r="G210">
        <v>3.02</v>
      </c>
      <c r="J210">
        <v>2.8513499542163339</v>
      </c>
    </row>
    <row r="211" spans="1:11" ht="13.95" customHeight="1">
      <c r="A211" t="s">
        <v>6589</v>
      </c>
      <c r="B211">
        <v>1</v>
      </c>
      <c r="C211">
        <v>23.93</v>
      </c>
      <c r="D211">
        <v>12.28</v>
      </c>
      <c r="E211">
        <v>16.8</v>
      </c>
      <c r="F211">
        <v>28.79</v>
      </c>
      <c r="G211">
        <v>15.71</v>
      </c>
      <c r="H211">
        <v>21.02</v>
      </c>
      <c r="I211">
        <v>26.43004387676503</v>
      </c>
      <c r="J211">
        <v>13.149087572170288</v>
      </c>
      <c r="K211">
        <v>18.587441996632464</v>
      </c>
    </row>
    <row r="212" spans="1:11" ht="13.95" customHeight="1">
      <c r="A212" t="s">
        <v>6589</v>
      </c>
      <c r="B212">
        <v>2</v>
      </c>
      <c r="C212">
        <v>2.71</v>
      </c>
      <c r="D212">
        <v>2.1</v>
      </c>
      <c r="E212">
        <v>7.23</v>
      </c>
      <c r="F212">
        <v>4.1500000000000004</v>
      </c>
      <c r="G212">
        <v>4.1100000000000003</v>
      </c>
      <c r="H212">
        <v>10.199999999999999</v>
      </c>
      <c r="I212">
        <v>3.3292535266301519</v>
      </c>
      <c r="J212">
        <v>2.9144530047810484</v>
      </c>
      <c r="K212">
        <v>8.1737569375948045</v>
      </c>
    </row>
    <row r="213" spans="1:11" ht="13.95" customHeight="1">
      <c r="A213" t="s">
        <v>6589</v>
      </c>
      <c r="B213">
        <v>3</v>
      </c>
      <c r="C213">
        <v>6.36</v>
      </c>
      <c r="D213">
        <v>7.74</v>
      </c>
      <c r="E213">
        <v>4.76</v>
      </c>
      <c r="F213">
        <v>7.12</v>
      </c>
      <c r="G213">
        <v>8.2200000000000006</v>
      </c>
      <c r="H213">
        <v>5.2</v>
      </c>
      <c r="I213">
        <v>6.6645970772389864</v>
      </c>
      <c r="J213">
        <v>8.0239214661696288</v>
      </c>
      <c r="K213">
        <v>5.0083407127177431</v>
      </c>
    </row>
    <row r="214" spans="1:11" ht="13.95" customHeight="1">
      <c r="A214" t="s">
        <v>6589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95" customHeight="1">
      <c r="A215" t="s">
        <v>6589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95" customHeight="1">
      <c r="A216" t="s">
        <v>6589</v>
      </c>
      <c r="B216">
        <v>6</v>
      </c>
      <c r="C216">
        <v>51.2</v>
      </c>
      <c r="D216">
        <v>51.69</v>
      </c>
      <c r="E216">
        <v>53.81</v>
      </c>
      <c r="F216">
        <v>52.52</v>
      </c>
      <c r="G216">
        <v>53</v>
      </c>
      <c r="H216">
        <v>55.76</v>
      </c>
      <c r="I216">
        <v>51.872659266491716</v>
      </c>
      <c r="J216">
        <v>52.372320027784248</v>
      </c>
      <c r="K216">
        <v>54.939706624089844</v>
      </c>
    </row>
    <row r="217" spans="1:11" ht="13.95" customHeight="1">
      <c r="A217" t="s">
        <v>6589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95" customHeight="1">
      <c r="A218" t="s">
        <v>6589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3.95" customHeight="1">
      <c r="A219" t="s">
        <v>6589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95" customHeight="1">
      <c r="A220" t="s">
        <v>6589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95" customHeight="1">
      <c r="A221" t="s">
        <v>6586</v>
      </c>
      <c r="B221">
        <v>1</v>
      </c>
      <c r="C221">
        <v>45.28</v>
      </c>
      <c r="D221">
        <v>46.21</v>
      </c>
      <c r="E221">
        <v>48.33</v>
      </c>
      <c r="F221">
        <v>46.85</v>
      </c>
      <c r="G221">
        <v>47.53</v>
      </c>
      <c r="H221">
        <v>50.13</v>
      </c>
      <c r="I221">
        <v>46.045090380689395</v>
      </c>
      <c r="J221">
        <v>46.8512061102209</v>
      </c>
      <c r="K221">
        <v>49.414773561749882</v>
      </c>
    </row>
    <row r="222" spans="1:11" ht="13.95" customHeight="1">
      <c r="A222" t="s">
        <v>6586</v>
      </c>
      <c r="B222">
        <v>2</v>
      </c>
      <c r="C222">
        <v>37.64</v>
      </c>
      <c r="D222">
        <v>11.36</v>
      </c>
      <c r="E222">
        <v>19.239999999999998</v>
      </c>
      <c r="F222">
        <v>44.76</v>
      </c>
      <c r="G222">
        <v>18.100000000000001</v>
      </c>
      <c r="H222">
        <v>24.4</v>
      </c>
      <c r="I222">
        <v>40.069340099056618</v>
      </c>
      <c r="J222">
        <v>11.90888666714228</v>
      </c>
      <c r="K222">
        <v>20.921790853650428</v>
      </c>
    </row>
    <row r="223" spans="1:11" ht="13.95" customHeight="1">
      <c r="A223" t="s">
        <v>6586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95" customHeight="1">
      <c r="A224" t="s">
        <v>6586</v>
      </c>
      <c r="B224">
        <v>4</v>
      </c>
      <c r="C224">
        <v>8.61</v>
      </c>
      <c r="D224">
        <v>6.85</v>
      </c>
      <c r="E224">
        <v>4.33</v>
      </c>
      <c r="F224">
        <v>9.34</v>
      </c>
      <c r="G224">
        <v>7.98</v>
      </c>
      <c r="H224">
        <v>5.8100000000000005</v>
      </c>
      <c r="I224">
        <v>8.8609179037943147</v>
      </c>
      <c r="J224">
        <v>7.6603568986443271</v>
      </c>
      <c r="K224">
        <v>5.6447897069857591</v>
      </c>
    </row>
    <row r="225" spans="1:8" ht="13.95" customHeight="1">
      <c r="A225" t="s">
        <v>6586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3.95" customHeight="1">
      <c r="A226" t="s">
        <v>6586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3.95" customHeight="1">
      <c r="A227" t="s">
        <v>6586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3.95" customHeight="1">
      <c r="A228" t="s">
        <v>6586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3.95" customHeight="1">
      <c r="A229" t="s">
        <v>6586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3.95" customHeight="1">
      <c r="A230" t="s">
        <v>6586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3830" t="s">
        <v>8717</v>
      </c>
      <c r="B1" s="3830" t="s">
        <v>8718</v>
      </c>
      <c r="C1" s="3830" t="s">
        <v>8719</v>
      </c>
      <c r="D1" s="3830"/>
      <c r="E1" s="3830"/>
      <c r="F1" s="3830" t="s">
        <v>8720</v>
      </c>
      <c r="G1" s="3830"/>
      <c r="H1" s="3830"/>
      <c r="I1" s="3830" t="s">
        <v>8721</v>
      </c>
      <c r="J1" s="3830"/>
      <c r="K1" s="3830"/>
    </row>
    <row r="2" spans="1:11" ht="17.399999999999999">
      <c r="A2" s="3830"/>
      <c r="B2" s="3830"/>
      <c r="C2" s="2588" t="s">
        <v>4141</v>
      </c>
      <c r="D2" s="2588" t="s">
        <v>4142</v>
      </c>
      <c r="E2" s="2588" t="s">
        <v>4143</v>
      </c>
      <c r="F2" s="2588" t="s">
        <v>4141</v>
      </c>
      <c r="G2" s="2588" t="s">
        <v>4142</v>
      </c>
      <c r="H2" s="2588" t="s">
        <v>4143</v>
      </c>
      <c r="I2" s="2588" t="s">
        <v>4141</v>
      </c>
      <c r="J2" s="2588" t="s">
        <v>4142</v>
      </c>
      <c r="K2" s="2588" t="s">
        <v>4143</v>
      </c>
    </row>
    <row r="3" spans="1:11">
      <c r="A3" t="s">
        <v>6551</v>
      </c>
      <c r="B3">
        <v>1</v>
      </c>
      <c r="C3">
        <v>0</v>
      </c>
      <c r="D3">
        <v>0.76</v>
      </c>
      <c r="E3">
        <v>0.67</v>
      </c>
      <c r="F3">
        <v>58.82</v>
      </c>
      <c r="G3">
        <v>60.08</v>
      </c>
      <c r="H3">
        <v>58.64</v>
      </c>
      <c r="I3">
        <v>0.11822916666666666</v>
      </c>
      <c r="J3">
        <v>0.78283221948859361</v>
      </c>
      <c r="K3">
        <v>0.69687107686914174</v>
      </c>
    </row>
    <row r="4" spans="1:11" ht="13.95" customHeight="1">
      <c r="A4" t="s">
        <v>6551</v>
      </c>
      <c r="B4">
        <v>2</v>
      </c>
      <c r="C4">
        <v>0</v>
      </c>
      <c r="D4">
        <v>0</v>
      </c>
      <c r="E4">
        <v>0</v>
      </c>
      <c r="F4">
        <v>24.87</v>
      </c>
      <c r="G4">
        <v>23.43</v>
      </c>
      <c r="H4">
        <v>25.4</v>
      </c>
      <c r="I4">
        <v>6.1438498957609479E-2</v>
      </c>
      <c r="J4">
        <v>5.8568450312717159E-2</v>
      </c>
      <c r="K4">
        <v>6.3050729673384306E-2</v>
      </c>
    </row>
    <row r="5" spans="1:11" ht="13.95" customHeight="1">
      <c r="A5" t="s">
        <v>6551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95" customHeight="1">
      <c r="A6" t="s">
        <v>6551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95" customHeight="1">
      <c r="A7" t="s">
        <v>6551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95" customHeight="1">
      <c r="A8" t="s">
        <v>6551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95" customHeight="1">
      <c r="A9" t="s">
        <v>6551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95" customHeight="1">
      <c r="A10" t="s">
        <v>6551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95" customHeight="1">
      <c r="A11" t="s">
        <v>6551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95" customHeight="1">
      <c r="A12" t="s">
        <v>6551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95" customHeight="1">
      <c r="A13" t="s">
        <v>6551</v>
      </c>
      <c r="B13">
        <v>11</v>
      </c>
      <c r="C13">
        <v>2.2200000000000002</v>
      </c>
      <c r="D13">
        <v>1.8</v>
      </c>
      <c r="E13">
        <v>3.13</v>
      </c>
      <c r="F13">
        <v>53.32</v>
      </c>
      <c r="G13">
        <v>53.03</v>
      </c>
      <c r="H13">
        <v>69.53</v>
      </c>
      <c r="I13">
        <v>5.1144561352218414</v>
      </c>
      <c r="J13">
        <v>10.628752576709733</v>
      </c>
      <c r="K13">
        <v>8.2798429094402977</v>
      </c>
    </row>
    <row r="14" spans="1:11" ht="13.95" customHeight="1">
      <c r="A14" t="s">
        <v>6551</v>
      </c>
      <c r="B14">
        <v>12</v>
      </c>
      <c r="C14">
        <v>0</v>
      </c>
      <c r="F14">
        <v>0</v>
      </c>
    </row>
    <row r="15" spans="1:11" ht="13.95" customHeight="1">
      <c r="A15" t="s">
        <v>6551</v>
      </c>
      <c r="B15">
        <v>13</v>
      </c>
      <c r="C15">
        <v>0</v>
      </c>
      <c r="F15">
        <v>0</v>
      </c>
    </row>
    <row r="16" spans="1:11" ht="13.95" customHeight="1">
      <c r="A16" t="s">
        <v>6551</v>
      </c>
      <c r="B16">
        <v>14</v>
      </c>
      <c r="D16">
        <v>0</v>
      </c>
      <c r="G16">
        <v>0</v>
      </c>
    </row>
    <row r="17" spans="1:11" ht="13.95" customHeight="1">
      <c r="A17" t="s">
        <v>6551</v>
      </c>
      <c r="B17">
        <v>15</v>
      </c>
      <c r="D17">
        <v>5.19</v>
      </c>
      <c r="G17">
        <v>15.94</v>
      </c>
      <c r="J17">
        <v>9.6310951914598704</v>
      </c>
    </row>
    <row r="18" spans="1:11" ht="13.95" customHeight="1">
      <c r="A18" t="s">
        <v>6551</v>
      </c>
      <c r="B18">
        <v>16</v>
      </c>
      <c r="E18">
        <v>0</v>
      </c>
      <c r="H18">
        <v>0</v>
      </c>
    </row>
    <row r="19" spans="1:11" ht="13.95" customHeight="1">
      <c r="A19" t="s">
        <v>6551</v>
      </c>
      <c r="B19">
        <v>17</v>
      </c>
      <c r="E19">
        <v>0</v>
      </c>
      <c r="H19">
        <v>16.87</v>
      </c>
      <c r="K19">
        <v>7.9592355961427792</v>
      </c>
    </row>
    <row r="20" spans="1:11" ht="13.95" customHeight="1">
      <c r="A20" t="s">
        <v>6570</v>
      </c>
      <c r="B20">
        <v>1</v>
      </c>
      <c r="D20">
        <v>0</v>
      </c>
      <c r="G20">
        <v>0</v>
      </c>
    </row>
    <row r="21" spans="1:11" ht="13.95" customHeight="1">
      <c r="A21" t="s">
        <v>6570</v>
      </c>
      <c r="B21">
        <v>2</v>
      </c>
      <c r="D21">
        <v>0</v>
      </c>
      <c r="G21">
        <v>0</v>
      </c>
    </row>
    <row r="22" spans="1:11" ht="13.95" customHeight="1">
      <c r="A22" t="s">
        <v>6570</v>
      </c>
      <c r="B22">
        <v>3</v>
      </c>
      <c r="E22">
        <v>0</v>
      </c>
      <c r="H22">
        <v>0</v>
      </c>
    </row>
    <row r="23" spans="1:11" ht="13.95" customHeight="1">
      <c r="A23" t="s">
        <v>6570</v>
      </c>
      <c r="B23">
        <v>4</v>
      </c>
      <c r="E23">
        <v>0</v>
      </c>
      <c r="H23">
        <v>0</v>
      </c>
    </row>
    <row r="24" spans="1:11" ht="13.95" customHeight="1">
      <c r="A24" t="s">
        <v>6570</v>
      </c>
      <c r="B24">
        <v>5</v>
      </c>
      <c r="C24">
        <v>0</v>
      </c>
      <c r="F24">
        <v>0</v>
      </c>
    </row>
    <row r="25" spans="1:11" ht="13.95" customHeight="1">
      <c r="A25" t="s">
        <v>6570</v>
      </c>
      <c r="B25">
        <v>6</v>
      </c>
      <c r="C25">
        <v>0</v>
      </c>
      <c r="F25">
        <v>0</v>
      </c>
    </row>
    <row r="26" spans="1:11" ht="13.95" customHeight="1">
      <c r="A26" t="s">
        <v>6570</v>
      </c>
      <c r="B26">
        <v>7</v>
      </c>
      <c r="D26">
        <v>0</v>
      </c>
      <c r="G26">
        <v>0</v>
      </c>
    </row>
    <row r="27" spans="1:11" ht="13.95" customHeight="1">
      <c r="A27" t="s">
        <v>6570</v>
      </c>
      <c r="B27">
        <v>8</v>
      </c>
      <c r="D27">
        <v>0</v>
      </c>
      <c r="G27">
        <v>0</v>
      </c>
    </row>
    <row r="28" spans="1:11" ht="13.95" customHeight="1">
      <c r="A28" t="s">
        <v>6570</v>
      </c>
      <c r="B28">
        <v>9</v>
      </c>
      <c r="E28">
        <v>0</v>
      </c>
      <c r="H28">
        <v>0</v>
      </c>
    </row>
    <row r="29" spans="1:11" ht="13.95" customHeight="1">
      <c r="A29" t="s">
        <v>6570</v>
      </c>
      <c r="B29">
        <v>10</v>
      </c>
      <c r="E29">
        <v>0</v>
      </c>
      <c r="H29">
        <v>0</v>
      </c>
    </row>
    <row r="30" spans="1:11" ht="13.95" customHeight="1">
      <c r="A30" t="s">
        <v>6570</v>
      </c>
      <c r="B30">
        <v>11</v>
      </c>
      <c r="C30">
        <v>0</v>
      </c>
      <c r="F30">
        <v>0</v>
      </c>
    </row>
    <row r="31" spans="1:11" ht="13.95" customHeight="1">
      <c r="A31" t="s">
        <v>6570</v>
      </c>
      <c r="B31">
        <v>12</v>
      </c>
      <c r="C31">
        <v>0</v>
      </c>
      <c r="F31">
        <v>0</v>
      </c>
    </row>
    <row r="32" spans="1:11" ht="13.95" customHeight="1">
      <c r="A32" t="s">
        <v>6570</v>
      </c>
      <c r="B32">
        <v>13</v>
      </c>
      <c r="D32">
        <v>0</v>
      </c>
      <c r="G32">
        <v>0</v>
      </c>
    </row>
    <row r="33" spans="1:8" ht="13.95" customHeight="1">
      <c r="A33" t="s">
        <v>6570</v>
      </c>
      <c r="B33">
        <v>14</v>
      </c>
      <c r="D33">
        <v>0</v>
      </c>
      <c r="G33">
        <v>0</v>
      </c>
    </row>
    <row r="34" spans="1:8" ht="13.95" customHeight="1">
      <c r="A34" t="s">
        <v>6570</v>
      </c>
      <c r="B34">
        <v>15</v>
      </c>
      <c r="E34">
        <v>0</v>
      </c>
      <c r="H34">
        <v>0</v>
      </c>
    </row>
    <row r="35" spans="1:8" ht="13.95" customHeight="1">
      <c r="A35" t="s">
        <v>6570</v>
      </c>
      <c r="B35">
        <v>16</v>
      </c>
      <c r="E35">
        <v>0</v>
      </c>
      <c r="H35">
        <v>0</v>
      </c>
    </row>
    <row r="36" spans="1:8" ht="13.95" customHeight="1">
      <c r="A36" t="s">
        <v>6570</v>
      </c>
      <c r="B36">
        <v>17</v>
      </c>
      <c r="C36">
        <v>0</v>
      </c>
      <c r="F36">
        <v>0</v>
      </c>
    </row>
    <row r="37" spans="1:8" ht="13.95" customHeight="1">
      <c r="A37" t="s">
        <v>6570</v>
      </c>
      <c r="B37">
        <v>18</v>
      </c>
      <c r="C37">
        <v>0</v>
      </c>
      <c r="F37">
        <v>0</v>
      </c>
    </row>
    <row r="38" spans="1:8" ht="13.95" customHeight="1">
      <c r="A38" t="s">
        <v>6570</v>
      </c>
      <c r="B38">
        <v>19</v>
      </c>
      <c r="D38">
        <v>0</v>
      </c>
      <c r="G38">
        <v>0</v>
      </c>
    </row>
    <row r="39" spans="1:8" ht="13.95" customHeight="1">
      <c r="A39" t="s">
        <v>6570</v>
      </c>
      <c r="B39">
        <v>20</v>
      </c>
      <c r="D39">
        <v>0</v>
      </c>
      <c r="G39">
        <v>0</v>
      </c>
    </row>
    <row r="40" spans="1:8" ht="13.95" customHeight="1">
      <c r="A40" t="s">
        <v>6570</v>
      </c>
      <c r="B40">
        <v>21</v>
      </c>
      <c r="E40">
        <v>0</v>
      </c>
      <c r="H40">
        <v>0</v>
      </c>
    </row>
    <row r="41" spans="1:8" ht="13.95" customHeight="1">
      <c r="A41" t="s">
        <v>6570</v>
      </c>
      <c r="B41">
        <v>22</v>
      </c>
      <c r="E41">
        <v>0</v>
      </c>
      <c r="H41">
        <v>0</v>
      </c>
    </row>
    <row r="42" spans="1:8" ht="13.95" customHeight="1">
      <c r="A42" t="s">
        <v>6570</v>
      </c>
      <c r="B42">
        <v>23</v>
      </c>
      <c r="C42">
        <v>0</v>
      </c>
      <c r="F42">
        <v>0</v>
      </c>
    </row>
    <row r="43" spans="1:8" ht="13.95" customHeight="1">
      <c r="A43" t="s">
        <v>6570</v>
      </c>
      <c r="B43">
        <v>24</v>
      </c>
      <c r="C43">
        <v>0</v>
      </c>
      <c r="F43">
        <v>0</v>
      </c>
    </row>
    <row r="44" spans="1:8" ht="13.95" customHeight="1">
      <c r="A44" t="s">
        <v>6570</v>
      </c>
      <c r="B44">
        <v>25</v>
      </c>
      <c r="D44">
        <v>0</v>
      </c>
      <c r="G44">
        <v>0</v>
      </c>
    </row>
    <row r="45" spans="1:8" ht="13.95" customHeight="1">
      <c r="A45" t="s">
        <v>6570</v>
      </c>
      <c r="B45">
        <v>26</v>
      </c>
      <c r="D45">
        <v>0</v>
      </c>
      <c r="G45">
        <v>0</v>
      </c>
    </row>
    <row r="46" spans="1:8" ht="13.95" customHeight="1">
      <c r="A46" t="s">
        <v>6570</v>
      </c>
      <c r="B46">
        <v>27</v>
      </c>
      <c r="E46">
        <v>0</v>
      </c>
      <c r="H46">
        <v>0</v>
      </c>
    </row>
    <row r="47" spans="1:8" ht="13.95" customHeight="1">
      <c r="A47" t="s">
        <v>6570</v>
      </c>
      <c r="B47">
        <v>28</v>
      </c>
      <c r="E47">
        <v>0</v>
      </c>
      <c r="H47">
        <v>0</v>
      </c>
    </row>
    <row r="48" spans="1:8" ht="13.95" customHeight="1">
      <c r="A48" t="s">
        <v>6570</v>
      </c>
      <c r="B48">
        <v>29</v>
      </c>
      <c r="C48">
        <v>0</v>
      </c>
      <c r="F48">
        <v>0</v>
      </c>
    </row>
    <row r="49" spans="1:8" ht="13.95" customHeight="1">
      <c r="A49" t="s">
        <v>6570</v>
      </c>
      <c r="B49">
        <v>30</v>
      </c>
      <c r="C49">
        <v>0</v>
      </c>
      <c r="F49">
        <v>0</v>
      </c>
    </row>
    <row r="50" spans="1:8" ht="13.95" customHeight="1">
      <c r="A50" t="s">
        <v>6570</v>
      </c>
      <c r="B50">
        <v>31</v>
      </c>
      <c r="D50">
        <v>0</v>
      </c>
      <c r="G50">
        <v>0</v>
      </c>
    </row>
    <row r="51" spans="1:8" ht="13.95" customHeight="1">
      <c r="A51" t="s">
        <v>6570</v>
      </c>
      <c r="B51">
        <v>32</v>
      </c>
      <c r="D51">
        <v>0</v>
      </c>
      <c r="G51">
        <v>0</v>
      </c>
    </row>
    <row r="52" spans="1:8" ht="13.95" customHeight="1">
      <c r="A52" t="s">
        <v>6570</v>
      </c>
      <c r="B52">
        <v>33</v>
      </c>
      <c r="E52">
        <v>0</v>
      </c>
      <c r="H52">
        <v>0</v>
      </c>
    </row>
    <row r="53" spans="1:8" ht="13.95" customHeight="1">
      <c r="A53" t="s">
        <v>6570</v>
      </c>
      <c r="B53">
        <v>34</v>
      </c>
      <c r="E53">
        <v>0</v>
      </c>
      <c r="H53">
        <v>0</v>
      </c>
    </row>
    <row r="54" spans="1:8" ht="13.95" customHeight="1">
      <c r="A54" t="s">
        <v>6570</v>
      </c>
      <c r="B54">
        <v>35</v>
      </c>
      <c r="C54">
        <v>0</v>
      </c>
      <c r="F54">
        <v>0</v>
      </c>
    </row>
    <row r="55" spans="1:8" ht="13.95" customHeight="1">
      <c r="A55" t="s">
        <v>6570</v>
      </c>
      <c r="B55">
        <v>36</v>
      </c>
      <c r="C55">
        <v>0</v>
      </c>
      <c r="F55">
        <v>0</v>
      </c>
    </row>
    <row r="56" spans="1:8" ht="13.95" customHeight="1">
      <c r="A56" t="s">
        <v>6570</v>
      </c>
      <c r="B56">
        <v>37</v>
      </c>
      <c r="D56">
        <v>0</v>
      </c>
      <c r="G56">
        <v>0</v>
      </c>
    </row>
    <row r="57" spans="1:8" ht="13.95" customHeight="1">
      <c r="A57" t="s">
        <v>6570</v>
      </c>
      <c r="B57">
        <v>38</v>
      </c>
      <c r="D57">
        <v>0</v>
      </c>
      <c r="G57">
        <v>0</v>
      </c>
    </row>
    <row r="58" spans="1:8" ht="13.95" customHeight="1">
      <c r="A58" t="s">
        <v>6570</v>
      </c>
      <c r="B58">
        <v>39</v>
      </c>
      <c r="E58">
        <v>0</v>
      </c>
      <c r="H58">
        <v>0</v>
      </c>
    </row>
    <row r="59" spans="1:8" ht="13.95" customHeight="1">
      <c r="A59" t="s">
        <v>6570</v>
      </c>
      <c r="B59">
        <v>40</v>
      </c>
      <c r="E59">
        <v>0</v>
      </c>
      <c r="H59">
        <v>0</v>
      </c>
    </row>
    <row r="60" spans="1:8" ht="13.95" customHeight="1">
      <c r="A60" t="s">
        <v>6570</v>
      </c>
      <c r="B60">
        <v>41</v>
      </c>
      <c r="C60">
        <v>0</v>
      </c>
      <c r="F60">
        <v>0</v>
      </c>
    </row>
    <row r="61" spans="1:8" ht="13.95" customHeight="1">
      <c r="A61" t="s">
        <v>6570</v>
      </c>
      <c r="B61">
        <v>42</v>
      </c>
      <c r="C61">
        <v>0</v>
      </c>
      <c r="F61">
        <v>0</v>
      </c>
    </row>
    <row r="62" spans="1:8" ht="13.95" customHeight="1">
      <c r="A62" t="s">
        <v>6570</v>
      </c>
      <c r="B62">
        <v>43</v>
      </c>
      <c r="D62">
        <v>0</v>
      </c>
      <c r="G62">
        <v>0</v>
      </c>
    </row>
    <row r="63" spans="1:8" ht="13.95" customHeight="1">
      <c r="A63" t="s">
        <v>6570</v>
      </c>
      <c r="B63">
        <v>44</v>
      </c>
      <c r="D63">
        <v>0</v>
      </c>
      <c r="G63">
        <v>0</v>
      </c>
    </row>
    <row r="64" spans="1:8" ht="13.95" customHeight="1">
      <c r="A64" t="s">
        <v>6570</v>
      </c>
      <c r="B64">
        <v>45</v>
      </c>
      <c r="E64">
        <v>0</v>
      </c>
      <c r="H64">
        <v>0</v>
      </c>
    </row>
    <row r="65" spans="1:8" ht="13.95" customHeight="1">
      <c r="A65" t="s">
        <v>6570</v>
      </c>
      <c r="B65">
        <v>46</v>
      </c>
      <c r="E65">
        <v>0</v>
      </c>
      <c r="H65">
        <v>0</v>
      </c>
    </row>
    <row r="66" spans="1:8" ht="13.95" customHeight="1">
      <c r="A66" t="s">
        <v>6570</v>
      </c>
      <c r="B66">
        <v>47</v>
      </c>
      <c r="C66">
        <v>0</v>
      </c>
      <c r="F66">
        <v>0</v>
      </c>
    </row>
    <row r="67" spans="1:8" ht="13.95" customHeight="1">
      <c r="A67" t="s">
        <v>6570</v>
      </c>
      <c r="B67">
        <v>48</v>
      </c>
      <c r="C67">
        <v>0</v>
      </c>
      <c r="F67">
        <v>0</v>
      </c>
    </row>
    <row r="68" spans="1:8" ht="13.95" customHeight="1">
      <c r="A68" t="s">
        <v>6570</v>
      </c>
      <c r="B68">
        <v>49</v>
      </c>
      <c r="D68">
        <v>0</v>
      </c>
      <c r="G68">
        <v>0</v>
      </c>
    </row>
    <row r="69" spans="1:8" ht="13.95" customHeight="1">
      <c r="A69" t="s">
        <v>6570</v>
      </c>
      <c r="B69">
        <v>50</v>
      </c>
      <c r="D69">
        <v>0</v>
      </c>
      <c r="G69">
        <v>0</v>
      </c>
    </row>
    <row r="70" spans="1:8" ht="13.95" customHeight="1">
      <c r="A70" t="s">
        <v>6570</v>
      </c>
      <c r="B70">
        <v>51</v>
      </c>
      <c r="E70">
        <v>0</v>
      </c>
      <c r="H70">
        <v>0</v>
      </c>
    </row>
    <row r="71" spans="1:8" ht="13.95" customHeight="1">
      <c r="A71" t="s">
        <v>6570</v>
      </c>
      <c r="B71">
        <v>52</v>
      </c>
      <c r="E71">
        <v>0</v>
      </c>
      <c r="H71">
        <v>0</v>
      </c>
    </row>
    <row r="72" spans="1:8" ht="13.95" customHeight="1">
      <c r="A72" t="s">
        <v>6570</v>
      </c>
      <c r="B72">
        <v>53</v>
      </c>
      <c r="C72">
        <v>0</v>
      </c>
      <c r="F72">
        <v>0</v>
      </c>
    </row>
    <row r="73" spans="1:8" ht="13.95" customHeight="1">
      <c r="A73" t="s">
        <v>6570</v>
      </c>
      <c r="B73">
        <v>54</v>
      </c>
      <c r="C73">
        <v>0</v>
      </c>
      <c r="F73">
        <v>0</v>
      </c>
    </row>
    <row r="74" spans="1:8" ht="13.95" customHeight="1">
      <c r="A74" t="s">
        <v>6571</v>
      </c>
      <c r="B74">
        <v>1</v>
      </c>
      <c r="D74">
        <v>0</v>
      </c>
      <c r="G74">
        <v>0</v>
      </c>
    </row>
    <row r="75" spans="1:8" ht="13.95" customHeight="1">
      <c r="A75" t="s">
        <v>6571</v>
      </c>
      <c r="B75">
        <v>2</v>
      </c>
      <c r="D75">
        <v>0</v>
      </c>
      <c r="G75">
        <v>0</v>
      </c>
    </row>
    <row r="76" spans="1:8" ht="13.95" customHeight="1">
      <c r="A76" t="s">
        <v>6571</v>
      </c>
      <c r="B76">
        <v>3</v>
      </c>
      <c r="E76">
        <v>0</v>
      </c>
      <c r="H76">
        <v>0</v>
      </c>
    </row>
    <row r="77" spans="1:8" ht="13.95" customHeight="1">
      <c r="A77" t="s">
        <v>6571</v>
      </c>
      <c r="B77">
        <v>4</v>
      </c>
      <c r="E77">
        <v>0</v>
      </c>
      <c r="H77">
        <v>0</v>
      </c>
    </row>
    <row r="78" spans="1:8" ht="13.95" customHeight="1">
      <c r="A78" t="s">
        <v>6571</v>
      </c>
      <c r="B78">
        <v>5</v>
      </c>
      <c r="C78">
        <v>0</v>
      </c>
      <c r="F78">
        <v>0</v>
      </c>
    </row>
    <row r="79" spans="1:8" ht="13.95" customHeight="1">
      <c r="A79" t="s">
        <v>6571</v>
      </c>
      <c r="B79">
        <v>6</v>
      </c>
      <c r="C79">
        <v>0</v>
      </c>
      <c r="F79">
        <v>0</v>
      </c>
    </row>
    <row r="80" spans="1:8" ht="13.95" customHeight="1">
      <c r="A80" t="s">
        <v>6571</v>
      </c>
      <c r="B80">
        <v>7</v>
      </c>
      <c r="D80">
        <v>0</v>
      </c>
      <c r="G80">
        <v>0</v>
      </c>
    </row>
    <row r="81" spans="1:8" ht="13.95" customHeight="1">
      <c r="A81" t="s">
        <v>6571</v>
      </c>
      <c r="B81">
        <v>8</v>
      </c>
      <c r="D81">
        <v>0</v>
      </c>
      <c r="G81">
        <v>0</v>
      </c>
    </row>
    <row r="82" spans="1:8" ht="13.95" customHeight="1">
      <c r="A82" t="s">
        <v>6571</v>
      </c>
      <c r="B82">
        <v>9</v>
      </c>
      <c r="E82">
        <v>0</v>
      </c>
      <c r="H82">
        <v>0</v>
      </c>
    </row>
    <row r="83" spans="1:8" ht="13.95" customHeight="1">
      <c r="A83" t="s">
        <v>6571</v>
      </c>
      <c r="B83">
        <v>10</v>
      </c>
      <c r="E83">
        <v>0</v>
      </c>
      <c r="H83">
        <v>0</v>
      </c>
    </row>
    <row r="84" spans="1:8" ht="13.95" customHeight="1">
      <c r="A84" t="s">
        <v>6571</v>
      </c>
      <c r="B84">
        <v>11</v>
      </c>
      <c r="C84">
        <v>0</v>
      </c>
      <c r="F84">
        <v>0</v>
      </c>
    </row>
    <row r="85" spans="1:8" ht="13.95" customHeight="1">
      <c r="A85" t="s">
        <v>6571</v>
      </c>
      <c r="B85">
        <v>12</v>
      </c>
      <c r="C85">
        <v>0</v>
      </c>
      <c r="F85">
        <v>0</v>
      </c>
    </row>
    <row r="86" spans="1:8" ht="13.95" customHeight="1">
      <c r="A86" t="s">
        <v>6571</v>
      </c>
      <c r="B86">
        <v>13</v>
      </c>
      <c r="D86">
        <v>0</v>
      </c>
      <c r="G86">
        <v>0</v>
      </c>
    </row>
    <row r="87" spans="1:8" ht="13.95" customHeight="1">
      <c r="A87" t="s">
        <v>6571</v>
      </c>
      <c r="B87">
        <v>14</v>
      </c>
      <c r="D87">
        <v>0</v>
      </c>
      <c r="G87">
        <v>0</v>
      </c>
    </row>
    <row r="88" spans="1:8" ht="13.95" customHeight="1">
      <c r="A88" t="s">
        <v>6571</v>
      </c>
      <c r="B88">
        <v>15</v>
      </c>
      <c r="E88">
        <v>0</v>
      </c>
      <c r="H88">
        <v>0</v>
      </c>
    </row>
    <row r="89" spans="1:8" ht="13.95" customHeight="1">
      <c r="A89" t="s">
        <v>6571</v>
      </c>
      <c r="B89">
        <v>16</v>
      </c>
      <c r="E89">
        <v>0</v>
      </c>
      <c r="H89">
        <v>0</v>
      </c>
    </row>
    <row r="90" spans="1:8" ht="13.95" customHeight="1">
      <c r="A90" t="s">
        <v>6571</v>
      </c>
      <c r="B90">
        <v>17</v>
      </c>
      <c r="C90">
        <v>0</v>
      </c>
      <c r="F90">
        <v>0</v>
      </c>
    </row>
    <row r="91" spans="1:8" ht="13.95" customHeight="1">
      <c r="A91" t="s">
        <v>6571</v>
      </c>
      <c r="B91">
        <v>18</v>
      </c>
      <c r="C91">
        <v>0</v>
      </c>
      <c r="F91">
        <v>0</v>
      </c>
    </row>
    <row r="92" spans="1:8" ht="13.95" customHeight="1">
      <c r="A92" t="s">
        <v>6571</v>
      </c>
      <c r="B92">
        <v>19</v>
      </c>
      <c r="D92">
        <v>0</v>
      </c>
      <c r="G92">
        <v>0</v>
      </c>
    </row>
    <row r="93" spans="1:8" ht="13.95" customHeight="1">
      <c r="A93" t="s">
        <v>6571</v>
      </c>
      <c r="B93">
        <v>20</v>
      </c>
      <c r="D93">
        <v>0</v>
      </c>
      <c r="G93">
        <v>0</v>
      </c>
    </row>
    <row r="94" spans="1:8" ht="13.95" customHeight="1">
      <c r="A94" t="s">
        <v>6571</v>
      </c>
      <c r="B94">
        <v>21</v>
      </c>
      <c r="E94">
        <v>0</v>
      </c>
      <c r="H94">
        <v>0</v>
      </c>
    </row>
    <row r="95" spans="1:8" ht="13.95" customHeight="1">
      <c r="A95" t="s">
        <v>6571</v>
      </c>
      <c r="B95">
        <v>22</v>
      </c>
      <c r="E95">
        <v>0</v>
      </c>
      <c r="H95">
        <v>0</v>
      </c>
    </row>
    <row r="96" spans="1:8" ht="13.95" customHeight="1">
      <c r="A96" t="s">
        <v>6571</v>
      </c>
      <c r="B96">
        <v>23</v>
      </c>
      <c r="C96">
        <v>0</v>
      </c>
      <c r="F96">
        <v>0</v>
      </c>
    </row>
    <row r="97" spans="1:8" ht="13.95" customHeight="1">
      <c r="A97" t="s">
        <v>6571</v>
      </c>
      <c r="B97">
        <v>24</v>
      </c>
      <c r="C97">
        <v>0</v>
      </c>
      <c r="F97">
        <v>0</v>
      </c>
    </row>
    <row r="98" spans="1:8" ht="13.95" customHeight="1">
      <c r="A98" t="s">
        <v>6571</v>
      </c>
      <c r="B98">
        <v>25</v>
      </c>
      <c r="D98">
        <v>0</v>
      </c>
      <c r="G98">
        <v>0</v>
      </c>
    </row>
    <row r="99" spans="1:8" ht="13.95" customHeight="1">
      <c r="A99" t="s">
        <v>6571</v>
      </c>
      <c r="B99">
        <v>26</v>
      </c>
      <c r="D99">
        <v>0</v>
      </c>
      <c r="G99">
        <v>0</v>
      </c>
    </row>
    <row r="100" spans="1:8" ht="13.95" customHeight="1">
      <c r="A100" t="s">
        <v>6571</v>
      </c>
      <c r="B100">
        <v>27</v>
      </c>
      <c r="E100">
        <v>0</v>
      </c>
      <c r="H100">
        <v>0</v>
      </c>
    </row>
    <row r="101" spans="1:8" ht="13.95" customHeight="1">
      <c r="A101" t="s">
        <v>6571</v>
      </c>
      <c r="B101">
        <v>28</v>
      </c>
      <c r="E101">
        <v>0</v>
      </c>
      <c r="H101">
        <v>0</v>
      </c>
    </row>
    <row r="102" spans="1:8" ht="13.95" customHeight="1">
      <c r="A102" t="s">
        <v>6571</v>
      </c>
      <c r="B102">
        <v>29</v>
      </c>
      <c r="C102">
        <v>0</v>
      </c>
      <c r="F102">
        <v>0</v>
      </c>
    </row>
    <row r="103" spans="1:8" ht="13.95" customHeight="1">
      <c r="A103" t="s">
        <v>6571</v>
      </c>
      <c r="B103">
        <v>30</v>
      </c>
      <c r="C103">
        <v>0</v>
      </c>
      <c r="F103">
        <v>0</v>
      </c>
    </row>
    <row r="104" spans="1:8" ht="13.95" customHeight="1">
      <c r="A104" t="s">
        <v>6571</v>
      </c>
      <c r="B104">
        <v>31</v>
      </c>
      <c r="D104">
        <v>0</v>
      </c>
      <c r="G104">
        <v>0</v>
      </c>
    </row>
    <row r="105" spans="1:8" ht="13.95" customHeight="1">
      <c r="A105" t="s">
        <v>6571</v>
      </c>
      <c r="B105">
        <v>32</v>
      </c>
      <c r="D105">
        <v>0</v>
      </c>
      <c r="G105">
        <v>0</v>
      </c>
    </row>
    <row r="106" spans="1:8" ht="13.95" customHeight="1">
      <c r="A106" t="s">
        <v>6571</v>
      </c>
      <c r="B106">
        <v>33</v>
      </c>
      <c r="E106">
        <v>0</v>
      </c>
      <c r="H106">
        <v>0</v>
      </c>
    </row>
    <row r="107" spans="1:8" ht="13.95" customHeight="1">
      <c r="A107" t="s">
        <v>6571</v>
      </c>
      <c r="B107">
        <v>34</v>
      </c>
      <c r="E107">
        <v>0</v>
      </c>
      <c r="H107">
        <v>0</v>
      </c>
    </row>
    <row r="108" spans="1:8" ht="13.95" customHeight="1">
      <c r="A108" t="s">
        <v>6571</v>
      </c>
      <c r="B108">
        <v>35</v>
      </c>
      <c r="C108">
        <v>0</v>
      </c>
      <c r="F108">
        <v>0</v>
      </c>
    </row>
    <row r="109" spans="1:8" ht="13.95" customHeight="1">
      <c r="A109" t="s">
        <v>6571</v>
      </c>
      <c r="B109">
        <v>36</v>
      </c>
      <c r="C109">
        <v>0</v>
      </c>
      <c r="F109">
        <v>0</v>
      </c>
    </row>
    <row r="110" spans="1:8" ht="13.95" customHeight="1">
      <c r="A110" t="s">
        <v>6571</v>
      </c>
      <c r="B110">
        <v>37</v>
      </c>
      <c r="D110">
        <v>0</v>
      </c>
      <c r="G110">
        <v>0</v>
      </c>
    </row>
    <row r="111" spans="1:8" ht="13.95" customHeight="1">
      <c r="A111" t="s">
        <v>6571</v>
      </c>
      <c r="B111">
        <v>38</v>
      </c>
      <c r="D111">
        <v>0</v>
      </c>
      <c r="G111">
        <v>0</v>
      </c>
    </row>
    <row r="112" spans="1:8" ht="13.95" customHeight="1">
      <c r="A112" t="s">
        <v>6571</v>
      </c>
      <c r="B112">
        <v>39</v>
      </c>
      <c r="E112">
        <v>0</v>
      </c>
      <c r="H112">
        <v>0</v>
      </c>
    </row>
    <row r="113" spans="1:8" ht="13.95" customHeight="1">
      <c r="A113" t="s">
        <v>6571</v>
      </c>
      <c r="B113">
        <v>40</v>
      </c>
      <c r="E113">
        <v>0</v>
      </c>
      <c r="H113">
        <v>0</v>
      </c>
    </row>
    <row r="114" spans="1:8" ht="13.95" customHeight="1">
      <c r="A114" t="s">
        <v>6571</v>
      </c>
      <c r="B114">
        <v>41</v>
      </c>
      <c r="C114">
        <v>0</v>
      </c>
      <c r="F114">
        <v>0</v>
      </c>
    </row>
    <row r="115" spans="1:8" ht="13.95" customHeight="1">
      <c r="A115" t="s">
        <v>6571</v>
      </c>
      <c r="B115">
        <v>42</v>
      </c>
      <c r="C115">
        <v>0</v>
      </c>
      <c r="F115">
        <v>0</v>
      </c>
    </row>
    <row r="116" spans="1:8" ht="13.95" customHeight="1">
      <c r="A116" t="s">
        <v>6571</v>
      </c>
      <c r="B116">
        <v>43</v>
      </c>
      <c r="D116">
        <v>0</v>
      </c>
      <c r="G116">
        <v>0</v>
      </c>
    </row>
    <row r="117" spans="1:8" ht="13.95" customHeight="1">
      <c r="A117" t="s">
        <v>6571</v>
      </c>
      <c r="B117">
        <v>44</v>
      </c>
      <c r="D117">
        <v>0</v>
      </c>
      <c r="G117">
        <v>0</v>
      </c>
    </row>
    <row r="118" spans="1:8" ht="13.95" customHeight="1">
      <c r="A118" t="s">
        <v>6571</v>
      </c>
      <c r="B118">
        <v>45</v>
      </c>
      <c r="E118">
        <v>0</v>
      </c>
      <c r="H118">
        <v>0</v>
      </c>
    </row>
    <row r="119" spans="1:8" ht="13.95" customHeight="1">
      <c r="A119" t="s">
        <v>6571</v>
      </c>
      <c r="B119">
        <v>46</v>
      </c>
      <c r="E119">
        <v>0</v>
      </c>
      <c r="H119">
        <v>0</v>
      </c>
    </row>
    <row r="120" spans="1:8" ht="13.95" customHeight="1">
      <c r="A120" t="s">
        <v>6571</v>
      </c>
      <c r="B120">
        <v>47</v>
      </c>
      <c r="C120">
        <v>0</v>
      </c>
      <c r="F120">
        <v>0</v>
      </c>
    </row>
    <row r="121" spans="1:8" ht="13.95" customHeight="1">
      <c r="A121" t="s">
        <v>6571</v>
      </c>
      <c r="B121">
        <v>48</v>
      </c>
      <c r="C121">
        <v>0</v>
      </c>
      <c r="F121">
        <v>0</v>
      </c>
    </row>
    <row r="122" spans="1:8" ht="13.95" customHeight="1">
      <c r="A122" t="s">
        <v>6571</v>
      </c>
      <c r="B122">
        <v>49</v>
      </c>
      <c r="D122">
        <v>0</v>
      </c>
      <c r="G122">
        <v>0</v>
      </c>
    </row>
    <row r="123" spans="1:8" ht="13.95" customHeight="1">
      <c r="A123" t="s">
        <v>6571</v>
      </c>
      <c r="B123">
        <v>50</v>
      </c>
      <c r="D123">
        <v>0</v>
      </c>
      <c r="G123">
        <v>0</v>
      </c>
    </row>
    <row r="124" spans="1:8" ht="13.95" customHeight="1">
      <c r="A124" t="s">
        <v>6571</v>
      </c>
      <c r="B124">
        <v>51</v>
      </c>
      <c r="E124">
        <v>0</v>
      </c>
      <c r="H124">
        <v>0</v>
      </c>
    </row>
    <row r="125" spans="1:8" ht="13.95" customHeight="1">
      <c r="A125" t="s">
        <v>6571</v>
      </c>
      <c r="B125">
        <v>52</v>
      </c>
      <c r="E125">
        <v>0</v>
      </c>
      <c r="H125">
        <v>0</v>
      </c>
    </row>
    <row r="126" spans="1:8" ht="13.95" customHeight="1">
      <c r="A126" t="s">
        <v>6571</v>
      </c>
      <c r="B126">
        <v>53</v>
      </c>
      <c r="C126">
        <v>0</v>
      </c>
      <c r="F126">
        <v>0</v>
      </c>
    </row>
    <row r="127" spans="1:8" ht="13.95" customHeight="1">
      <c r="A127" t="s">
        <v>6571</v>
      </c>
      <c r="B127">
        <v>54</v>
      </c>
      <c r="C127">
        <v>0</v>
      </c>
      <c r="F127">
        <v>0</v>
      </c>
    </row>
    <row r="128" spans="1:8" ht="13.95" customHeight="1">
      <c r="A128" t="s">
        <v>6572</v>
      </c>
      <c r="B128">
        <v>1</v>
      </c>
      <c r="C128">
        <v>0</v>
      </c>
      <c r="F128">
        <v>0</v>
      </c>
    </row>
    <row r="129" spans="1:8" ht="13.95" customHeight="1">
      <c r="A129" t="s">
        <v>6572</v>
      </c>
      <c r="B129">
        <v>2</v>
      </c>
      <c r="C129">
        <v>0</v>
      </c>
      <c r="F129">
        <v>0</v>
      </c>
    </row>
    <row r="130" spans="1:8" ht="13.95" customHeight="1">
      <c r="A130" t="s">
        <v>6572</v>
      </c>
      <c r="B130">
        <v>3</v>
      </c>
      <c r="D130">
        <v>0</v>
      </c>
      <c r="G130">
        <v>0</v>
      </c>
    </row>
    <row r="131" spans="1:8" ht="13.95" customHeight="1">
      <c r="A131" t="s">
        <v>6572</v>
      </c>
      <c r="B131">
        <v>4</v>
      </c>
      <c r="D131">
        <v>0</v>
      </c>
      <c r="G131">
        <v>0</v>
      </c>
    </row>
    <row r="132" spans="1:8" ht="13.95" customHeight="1">
      <c r="A132" t="s">
        <v>6572</v>
      </c>
      <c r="B132">
        <v>5</v>
      </c>
      <c r="E132">
        <v>0</v>
      </c>
      <c r="H132">
        <v>0</v>
      </c>
    </row>
    <row r="133" spans="1:8" ht="13.95" customHeight="1">
      <c r="A133" t="s">
        <v>6572</v>
      </c>
      <c r="B133">
        <v>6</v>
      </c>
      <c r="E133">
        <v>0</v>
      </c>
      <c r="H133">
        <v>0</v>
      </c>
    </row>
    <row r="134" spans="1:8" ht="13.95" customHeight="1">
      <c r="A134" t="s">
        <v>6572</v>
      </c>
      <c r="B134">
        <v>7</v>
      </c>
      <c r="C134">
        <v>0</v>
      </c>
      <c r="F134">
        <v>0</v>
      </c>
    </row>
    <row r="135" spans="1:8" ht="13.95" customHeight="1">
      <c r="A135" t="s">
        <v>6572</v>
      </c>
      <c r="B135">
        <v>8</v>
      </c>
      <c r="C135">
        <v>0</v>
      </c>
      <c r="F135">
        <v>0</v>
      </c>
    </row>
    <row r="136" spans="1:8" ht="13.95" customHeight="1">
      <c r="A136" t="s">
        <v>6572</v>
      </c>
      <c r="B136">
        <v>9</v>
      </c>
      <c r="D136">
        <v>0</v>
      </c>
      <c r="G136">
        <v>0</v>
      </c>
    </row>
    <row r="137" spans="1:8" ht="13.95" customHeight="1">
      <c r="A137" t="s">
        <v>6572</v>
      </c>
      <c r="B137">
        <v>10</v>
      </c>
      <c r="D137">
        <v>0</v>
      </c>
      <c r="G137">
        <v>0</v>
      </c>
    </row>
    <row r="138" spans="1:8" ht="13.95" customHeight="1">
      <c r="A138" t="s">
        <v>6572</v>
      </c>
      <c r="B138">
        <v>11</v>
      </c>
      <c r="E138">
        <v>0</v>
      </c>
      <c r="H138">
        <v>0</v>
      </c>
    </row>
    <row r="139" spans="1:8" ht="13.95" customHeight="1">
      <c r="A139" t="s">
        <v>6572</v>
      </c>
      <c r="B139">
        <v>12</v>
      </c>
      <c r="E139">
        <v>0</v>
      </c>
      <c r="H139">
        <v>0</v>
      </c>
    </row>
    <row r="140" spans="1:8" ht="13.95" customHeight="1">
      <c r="A140" t="s">
        <v>6572</v>
      </c>
      <c r="B140">
        <v>13</v>
      </c>
      <c r="C140">
        <v>0</v>
      </c>
      <c r="F140">
        <v>0</v>
      </c>
    </row>
    <row r="141" spans="1:8" ht="13.95" customHeight="1">
      <c r="A141" t="s">
        <v>6572</v>
      </c>
      <c r="B141">
        <v>14</v>
      </c>
      <c r="C141">
        <v>0</v>
      </c>
      <c r="F141">
        <v>0</v>
      </c>
    </row>
    <row r="142" spans="1:8" ht="13.95" customHeight="1">
      <c r="A142" t="s">
        <v>6572</v>
      </c>
      <c r="B142">
        <v>15</v>
      </c>
      <c r="D142">
        <v>0</v>
      </c>
      <c r="G142">
        <v>0</v>
      </c>
    </row>
    <row r="143" spans="1:8" ht="13.95" customHeight="1">
      <c r="A143" t="s">
        <v>6572</v>
      </c>
      <c r="B143">
        <v>16</v>
      </c>
      <c r="D143">
        <v>0</v>
      </c>
      <c r="G143">
        <v>0</v>
      </c>
    </row>
    <row r="144" spans="1:8" ht="13.95" customHeight="1">
      <c r="A144" t="s">
        <v>6572</v>
      </c>
      <c r="B144">
        <v>17</v>
      </c>
      <c r="E144">
        <v>0</v>
      </c>
      <c r="H144">
        <v>0</v>
      </c>
    </row>
    <row r="145" spans="1:8" ht="13.95" customHeight="1">
      <c r="A145" t="s">
        <v>6572</v>
      </c>
      <c r="B145">
        <v>18</v>
      </c>
      <c r="E145">
        <v>0</v>
      </c>
      <c r="H145">
        <v>0</v>
      </c>
    </row>
    <row r="146" spans="1:8" ht="13.95" customHeight="1">
      <c r="A146" t="s">
        <v>6572</v>
      </c>
      <c r="B146">
        <v>19</v>
      </c>
      <c r="C146">
        <v>0</v>
      </c>
      <c r="F146">
        <v>0</v>
      </c>
    </row>
    <row r="147" spans="1:8" ht="13.95" customHeight="1">
      <c r="A147" t="s">
        <v>6572</v>
      </c>
      <c r="B147">
        <v>20</v>
      </c>
      <c r="C147">
        <v>0</v>
      </c>
      <c r="F147">
        <v>0</v>
      </c>
    </row>
    <row r="148" spans="1:8" ht="13.95" customHeight="1">
      <c r="A148" t="s">
        <v>6572</v>
      </c>
      <c r="B148">
        <v>21</v>
      </c>
      <c r="D148">
        <v>0</v>
      </c>
      <c r="G148">
        <v>0</v>
      </c>
    </row>
    <row r="149" spans="1:8" ht="13.95" customHeight="1">
      <c r="A149" t="s">
        <v>6572</v>
      </c>
      <c r="B149">
        <v>22</v>
      </c>
      <c r="D149">
        <v>0</v>
      </c>
      <c r="G149">
        <v>0</v>
      </c>
    </row>
    <row r="150" spans="1:8" ht="13.95" customHeight="1">
      <c r="A150" t="s">
        <v>6572</v>
      </c>
      <c r="B150">
        <v>23</v>
      </c>
      <c r="E150">
        <v>0</v>
      </c>
      <c r="H150">
        <v>0</v>
      </c>
    </row>
    <row r="151" spans="1:8" ht="13.95" customHeight="1">
      <c r="A151" t="s">
        <v>6572</v>
      </c>
      <c r="B151">
        <v>24</v>
      </c>
      <c r="E151">
        <v>0</v>
      </c>
      <c r="H151">
        <v>0</v>
      </c>
    </row>
    <row r="152" spans="1:8" ht="13.95" customHeight="1">
      <c r="A152" t="s">
        <v>6572</v>
      </c>
      <c r="B152">
        <v>25</v>
      </c>
      <c r="C152">
        <v>0</v>
      </c>
      <c r="F152">
        <v>0</v>
      </c>
    </row>
    <row r="153" spans="1:8" ht="13.95" customHeight="1">
      <c r="A153" t="s">
        <v>6572</v>
      </c>
      <c r="B153">
        <v>26</v>
      </c>
      <c r="C153">
        <v>0</v>
      </c>
      <c r="F153">
        <v>0</v>
      </c>
    </row>
    <row r="154" spans="1:8" ht="13.95" customHeight="1">
      <c r="A154" t="s">
        <v>6572</v>
      </c>
      <c r="B154">
        <v>27</v>
      </c>
      <c r="D154">
        <v>0</v>
      </c>
      <c r="G154">
        <v>0</v>
      </c>
    </row>
    <row r="155" spans="1:8" ht="13.95" customHeight="1">
      <c r="A155" t="s">
        <v>6572</v>
      </c>
      <c r="B155">
        <v>28</v>
      </c>
      <c r="D155">
        <v>0</v>
      </c>
      <c r="G155">
        <v>0</v>
      </c>
    </row>
    <row r="156" spans="1:8" ht="13.95" customHeight="1">
      <c r="A156" t="s">
        <v>6572</v>
      </c>
      <c r="B156">
        <v>29</v>
      </c>
      <c r="E156">
        <v>0</v>
      </c>
      <c r="H156">
        <v>0</v>
      </c>
    </row>
    <row r="157" spans="1:8" ht="13.95" customHeight="1">
      <c r="A157" t="s">
        <v>6572</v>
      </c>
      <c r="B157">
        <v>30</v>
      </c>
      <c r="E157">
        <v>0</v>
      </c>
      <c r="H157">
        <v>0</v>
      </c>
    </row>
    <row r="158" spans="1:8" ht="13.95" customHeight="1">
      <c r="A158" t="s">
        <v>6572</v>
      </c>
      <c r="B158">
        <v>31</v>
      </c>
      <c r="C158">
        <v>0</v>
      </c>
      <c r="F158">
        <v>0</v>
      </c>
    </row>
    <row r="159" spans="1:8" ht="13.95" customHeight="1">
      <c r="A159" t="s">
        <v>6572</v>
      </c>
      <c r="B159">
        <v>32</v>
      </c>
      <c r="C159">
        <v>0</v>
      </c>
      <c r="F159">
        <v>0</v>
      </c>
    </row>
    <row r="160" spans="1:8" ht="13.95" customHeight="1">
      <c r="A160" t="s">
        <v>6572</v>
      </c>
      <c r="B160">
        <v>33</v>
      </c>
      <c r="D160">
        <v>0</v>
      </c>
      <c r="G160">
        <v>0</v>
      </c>
    </row>
    <row r="161" spans="1:8" ht="13.95" customHeight="1">
      <c r="A161" t="s">
        <v>6572</v>
      </c>
      <c r="B161">
        <v>34</v>
      </c>
      <c r="D161">
        <v>0</v>
      </c>
      <c r="G161">
        <v>0</v>
      </c>
    </row>
    <row r="162" spans="1:8" ht="13.95" customHeight="1">
      <c r="A162" t="s">
        <v>6572</v>
      </c>
      <c r="B162">
        <v>35</v>
      </c>
      <c r="E162">
        <v>0</v>
      </c>
      <c r="H162">
        <v>0</v>
      </c>
    </row>
    <row r="163" spans="1:8" ht="13.95" customHeight="1">
      <c r="A163" t="s">
        <v>6572</v>
      </c>
      <c r="B163">
        <v>36</v>
      </c>
      <c r="E163">
        <v>0</v>
      </c>
      <c r="H163">
        <v>0</v>
      </c>
    </row>
    <row r="164" spans="1:8" ht="13.95" customHeight="1">
      <c r="A164" t="s">
        <v>6572</v>
      </c>
      <c r="B164">
        <v>37</v>
      </c>
      <c r="C164">
        <v>0</v>
      </c>
      <c r="F164">
        <v>0</v>
      </c>
    </row>
    <row r="165" spans="1:8" ht="13.95" customHeight="1">
      <c r="A165" t="s">
        <v>6572</v>
      </c>
      <c r="B165">
        <v>38</v>
      </c>
      <c r="C165">
        <v>0</v>
      </c>
      <c r="F165">
        <v>0</v>
      </c>
    </row>
    <row r="166" spans="1:8" ht="13.95" customHeight="1">
      <c r="A166" t="s">
        <v>6572</v>
      </c>
      <c r="B166">
        <v>39</v>
      </c>
      <c r="D166">
        <v>0</v>
      </c>
      <c r="G166">
        <v>0</v>
      </c>
    </row>
    <row r="167" spans="1:8" ht="13.95" customHeight="1">
      <c r="A167" t="s">
        <v>6572</v>
      </c>
      <c r="B167">
        <v>40</v>
      </c>
      <c r="D167">
        <v>0</v>
      </c>
      <c r="G167">
        <v>0</v>
      </c>
    </row>
    <row r="168" spans="1:8" ht="13.95" customHeight="1">
      <c r="A168" t="s">
        <v>6572</v>
      </c>
      <c r="B168">
        <v>41</v>
      </c>
      <c r="E168">
        <v>0</v>
      </c>
      <c r="H168">
        <v>0</v>
      </c>
    </row>
    <row r="169" spans="1:8" ht="13.95" customHeight="1">
      <c r="A169" t="s">
        <v>6572</v>
      </c>
      <c r="B169">
        <v>42</v>
      </c>
      <c r="E169">
        <v>0</v>
      </c>
      <c r="H169">
        <v>0</v>
      </c>
    </row>
    <row r="170" spans="1:8" ht="13.95" customHeight="1">
      <c r="A170" t="s">
        <v>6572</v>
      </c>
      <c r="B170">
        <v>43</v>
      </c>
      <c r="C170">
        <v>0</v>
      </c>
      <c r="F170">
        <v>0</v>
      </c>
    </row>
    <row r="171" spans="1:8" ht="13.95" customHeight="1">
      <c r="A171" t="s">
        <v>6572</v>
      </c>
      <c r="B171">
        <v>44</v>
      </c>
      <c r="C171">
        <v>0</v>
      </c>
      <c r="F171">
        <v>0</v>
      </c>
    </row>
    <row r="172" spans="1:8" ht="13.95" customHeight="1">
      <c r="A172" t="s">
        <v>6572</v>
      </c>
      <c r="B172">
        <v>45</v>
      </c>
      <c r="D172">
        <v>0</v>
      </c>
      <c r="G172">
        <v>0</v>
      </c>
    </row>
    <row r="173" spans="1:8" ht="13.95" customHeight="1">
      <c r="A173" t="s">
        <v>6572</v>
      </c>
      <c r="B173">
        <v>46</v>
      </c>
      <c r="D173">
        <v>0</v>
      </c>
      <c r="G173">
        <v>0</v>
      </c>
    </row>
    <row r="174" spans="1:8" ht="13.95" customHeight="1">
      <c r="A174" t="s">
        <v>6572</v>
      </c>
      <c r="B174">
        <v>47</v>
      </c>
      <c r="E174">
        <v>0</v>
      </c>
      <c r="H174">
        <v>0</v>
      </c>
    </row>
    <row r="175" spans="1:8" ht="13.95" customHeight="1">
      <c r="A175" t="s">
        <v>6572</v>
      </c>
      <c r="B175">
        <v>48</v>
      </c>
      <c r="E175">
        <v>0</v>
      </c>
      <c r="H175">
        <v>0</v>
      </c>
    </row>
    <row r="176" spans="1:8" ht="13.95" customHeight="1">
      <c r="A176" t="s">
        <v>6572</v>
      </c>
      <c r="B176">
        <v>49</v>
      </c>
      <c r="C176">
        <v>0</v>
      </c>
      <c r="F176">
        <v>0</v>
      </c>
    </row>
    <row r="177" spans="1:8" ht="13.95" customHeight="1">
      <c r="A177" t="s">
        <v>6572</v>
      </c>
      <c r="B177">
        <v>50</v>
      </c>
      <c r="C177">
        <v>0</v>
      </c>
      <c r="F177">
        <v>0</v>
      </c>
    </row>
    <row r="178" spans="1:8" ht="13.95" customHeight="1">
      <c r="A178" t="s">
        <v>6573</v>
      </c>
      <c r="B178">
        <v>1</v>
      </c>
      <c r="C178">
        <v>0</v>
      </c>
      <c r="F178">
        <v>0</v>
      </c>
    </row>
    <row r="179" spans="1:8" ht="13.95" customHeight="1">
      <c r="A179" t="s">
        <v>6573</v>
      </c>
      <c r="B179">
        <v>2</v>
      </c>
      <c r="C179">
        <v>0</v>
      </c>
      <c r="F179">
        <v>0</v>
      </c>
    </row>
    <row r="180" spans="1:8" ht="13.95" customHeight="1">
      <c r="A180" t="s">
        <v>6573</v>
      </c>
      <c r="B180">
        <v>3</v>
      </c>
      <c r="D180">
        <v>0</v>
      </c>
      <c r="G180">
        <v>0</v>
      </c>
    </row>
    <row r="181" spans="1:8" ht="13.95" customHeight="1">
      <c r="A181" t="s">
        <v>6573</v>
      </c>
      <c r="B181">
        <v>4</v>
      </c>
      <c r="D181">
        <v>0</v>
      </c>
      <c r="G181">
        <v>0</v>
      </c>
    </row>
    <row r="182" spans="1:8" ht="13.95" customHeight="1">
      <c r="A182" t="s">
        <v>6573</v>
      </c>
      <c r="B182">
        <v>5</v>
      </c>
      <c r="E182">
        <v>0</v>
      </c>
      <c r="H182">
        <v>0</v>
      </c>
    </row>
    <row r="183" spans="1:8" ht="13.95" customHeight="1">
      <c r="A183" t="s">
        <v>6573</v>
      </c>
      <c r="B183">
        <v>6</v>
      </c>
      <c r="E183">
        <v>0</v>
      </c>
      <c r="H183">
        <v>0</v>
      </c>
    </row>
    <row r="184" spans="1:8" ht="13.95" customHeight="1">
      <c r="A184" t="s">
        <v>6573</v>
      </c>
      <c r="B184">
        <v>7</v>
      </c>
      <c r="C184">
        <v>0</v>
      </c>
      <c r="F184">
        <v>0</v>
      </c>
    </row>
    <row r="185" spans="1:8" ht="13.95" customHeight="1">
      <c r="A185" t="s">
        <v>6573</v>
      </c>
      <c r="B185">
        <v>8</v>
      </c>
      <c r="C185">
        <v>0</v>
      </c>
      <c r="F185">
        <v>0</v>
      </c>
    </row>
    <row r="186" spans="1:8" ht="13.95" customHeight="1">
      <c r="A186" t="s">
        <v>6573</v>
      </c>
      <c r="B186">
        <v>9</v>
      </c>
      <c r="D186">
        <v>0</v>
      </c>
      <c r="G186">
        <v>0</v>
      </c>
    </row>
    <row r="187" spans="1:8" ht="13.95" customHeight="1">
      <c r="A187" t="s">
        <v>6573</v>
      </c>
      <c r="B187">
        <v>10</v>
      </c>
      <c r="D187">
        <v>0</v>
      </c>
      <c r="G187">
        <v>0</v>
      </c>
    </row>
    <row r="188" spans="1:8" ht="13.95" customHeight="1">
      <c r="A188" t="s">
        <v>6573</v>
      </c>
      <c r="B188">
        <v>11</v>
      </c>
      <c r="E188">
        <v>0</v>
      </c>
      <c r="H188">
        <v>0</v>
      </c>
    </row>
    <row r="189" spans="1:8" ht="13.95" customHeight="1">
      <c r="A189" t="s">
        <v>6573</v>
      </c>
      <c r="B189">
        <v>12</v>
      </c>
      <c r="E189">
        <v>0</v>
      </c>
      <c r="H189">
        <v>0</v>
      </c>
    </row>
    <row r="190" spans="1:8" ht="13.95" customHeight="1">
      <c r="A190" t="s">
        <v>6573</v>
      </c>
      <c r="B190">
        <v>13</v>
      </c>
      <c r="C190">
        <v>0</v>
      </c>
      <c r="F190">
        <v>0</v>
      </c>
    </row>
    <row r="191" spans="1:8" ht="13.95" customHeight="1">
      <c r="A191" t="s">
        <v>6573</v>
      </c>
      <c r="B191">
        <v>14</v>
      </c>
      <c r="C191">
        <v>0</v>
      </c>
      <c r="F191">
        <v>0</v>
      </c>
    </row>
    <row r="192" spans="1:8" ht="13.95" customHeight="1">
      <c r="A192" t="s">
        <v>6573</v>
      </c>
      <c r="B192">
        <v>15</v>
      </c>
      <c r="D192">
        <v>0</v>
      </c>
      <c r="G192">
        <v>0</v>
      </c>
    </row>
    <row r="193" spans="1:8" ht="13.95" customHeight="1">
      <c r="A193" t="s">
        <v>6573</v>
      </c>
      <c r="B193">
        <v>16</v>
      </c>
      <c r="D193">
        <v>0</v>
      </c>
      <c r="G193">
        <v>0</v>
      </c>
    </row>
    <row r="194" spans="1:8" ht="13.95" customHeight="1">
      <c r="A194" t="s">
        <v>6573</v>
      </c>
      <c r="B194">
        <v>17</v>
      </c>
      <c r="E194">
        <v>0</v>
      </c>
      <c r="H194">
        <v>0</v>
      </c>
    </row>
    <row r="195" spans="1:8" ht="13.95" customHeight="1">
      <c r="A195" t="s">
        <v>6573</v>
      </c>
      <c r="B195">
        <v>18</v>
      </c>
      <c r="E195">
        <v>0</v>
      </c>
      <c r="H195">
        <v>0</v>
      </c>
    </row>
    <row r="196" spans="1:8" ht="13.95" customHeight="1">
      <c r="A196" t="s">
        <v>6573</v>
      </c>
      <c r="B196">
        <v>19</v>
      </c>
      <c r="C196">
        <v>0</v>
      </c>
      <c r="F196">
        <v>0</v>
      </c>
    </row>
    <row r="197" spans="1:8" ht="13.95" customHeight="1">
      <c r="A197" t="s">
        <v>6573</v>
      </c>
      <c r="B197">
        <v>20</v>
      </c>
      <c r="C197">
        <v>0</v>
      </c>
      <c r="F197">
        <v>0</v>
      </c>
    </row>
    <row r="198" spans="1:8" ht="13.95" customHeight="1">
      <c r="A198" t="s">
        <v>6573</v>
      </c>
      <c r="B198">
        <v>21</v>
      </c>
      <c r="D198">
        <v>0</v>
      </c>
      <c r="G198">
        <v>0</v>
      </c>
    </row>
    <row r="199" spans="1:8" ht="13.95" customHeight="1">
      <c r="A199" t="s">
        <v>6573</v>
      </c>
      <c r="B199">
        <v>22</v>
      </c>
      <c r="D199">
        <v>0</v>
      </c>
      <c r="G199">
        <v>0</v>
      </c>
    </row>
    <row r="200" spans="1:8" ht="13.95" customHeight="1">
      <c r="A200" t="s">
        <v>6573</v>
      </c>
      <c r="B200">
        <v>23</v>
      </c>
      <c r="E200">
        <v>0</v>
      </c>
      <c r="H200">
        <v>0</v>
      </c>
    </row>
    <row r="201" spans="1:8" ht="13.95" customHeight="1">
      <c r="A201" t="s">
        <v>6573</v>
      </c>
      <c r="B201">
        <v>24</v>
      </c>
      <c r="E201">
        <v>0</v>
      </c>
      <c r="H201">
        <v>0</v>
      </c>
    </row>
    <row r="202" spans="1:8" ht="13.95" customHeight="1">
      <c r="A202" t="s">
        <v>6573</v>
      </c>
      <c r="B202">
        <v>25</v>
      </c>
      <c r="C202">
        <v>0</v>
      </c>
      <c r="F202">
        <v>0</v>
      </c>
    </row>
    <row r="203" spans="1:8" ht="13.95" customHeight="1">
      <c r="A203" t="s">
        <v>6573</v>
      </c>
      <c r="B203">
        <v>26</v>
      </c>
      <c r="C203">
        <v>0</v>
      </c>
      <c r="F203">
        <v>0</v>
      </c>
    </row>
    <row r="204" spans="1:8" ht="13.95" customHeight="1">
      <c r="A204" t="s">
        <v>6573</v>
      </c>
      <c r="B204">
        <v>27</v>
      </c>
      <c r="D204">
        <v>0</v>
      </c>
      <c r="G204">
        <v>0</v>
      </c>
    </row>
    <row r="205" spans="1:8" ht="13.95" customHeight="1">
      <c r="A205" t="s">
        <v>6573</v>
      </c>
      <c r="B205">
        <v>28</v>
      </c>
      <c r="D205">
        <v>0</v>
      </c>
      <c r="G205">
        <v>0</v>
      </c>
    </row>
    <row r="206" spans="1:8" ht="13.95" customHeight="1">
      <c r="A206" t="s">
        <v>6573</v>
      </c>
      <c r="B206">
        <v>29</v>
      </c>
      <c r="E206">
        <v>0</v>
      </c>
      <c r="H206">
        <v>0</v>
      </c>
    </row>
    <row r="207" spans="1:8" ht="13.95" customHeight="1">
      <c r="A207" t="s">
        <v>6573</v>
      </c>
      <c r="B207">
        <v>30</v>
      </c>
      <c r="E207">
        <v>0</v>
      </c>
      <c r="H207">
        <v>0</v>
      </c>
    </row>
    <row r="208" spans="1:8" ht="13.95" customHeight="1">
      <c r="A208" t="s">
        <v>6573</v>
      </c>
      <c r="B208">
        <v>31</v>
      </c>
      <c r="C208">
        <v>0</v>
      </c>
      <c r="F208">
        <v>0</v>
      </c>
    </row>
    <row r="209" spans="1:8" ht="13.95" customHeight="1">
      <c r="A209" t="s">
        <v>6573</v>
      </c>
      <c r="B209">
        <v>32</v>
      </c>
      <c r="C209">
        <v>0</v>
      </c>
      <c r="F209">
        <v>0</v>
      </c>
    </row>
    <row r="210" spans="1:8" ht="13.95" customHeight="1">
      <c r="A210" t="s">
        <v>6573</v>
      </c>
      <c r="B210">
        <v>33</v>
      </c>
      <c r="D210">
        <v>0</v>
      </c>
      <c r="G210">
        <v>0</v>
      </c>
    </row>
    <row r="211" spans="1:8" ht="13.95" customHeight="1">
      <c r="A211" t="s">
        <v>6573</v>
      </c>
      <c r="B211">
        <v>34</v>
      </c>
      <c r="D211">
        <v>0</v>
      </c>
      <c r="G211">
        <v>0</v>
      </c>
    </row>
    <row r="212" spans="1:8" ht="13.95" customHeight="1">
      <c r="A212" t="s">
        <v>6573</v>
      </c>
      <c r="B212">
        <v>35</v>
      </c>
      <c r="E212">
        <v>0</v>
      </c>
      <c r="H212">
        <v>0</v>
      </c>
    </row>
    <row r="213" spans="1:8" ht="13.95" customHeight="1">
      <c r="A213" t="s">
        <v>6573</v>
      </c>
      <c r="B213">
        <v>36</v>
      </c>
      <c r="E213">
        <v>0</v>
      </c>
      <c r="H213">
        <v>0</v>
      </c>
    </row>
    <row r="214" spans="1:8" ht="13.95" customHeight="1">
      <c r="A214" t="s">
        <v>6573</v>
      </c>
      <c r="B214">
        <v>37</v>
      </c>
      <c r="C214">
        <v>0</v>
      </c>
      <c r="F214">
        <v>0</v>
      </c>
    </row>
    <row r="215" spans="1:8" ht="13.95" customHeight="1">
      <c r="A215" t="s">
        <v>6573</v>
      </c>
      <c r="B215">
        <v>38</v>
      </c>
      <c r="C215">
        <v>0</v>
      </c>
      <c r="F215">
        <v>0</v>
      </c>
    </row>
    <row r="216" spans="1:8" ht="13.95" customHeight="1">
      <c r="A216" t="s">
        <v>6573</v>
      </c>
      <c r="B216">
        <v>39</v>
      </c>
      <c r="D216">
        <v>0</v>
      </c>
      <c r="G216">
        <v>0</v>
      </c>
    </row>
    <row r="217" spans="1:8" ht="13.95" customHeight="1">
      <c r="A217" t="s">
        <v>6573</v>
      </c>
      <c r="B217">
        <v>40</v>
      </c>
      <c r="D217">
        <v>0</v>
      </c>
      <c r="G217">
        <v>0</v>
      </c>
    </row>
    <row r="218" spans="1:8" ht="13.95" customHeight="1">
      <c r="A218" t="s">
        <v>6573</v>
      </c>
      <c r="B218">
        <v>41</v>
      </c>
      <c r="E218">
        <v>0</v>
      </c>
      <c r="H218">
        <v>0</v>
      </c>
    </row>
    <row r="219" spans="1:8" ht="13.95" customHeight="1">
      <c r="A219" t="s">
        <v>6573</v>
      </c>
      <c r="B219">
        <v>42</v>
      </c>
      <c r="E219">
        <v>0</v>
      </c>
      <c r="H219">
        <v>0</v>
      </c>
    </row>
    <row r="220" spans="1:8" ht="13.95" customHeight="1">
      <c r="A220" t="s">
        <v>6573</v>
      </c>
      <c r="B220">
        <v>43</v>
      </c>
      <c r="C220">
        <v>0</v>
      </c>
      <c r="F220">
        <v>0</v>
      </c>
    </row>
    <row r="221" spans="1:8" ht="13.95" customHeight="1">
      <c r="A221" t="s">
        <v>6573</v>
      </c>
      <c r="B221">
        <v>44</v>
      </c>
      <c r="C221">
        <v>0</v>
      </c>
      <c r="F221">
        <v>0</v>
      </c>
    </row>
    <row r="222" spans="1:8" ht="13.95" customHeight="1">
      <c r="A222" t="s">
        <v>6573</v>
      </c>
      <c r="B222">
        <v>45</v>
      </c>
      <c r="D222">
        <v>0</v>
      </c>
      <c r="G222">
        <v>0</v>
      </c>
    </row>
    <row r="223" spans="1:8" ht="13.95" customHeight="1">
      <c r="A223" t="s">
        <v>6573</v>
      </c>
      <c r="B223">
        <v>46</v>
      </c>
      <c r="D223">
        <v>0</v>
      </c>
      <c r="G223">
        <v>0</v>
      </c>
    </row>
    <row r="224" spans="1:8" ht="13.95" customHeight="1">
      <c r="A224" t="s">
        <v>6573</v>
      </c>
      <c r="B224">
        <v>47</v>
      </c>
      <c r="E224">
        <v>0</v>
      </c>
      <c r="H224">
        <v>0</v>
      </c>
    </row>
    <row r="225" spans="1:8" ht="13.95" customHeight="1">
      <c r="A225" t="s">
        <v>6573</v>
      </c>
      <c r="B225">
        <v>48</v>
      </c>
      <c r="E225">
        <v>0</v>
      </c>
      <c r="H225">
        <v>0</v>
      </c>
    </row>
    <row r="226" spans="1:8" ht="13.95" customHeight="1">
      <c r="A226" t="s">
        <v>6573</v>
      </c>
      <c r="B226">
        <v>49</v>
      </c>
      <c r="C226">
        <v>0</v>
      </c>
      <c r="F226">
        <v>0</v>
      </c>
    </row>
    <row r="227" spans="1:8" ht="13.95" customHeight="1">
      <c r="A227" t="s">
        <v>6573</v>
      </c>
      <c r="B227">
        <v>50</v>
      </c>
      <c r="C227">
        <v>0</v>
      </c>
      <c r="F227">
        <v>0</v>
      </c>
    </row>
    <row r="228" spans="1:8" ht="13.95" customHeight="1">
      <c r="A228" t="s">
        <v>6574</v>
      </c>
      <c r="B228">
        <v>1</v>
      </c>
      <c r="C228">
        <v>0</v>
      </c>
      <c r="F228">
        <v>0</v>
      </c>
    </row>
    <row r="229" spans="1:8" ht="13.95" customHeight="1">
      <c r="A229" t="s">
        <v>6574</v>
      </c>
      <c r="B229">
        <v>2</v>
      </c>
      <c r="C229">
        <v>0</v>
      </c>
      <c r="F229">
        <v>0</v>
      </c>
    </row>
    <row r="230" spans="1:8" ht="13.95" customHeight="1">
      <c r="A230" t="s">
        <v>6574</v>
      </c>
      <c r="B230">
        <v>3</v>
      </c>
      <c r="D230">
        <v>0</v>
      </c>
      <c r="G230">
        <v>0</v>
      </c>
    </row>
    <row r="231" spans="1:8" ht="13.95" customHeight="1">
      <c r="A231" t="s">
        <v>6574</v>
      </c>
      <c r="B231">
        <v>4</v>
      </c>
      <c r="D231">
        <v>0</v>
      </c>
      <c r="G231">
        <v>0</v>
      </c>
    </row>
    <row r="232" spans="1:8" ht="13.95" customHeight="1">
      <c r="A232" t="s">
        <v>6574</v>
      </c>
      <c r="B232">
        <v>5</v>
      </c>
      <c r="E232">
        <v>0</v>
      </c>
      <c r="H232">
        <v>0</v>
      </c>
    </row>
    <row r="233" spans="1:8" ht="13.95" customHeight="1">
      <c r="A233" t="s">
        <v>6574</v>
      </c>
      <c r="B233">
        <v>6</v>
      </c>
      <c r="E233">
        <v>0</v>
      </c>
      <c r="H233">
        <v>0</v>
      </c>
    </row>
    <row r="234" spans="1:8" ht="13.95" customHeight="1">
      <c r="A234" t="s">
        <v>6574</v>
      </c>
      <c r="B234">
        <v>7</v>
      </c>
      <c r="C234">
        <v>0</v>
      </c>
      <c r="F234">
        <v>0</v>
      </c>
    </row>
    <row r="235" spans="1:8" ht="13.95" customHeight="1">
      <c r="A235" t="s">
        <v>6574</v>
      </c>
      <c r="B235">
        <v>8</v>
      </c>
      <c r="C235">
        <v>0</v>
      </c>
      <c r="F235">
        <v>0</v>
      </c>
    </row>
    <row r="236" spans="1:8" ht="13.95" customHeight="1">
      <c r="A236" t="s">
        <v>6574</v>
      </c>
      <c r="B236">
        <v>9</v>
      </c>
      <c r="D236">
        <v>0</v>
      </c>
      <c r="G236">
        <v>0</v>
      </c>
    </row>
    <row r="237" spans="1:8" ht="13.95" customHeight="1">
      <c r="A237" t="s">
        <v>6574</v>
      </c>
      <c r="B237">
        <v>10</v>
      </c>
      <c r="D237">
        <v>0</v>
      </c>
      <c r="G237">
        <v>0</v>
      </c>
    </row>
    <row r="238" spans="1:8" ht="13.95" customHeight="1">
      <c r="A238" t="s">
        <v>6574</v>
      </c>
      <c r="B238">
        <v>11</v>
      </c>
      <c r="E238">
        <v>0</v>
      </c>
      <c r="H238">
        <v>0</v>
      </c>
    </row>
    <row r="239" spans="1:8" ht="13.95" customHeight="1">
      <c r="A239" t="s">
        <v>6574</v>
      </c>
      <c r="B239">
        <v>12</v>
      </c>
      <c r="E239">
        <v>0</v>
      </c>
      <c r="H239">
        <v>0</v>
      </c>
    </row>
    <row r="240" spans="1:8" ht="13.95" customHeight="1">
      <c r="A240" t="s">
        <v>6574</v>
      </c>
      <c r="B240">
        <v>13</v>
      </c>
      <c r="C240">
        <v>0</v>
      </c>
      <c r="F240">
        <v>0</v>
      </c>
    </row>
    <row r="241" spans="1:9" ht="13.95" customHeight="1">
      <c r="A241" t="s">
        <v>6574</v>
      </c>
      <c r="B241">
        <v>14</v>
      </c>
      <c r="C241">
        <v>0</v>
      </c>
      <c r="F241">
        <v>0</v>
      </c>
    </row>
    <row r="242" spans="1:9" ht="13.95" customHeight="1">
      <c r="A242" t="s">
        <v>6574</v>
      </c>
      <c r="B242">
        <v>15</v>
      </c>
      <c r="D242">
        <v>0</v>
      </c>
      <c r="G242">
        <v>0</v>
      </c>
    </row>
    <row r="243" spans="1:9" ht="13.95" customHeight="1">
      <c r="A243" t="s">
        <v>6574</v>
      </c>
      <c r="B243">
        <v>16</v>
      </c>
      <c r="D243">
        <v>0</v>
      </c>
      <c r="G243">
        <v>0</v>
      </c>
    </row>
    <row r="244" spans="1:9" ht="13.95" customHeight="1">
      <c r="A244" t="s">
        <v>6574</v>
      </c>
      <c r="B244">
        <v>17</v>
      </c>
      <c r="E244">
        <v>0</v>
      </c>
      <c r="H244">
        <v>0</v>
      </c>
    </row>
    <row r="245" spans="1:9" ht="13.95" customHeight="1">
      <c r="A245" t="s">
        <v>6574</v>
      </c>
      <c r="B245">
        <v>18</v>
      </c>
      <c r="E245">
        <v>0</v>
      </c>
      <c r="H245">
        <v>0</v>
      </c>
    </row>
    <row r="246" spans="1:9" ht="13.95" customHeight="1">
      <c r="A246" t="s">
        <v>6574</v>
      </c>
      <c r="B246">
        <v>19</v>
      </c>
      <c r="C246">
        <v>4.84</v>
      </c>
      <c r="F246">
        <v>6.21</v>
      </c>
      <c r="I246">
        <v>5.3136812767290955</v>
      </c>
    </row>
    <row r="247" spans="1:9" ht="13.95" customHeight="1">
      <c r="A247" t="s">
        <v>6574</v>
      </c>
      <c r="B247">
        <v>20</v>
      </c>
      <c r="C247">
        <v>0</v>
      </c>
      <c r="F247">
        <v>0</v>
      </c>
    </row>
    <row r="248" spans="1:9" ht="13.95" customHeight="1">
      <c r="A248" t="s">
        <v>6574</v>
      </c>
      <c r="B248">
        <v>21</v>
      </c>
      <c r="D248">
        <v>0</v>
      </c>
      <c r="G248">
        <v>0</v>
      </c>
    </row>
    <row r="249" spans="1:9" ht="13.95" customHeight="1">
      <c r="A249" t="s">
        <v>6574</v>
      </c>
      <c r="B249">
        <v>22</v>
      </c>
      <c r="D249">
        <v>0</v>
      </c>
      <c r="G249">
        <v>0</v>
      </c>
    </row>
    <row r="250" spans="1:9" ht="13.95" customHeight="1">
      <c r="A250" t="s">
        <v>6574</v>
      </c>
      <c r="B250">
        <v>23</v>
      </c>
      <c r="E250">
        <v>0</v>
      </c>
      <c r="H250">
        <v>0</v>
      </c>
    </row>
    <row r="251" spans="1:9" ht="13.95" customHeight="1">
      <c r="A251" t="s">
        <v>6574</v>
      </c>
      <c r="B251">
        <v>24</v>
      </c>
      <c r="E251">
        <v>0</v>
      </c>
      <c r="H251">
        <v>0</v>
      </c>
    </row>
    <row r="252" spans="1:9" ht="13.95" customHeight="1">
      <c r="A252" t="s">
        <v>6574</v>
      </c>
      <c r="B252">
        <v>25</v>
      </c>
      <c r="C252">
        <v>0</v>
      </c>
      <c r="F252">
        <v>0</v>
      </c>
    </row>
    <row r="253" spans="1:9" ht="13.95" customHeight="1">
      <c r="A253" t="s">
        <v>6574</v>
      </c>
      <c r="B253">
        <v>26</v>
      </c>
      <c r="C253">
        <v>0</v>
      </c>
      <c r="F253">
        <v>0</v>
      </c>
    </row>
    <row r="254" spans="1:9" ht="13.95" customHeight="1">
      <c r="A254" t="s">
        <v>6574</v>
      </c>
      <c r="B254">
        <v>27</v>
      </c>
      <c r="D254">
        <v>0</v>
      </c>
      <c r="G254">
        <v>0</v>
      </c>
    </row>
    <row r="255" spans="1:9" ht="13.95" customHeight="1">
      <c r="A255" t="s">
        <v>6574</v>
      </c>
      <c r="B255">
        <v>28</v>
      </c>
      <c r="D255">
        <v>0</v>
      </c>
      <c r="G255">
        <v>0</v>
      </c>
    </row>
    <row r="256" spans="1:9" ht="13.95" customHeight="1">
      <c r="A256" t="s">
        <v>6574</v>
      </c>
      <c r="B256">
        <v>29</v>
      </c>
      <c r="E256">
        <v>0</v>
      </c>
      <c r="H256">
        <v>0</v>
      </c>
    </row>
    <row r="257" spans="1:8" ht="13.95" customHeight="1">
      <c r="A257" t="s">
        <v>6574</v>
      </c>
      <c r="B257">
        <v>30</v>
      </c>
      <c r="E257">
        <v>0</v>
      </c>
      <c r="H257">
        <v>0</v>
      </c>
    </row>
    <row r="258" spans="1:8" ht="13.95" customHeight="1">
      <c r="A258" t="s">
        <v>6574</v>
      </c>
      <c r="B258">
        <v>31</v>
      </c>
      <c r="C258">
        <v>0</v>
      </c>
      <c r="F258">
        <v>0</v>
      </c>
    </row>
    <row r="259" spans="1:8" ht="13.95" customHeight="1">
      <c r="A259" t="s">
        <v>6574</v>
      </c>
      <c r="B259">
        <v>32</v>
      </c>
      <c r="C259">
        <v>0</v>
      </c>
      <c r="F259">
        <v>0</v>
      </c>
    </row>
    <row r="260" spans="1:8" ht="13.95" customHeight="1">
      <c r="A260" t="s">
        <v>6574</v>
      </c>
      <c r="B260">
        <v>33</v>
      </c>
      <c r="D260">
        <v>0</v>
      </c>
      <c r="G260">
        <v>0</v>
      </c>
    </row>
    <row r="261" spans="1:8" ht="13.95" customHeight="1">
      <c r="A261" t="s">
        <v>6574</v>
      </c>
      <c r="B261">
        <v>34</v>
      </c>
      <c r="D261">
        <v>0</v>
      </c>
      <c r="G261">
        <v>0</v>
      </c>
    </row>
    <row r="262" spans="1:8" ht="13.95" customHeight="1">
      <c r="A262" t="s">
        <v>6574</v>
      </c>
      <c r="B262">
        <v>35</v>
      </c>
      <c r="E262">
        <v>0</v>
      </c>
      <c r="H262">
        <v>0</v>
      </c>
    </row>
    <row r="263" spans="1:8" ht="13.95" customHeight="1">
      <c r="A263" t="s">
        <v>6574</v>
      </c>
      <c r="B263">
        <v>36</v>
      </c>
      <c r="E263">
        <v>0</v>
      </c>
      <c r="H263">
        <v>0</v>
      </c>
    </row>
    <row r="264" spans="1:8" ht="13.95" customHeight="1">
      <c r="A264" t="s">
        <v>6574</v>
      </c>
      <c r="B264">
        <v>37</v>
      </c>
      <c r="C264">
        <v>0</v>
      </c>
      <c r="F264">
        <v>0</v>
      </c>
    </row>
    <row r="265" spans="1:8" ht="13.95" customHeight="1">
      <c r="A265" t="s">
        <v>6574</v>
      </c>
      <c r="B265">
        <v>38</v>
      </c>
      <c r="C265">
        <v>0</v>
      </c>
      <c r="F265">
        <v>0</v>
      </c>
    </row>
    <row r="266" spans="1:8" ht="13.95" customHeight="1">
      <c r="A266" t="s">
        <v>6574</v>
      </c>
      <c r="B266">
        <v>39</v>
      </c>
      <c r="D266">
        <v>0</v>
      </c>
      <c r="G266">
        <v>0</v>
      </c>
    </row>
    <row r="267" spans="1:8" ht="13.95" customHeight="1">
      <c r="A267" t="s">
        <v>6574</v>
      </c>
      <c r="B267">
        <v>40</v>
      </c>
      <c r="D267">
        <v>0</v>
      </c>
      <c r="G267">
        <v>0</v>
      </c>
    </row>
    <row r="268" spans="1:8" ht="13.95" customHeight="1">
      <c r="A268" t="s">
        <v>6574</v>
      </c>
      <c r="B268">
        <v>41</v>
      </c>
      <c r="E268">
        <v>0</v>
      </c>
      <c r="H268">
        <v>0</v>
      </c>
    </row>
    <row r="269" spans="1:8" ht="13.95" customHeight="1">
      <c r="A269" t="s">
        <v>6574</v>
      </c>
      <c r="B269">
        <v>42</v>
      </c>
      <c r="E269">
        <v>0</v>
      </c>
      <c r="H269">
        <v>0</v>
      </c>
    </row>
    <row r="270" spans="1:8" ht="13.95" customHeight="1">
      <c r="A270" t="s">
        <v>6574</v>
      </c>
      <c r="B270">
        <v>43</v>
      </c>
      <c r="C270">
        <v>0</v>
      </c>
      <c r="F270">
        <v>0</v>
      </c>
    </row>
    <row r="271" spans="1:8" ht="13.95" customHeight="1">
      <c r="A271" t="s">
        <v>6574</v>
      </c>
      <c r="B271">
        <v>44</v>
      </c>
      <c r="C271">
        <v>0</v>
      </c>
      <c r="F271">
        <v>0</v>
      </c>
    </row>
    <row r="272" spans="1:8" ht="13.95" customHeight="1">
      <c r="A272" t="s">
        <v>6574</v>
      </c>
      <c r="B272">
        <v>45</v>
      </c>
      <c r="D272">
        <v>0</v>
      </c>
      <c r="G272">
        <v>0</v>
      </c>
    </row>
    <row r="273" spans="1:8" ht="13.95" customHeight="1">
      <c r="A273" t="s">
        <v>6574</v>
      </c>
      <c r="B273">
        <v>46</v>
      </c>
      <c r="D273">
        <v>0</v>
      </c>
      <c r="G273">
        <v>0</v>
      </c>
    </row>
    <row r="274" spans="1:8" ht="13.95" customHeight="1">
      <c r="A274" t="s">
        <v>6574</v>
      </c>
      <c r="B274">
        <v>47</v>
      </c>
      <c r="E274">
        <v>0</v>
      </c>
      <c r="H274">
        <v>0</v>
      </c>
    </row>
    <row r="275" spans="1:8" ht="13.95" customHeight="1">
      <c r="A275" t="s">
        <v>6574</v>
      </c>
      <c r="B275">
        <v>48</v>
      </c>
      <c r="E275">
        <v>0</v>
      </c>
      <c r="H275">
        <v>0</v>
      </c>
    </row>
    <row r="276" spans="1:8" ht="13.95" customHeight="1">
      <c r="A276" t="s">
        <v>6574</v>
      </c>
      <c r="B276">
        <v>49</v>
      </c>
      <c r="C276">
        <v>0</v>
      </c>
      <c r="F276">
        <v>0</v>
      </c>
    </row>
    <row r="277" spans="1:8" ht="13.95" customHeight="1">
      <c r="A277" t="s">
        <v>6574</v>
      </c>
      <c r="B277">
        <v>50</v>
      </c>
      <c r="C277">
        <v>0</v>
      </c>
      <c r="F277">
        <v>0</v>
      </c>
    </row>
    <row r="278" spans="1:8" ht="13.95" customHeight="1">
      <c r="A278" t="s">
        <v>6575</v>
      </c>
      <c r="B278">
        <v>1</v>
      </c>
      <c r="C278">
        <v>0</v>
      </c>
      <c r="F278">
        <v>0</v>
      </c>
    </row>
    <row r="279" spans="1:8" ht="13.95" customHeight="1">
      <c r="A279" t="s">
        <v>6575</v>
      </c>
      <c r="B279">
        <v>2</v>
      </c>
      <c r="C279">
        <v>0</v>
      </c>
      <c r="F279">
        <v>0</v>
      </c>
    </row>
    <row r="280" spans="1:8" ht="13.95" customHeight="1">
      <c r="A280" t="s">
        <v>6575</v>
      </c>
      <c r="B280">
        <v>3</v>
      </c>
      <c r="D280">
        <v>0</v>
      </c>
      <c r="G280">
        <v>0</v>
      </c>
    </row>
    <row r="281" spans="1:8" ht="13.95" customHeight="1">
      <c r="A281" t="s">
        <v>6575</v>
      </c>
      <c r="B281">
        <v>4</v>
      </c>
      <c r="D281">
        <v>0</v>
      </c>
      <c r="G281">
        <v>0</v>
      </c>
    </row>
    <row r="282" spans="1:8" ht="13.95" customHeight="1">
      <c r="A282" t="s">
        <v>6575</v>
      </c>
      <c r="B282">
        <v>5</v>
      </c>
      <c r="E282">
        <v>0</v>
      </c>
      <c r="H282">
        <v>0</v>
      </c>
    </row>
    <row r="283" spans="1:8" ht="13.95" customHeight="1">
      <c r="A283" t="s">
        <v>6575</v>
      </c>
      <c r="B283">
        <v>6</v>
      </c>
      <c r="E283">
        <v>0</v>
      </c>
      <c r="H283">
        <v>0</v>
      </c>
    </row>
    <row r="284" spans="1:8" ht="13.95" customHeight="1">
      <c r="A284" t="s">
        <v>6575</v>
      </c>
      <c r="B284">
        <v>7</v>
      </c>
      <c r="C284">
        <v>0</v>
      </c>
      <c r="F284">
        <v>0</v>
      </c>
    </row>
    <row r="285" spans="1:8" ht="13.95" customHeight="1">
      <c r="A285" t="s">
        <v>6575</v>
      </c>
      <c r="B285">
        <v>8</v>
      </c>
      <c r="C285">
        <v>0</v>
      </c>
      <c r="F285">
        <v>0</v>
      </c>
    </row>
    <row r="286" spans="1:8" ht="13.95" customHeight="1">
      <c r="A286" t="s">
        <v>6575</v>
      </c>
      <c r="B286">
        <v>9</v>
      </c>
      <c r="D286">
        <v>0</v>
      </c>
      <c r="G286">
        <v>0</v>
      </c>
    </row>
    <row r="287" spans="1:8" ht="13.95" customHeight="1">
      <c r="A287" t="s">
        <v>6575</v>
      </c>
      <c r="B287">
        <v>10</v>
      </c>
      <c r="D287">
        <v>0</v>
      </c>
      <c r="G287">
        <v>0</v>
      </c>
    </row>
    <row r="288" spans="1:8" ht="13.95" customHeight="1">
      <c r="A288" t="s">
        <v>6575</v>
      </c>
      <c r="B288">
        <v>11</v>
      </c>
      <c r="E288">
        <v>0</v>
      </c>
      <c r="H288">
        <v>0</v>
      </c>
    </row>
    <row r="289" spans="1:9" ht="13.95" customHeight="1">
      <c r="A289" t="s">
        <v>6575</v>
      </c>
      <c r="B289">
        <v>12</v>
      </c>
      <c r="E289">
        <v>0</v>
      </c>
      <c r="H289">
        <v>0</v>
      </c>
    </row>
    <row r="290" spans="1:9" ht="13.95" customHeight="1">
      <c r="A290" t="s">
        <v>6575</v>
      </c>
      <c r="B290">
        <v>13</v>
      </c>
      <c r="C290">
        <v>0</v>
      </c>
      <c r="F290">
        <v>0</v>
      </c>
    </row>
    <row r="291" spans="1:9" ht="13.95" customHeight="1">
      <c r="A291" t="s">
        <v>6575</v>
      </c>
      <c r="B291">
        <v>14</v>
      </c>
      <c r="C291">
        <v>0</v>
      </c>
      <c r="F291">
        <v>0</v>
      </c>
    </row>
    <row r="292" spans="1:9" ht="13.95" customHeight="1">
      <c r="A292" t="s">
        <v>6575</v>
      </c>
      <c r="B292">
        <v>15</v>
      </c>
      <c r="D292">
        <v>0</v>
      </c>
      <c r="G292">
        <v>0</v>
      </c>
    </row>
    <row r="293" spans="1:9" ht="13.95" customHeight="1">
      <c r="A293" t="s">
        <v>6575</v>
      </c>
      <c r="B293">
        <v>16</v>
      </c>
      <c r="D293">
        <v>0</v>
      </c>
      <c r="G293">
        <v>0</v>
      </c>
    </row>
    <row r="294" spans="1:9" ht="13.95" customHeight="1">
      <c r="A294" t="s">
        <v>6575</v>
      </c>
      <c r="B294">
        <v>17</v>
      </c>
      <c r="E294">
        <v>0</v>
      </c>
      <c r="H294">
        <v>0</v>
      </c>
    </row>
    <row r="295" spans="1:9" ht="13.95" customHeight="1">
      <c r="A295" t="s">
        <v>6575</v>
      </c>
      <c r="B295">
        <v>18</v>
      </c>
      <c r="E295">
        <v>0</v>
      </c>
      <c r="H295">
        <v>0</v>
      </c>
    </row>
    <row r="296" spans="1:9" ht="13.95" customHeight="1">
      <c r="A296" t="s">
        <v>6575</v>
      </c>
      <c r="B296">
        <v>19</v>
      </c>
      <c r="C296">
        <v>4.79</v>
      </c>
      <c r="F296">
        <v>6.13</v>
      </c>
      <c r="I296">
        <v>5.305453248569922</v>
      </c>
    </row>
    <row r="297" spans="1:9" ht="13.95" customHeight="1">
      <c r="A297" t="s">
        <v>6575</v>
      </c>
      <c r="B297">
        <v>20</v>
      </c>
      <c r="C297">
        <v>0</v>
      </c>
      <c r="F297">
        <v>0</v>
      </c>
    </row>
    <row r="298" spans="1:9" ht="13.95" customHeight="1">
      <c r="A298" t="s">
        <v>6575</v>
      </c>
      <c r="B298">
        <v>21</v>
      </c>
      <c r="D298">
        <v>0</v>
      </c>
      <c r="G298">
        <v>0</v>
      </c>
    </row>
    <row r="299" spans="1:9" ht="13.95" customHeight="1">
      <c r="A299" t="s">
        <v>6575</v>
      </c>
      <c r="B299">
        <v>22</v>
      </c>
      <c r="D299">
        <v>0</v>
      </c>
      <c r="G299">
        <v>0</v>
      </c>
    </row>
    <row r="300" spans="1:9" ht="13.95" customHeight="1">
      <c r="A300" t="s">
        <v>6575</v>
      </c>
      <c r="B300">
        <v>23</v>
      </c>
      <c r="E300">
        <v>0</v>
      </c>
      <c r="H300">
        <v>0</v>
      </c>
    </row>
    <row r="301" spans="1:9" ht="13.95" customHeight="1">
      <c r="A301" t="s">
        <v>6575</v>
      </c>
      <c r="B301">
        <v>24</v>
      </c>
      <c r="E301">
        <v>0</v>
      </c>
      <c r="H301">
        <v>0</v>
      </c>
    </row>
    <row r="302" spans="1:9" ht="13.95" customHeight="1">
      <c r="A302" t="s">
        <v>6575</v>
      </c>
      <c r="B302">
        <v>25</v>
      </c>
      <c r="C302">
        <v>0</v>
      </c>
      <c r="F302">
        <v>0</v>
      </c>
    </row>
    <row r="303" spans="1:9" ht="13.95" customHeight="1">
      <c r="A303" t="s">
        <v>6575</v>
      </c>
      <c r="B303">
        <v>26</v>
      </c>
      <c r="C303">
        <v>0</v>
      </c>
      <c r="F303">
        <v>0</v>
      </c>
    </row>
    <row r="304" spans="1:9" ht="13.95" customHeight="1">
      <c r="A304" t="s">
        <v>6575</v>
      </c>
      <c r="B304">
        <v>27</v>
      </c>
      <c r="D304">
        <v>0</v>
      </c>
      <c r="G304">
        <v>0</v>
      </c>
    </row>
    <row r="305" spans="1:8" ht="13.95" customHeight="1">
      <c r="A305" t="s">
        <v>6575</v>
      </c>
      <c r="B305">
        <v>28</v>
      </c>
      <c r="D305">
        <v>0</v>
      </c>
      <c r="G305">
        <v>0</v>
      </c>
    </row>
    <row r="306" spans="1:8" ht="13.95" customHeight="1">
      <c r="A306" t="s">
        <v>6575</v>
      </c>
      <c r="B306">
        <v>29</v>
      </c>
      <c r="E306">
        <v>0</v>
      </c>
      <c r="H306">
        <v>0</v>
      </c>
    </row>
    <row r="307" spans="1:8" ht="13.95" customHeight="1">
      <c r="A307" t="s">
        <v>6575</v>
      </c>
      <c r="B307">
        <v>30</v>
      </c>
      <c r="E307">
        <v>0</v>
      </c>
      <c r="H307">
        <v>0</v>
      </c>
    </row>
    <row r="308" spans="1:8" ht="13.95" customHeight="1">
      <c r="A308" t="s">
        <v>6575</v>
      </c>
      <c r="B308">
        <v>31</v>
      </c>
      <c r="C308">
        <v>0</v>
      </c>
      <c r="F308">
        <v>0</v>
      </c>
    </row>
    <row r="309" spans="1:8" ht="13.95" customHeight="1">
      <c r="A309" t="s">
        <v>6575</v>
      </c>
      <c r="B309">
        <v>32</v>
      </c>
      <c r="C309">
        <v>0</v>
      </c>
      <c r="F309">
        <v>0</v>
      </c>
    </row>
    <row r="310" spans="1:8" ht="13.95" customHeight="1">
      <c r="A310" t="s">
        <v>6575</v>
      </c>
      <c r="B310">
        <v>33</v>
      </c>
      <c r="D310">
        <v>0</v>
      </c>
      <c r="G310">
        <v>0</v>
      </c>
    </row>
    <row r="311" spans="1:8" ht="13.95" customHeight="1">
      <c r="A311" t="s">
        <v>6575</v>
      </c>
      <c r="B311">
        <v>34</v>
      </c>
      <c r="D311">
        <v>0</v>
      </c>
      <c r="G311">
        <v>0</v>
      </c>
    </row>
    <row r="312" spans="1:8" ht="13.95" customHeight="1">
      <c r="A312" t="s">
        <v>6575</v>
      </c>
      <c r="B312">
        <v>35</v>
      </c>
      <c r="E312">
        <v>0</v>
      </c>
      <c r="H312">
        <v>0</v>
      </c>
    </row>
    <row r="313" spans="1:8" ht="13.95" customHeight="1">
      <c r="A313" t="s">
        <v>6575</v>
      </c>
      <c r="B313">
        <v>36</v>
      </c>
      <c r="E313">
        <v>0</v>
      </c>
      <c r="H313">
        <v>0</v>
      </c>
    </row>
    <row r="314" spans="1:8" ht="13.95" customHeight="1">
      <c r="A314" t="s">
        <v>6575</v>
      </c>
      <c r="B314">
        <v>37</v>
      </c>
      <c r="C314">
        <v>0</v>
      </c>
      <c r="F314">
        <v>0</v>
      </c>
    </row>
    <row r="315" spans="1:8" ht="13.95" customHeight="1">
      <c r="A315" t="s">
        <v>6575</v>
      </c>
      <c r="B315">
        <v>38</v>
      </c>
      <c r="C315">
        <v>0</v>
      </c>
      <c r="F315">
        <v>0</v>
      </c>
    </row>
    <row r="316" spans="1:8" ht="13.95" customHeight="1">
      <c r="A316" t="s">
        <v>6575</v>
      </c>
      <c r="B316">
        <v>39</v>
      </c>
      <c r="D316">
        <v>0</v>
      </c>
      <c r="G316">
        <v>0</v>
      </c>
    </row>
    <row r="317" spans="1:8" ht="13.95" customHeight="1">
      <c r="A317" t="s">
        <v>6575</v>
      </c>
      <c r="B317">
        <v>40</v>
      </c>
      <c r="D317">
        <v>0</v>
      </c>
      <c r="G317">
        <v>0</v>
      </c>
    </row>
    <row r="318" spans="1:8" ht="13.95" customHeight="1">
      <c r="A318" t="s">
        <v>6575</v>
      </c>
      <c r="B318">
        <v>41</v>
      </c>
      <c r="E318">
        <v>0</v>
      </c>
      <c r="H318">
        <v>0</v>
      </c>
    </row>
    <row r="319" spans="1:8" ht="13.95" customHeight="1">
      <c r="A319" t="s">
        <v>6575</v>
      </c>
      <c r="B319">
        <v>42</v>
      </c>
      <c r="E319">
        <v>0</v>
      </c>
      <c r="H319">
        <v>0</v>
      </c>
    </row>
    <row r="320" spans="1:8" ht="13.95" customHeight="1">
      <c r="A320" t="s">
        <v>6575</v>
      </c>
      <c r="B320">
        <v>43</v>
      </c>
      <c r="C320">
        <v>0</v>
      </c>
      <c r="F320">
        <v>0</v>
      </c>
    </row>
    <row r="321" spans="1:11" ht="13.95" customHeight="1">
      <c r="A321" t="s">
        <v>6575</v>
      </c>
      <c r="B321">
        <v>44</v>
      </c>
      <c r="C321">
        <v>0</v>
      </c>
      <c r="F321">
        <v>0</v>
      </c>
    </row>
    <row r="322" spans="1:11" ht="13.95" customHeight="1">
      <c r="A322" t="s">
        <v>6575</v>
      </c>
      <c r="B322">
        <v>45</v>
      </c>
      <c r="D322">
        <v>0</v>
      </c>
      <c r="G322">
        <v>0</v>
      </c>
    </row>
    <row r="323" spans="1:11" ht="13.95" customHeight="1">
      <c r="A323" t="s">
        <v>6575</v>
      </c>
      <c r="B323">
        <v>46</v>
      </c>
      <c r="D323">
        <v>0</v>
      </c>
      <c r="G323">
        <v>0</v>
      </c>
    </row>
    <row r="324" spans="1:11" ht="13.95" customHeight="1">
      <c r="A324" t="s">
        <v>6575</v>
      </c>
      <c r="B324">
        <v>47</v>
      </c>
      <c r="E324">
        <v>0</v>
      </c>
      <c r="H324">
        <v>0</v>
      </c>
    </row>
    <row r="325" spans="1:11" ht="13.95" customHeight="1">
      <c r="A325" t="s">
        <v>6575</v>
      </c>
      <c r="B325">
        <v>48</v>
      </c>
      <c r="E325">
        <v>0</v>
      </c>
      <c r="H325">
        <v>0</v>
      </c>
    </row>
    <row r="326" spans="1:11" ht="13.95" customHeight="1">
      <c r="A326" t="s">
        <v>6575</v>
      </c>
      <c r="B326">
        <v>49</v>
      </c>
      <c r="C326">
        <v>0</v>
      </c>
      <c r="F326">
        <v>0</v>
      </c>
    </row>
    <row r="327" spans="1:11" ht="13.95" customHeight="1">
      <c r="A327" t="s">
        <v>6575</v>
      </c>
      <c r="B327">
        <v>50</v>
      </c>
      <c r="C327">
        <v>0</v>
      </c>
      <c r="F327">
        <v>0</v>
      </c>
    </row>
    <row r="328" spans="1:11" ht="13.95" customHeight="1">
      <c r="A328" t="s">
        <v>6576</v>
      </c>
      <c r="B328">
        <v>1</v>
      </c>
      <c r="C328">
        <v>0</v>
      </c>
      <c r="F328">
        <v>0</v>
      </c>
    </row>
    <row r="329" spans="1:11" ht="13.95" customHeight="1">
      <c r="A329" t="s">
        <v>6576</v>
      </c>
      <c r="B329">
        <v>2</v>
      </c>
      <c r="C329">
        <v>1.95</v>
      </c>
      <c r="F329">
        <v>2</v>
      </c>
      <c r="I329">
        <v>1.9684241641657396</v>
      </c>
    </row>
    <row r="330" spans="1:11" ht="13.95" customHeight="1">
      <c r="A330" t="s">
        <v>6576</v>
      </c>
      <c r="B330">
        <v>3</v>
      </c>
      <c r="D330">
        <v>0</v>
      </c>
      <c r="G330">
        <v>0</v>
      </c>
    </row>
    <row r="331" spans="1:11" ht="13.95" customHeight="1">
      <c r="A331" t="s">
        <v>6576</v>
      </c>
      <c r="B331">
        <v>4</v>
      </c>
      <c r="D331">
        <v>2.6</v>
      </c>
      <c r="G331">
        <v>7.1</v>
      </c>
      <c r="J331">
        <v>3.0652937378992968</v>
      </c>
    </row>
    <row r="332" spans="1:11" ht="13.95" customHeight="1">
      <c r="A332" t="s">
        <v>6576</v>
      </c>
      <c r="B332">
        <v>5</v>
      </c>
      <c r="E332">
        <v>0</v>
      </c>
      <c r="H332">
        <v>0</v>
      </c>
    </row>
    <row r="333" spans="1:11" ht="13.95" customHeight="1">
      <c r="A333" t="s">
        <v>6576</v>
      </c>
      <c r="B333">
        <v>6</v>
      </c>
      <c r="E333">
        <v>2.87</v>
      </c>
      <c r="H333">
        <v>3.17</v>
      </c>
      <c r="K333">
        <v>2.9963156830366455</v>
      </c>
    </row>
    <row r="334" spans="1:11" ht="13.95" customHeight="1">
      <c r="A334" t="s">
        <v>6576</v>
      </c>
      <c r="B334">
        <v>7</v>
      </c>
      <c r="C334">
        <v>0</v>
      </c>
      <c r="F334">
        <v>0</v>
      </c>
    </row>
    <row r="335" spans="1:11" ht="13.95" customHeight="1">
      <c r="A335" t="s">
        <v>6576</v>
      </c>
      <c r="B335">
        <v>8</v>
      </c>
      <c r="C335">
        <v>4.5999999999999996</v>
      </c>
      <c r="F335">
        <v>5.01</v>
      </c>
      <c r="I335">
        <v>4.8501715193602069</v>
      </c>
    </row>
    <row r="336" spans="1:11" ht="13.95" customHeight="1">
      <c r="A336" t="s">
        <v>6576</v>
      </c>
      <c r="B336">
        <v>9</v>
      </c>
      <c r="D336">
        <v>0</v>
      </c>
      <c r="G336">
        <v>0</v>
      </c>
    </row>
    <row r="337" spans="1:11" ht="13.95" customHeight="1">
      <c r="A337" t="s">
        <v>6576</v>
      </c>
      <c r="B337">
        <v>10</v>
      </c>
      <c r="D337">
        <v>7.12</v>
      </c>
      <c r="G337">
        <v>9.0399999999999991</v>
      </c>
      <c r="J337">
        <v>7.8670533374070706</v>
      </c>
    </row>
    <row r="338" spans="1:11" ht="13.95" customHeight="1">
      <c r="A338" t="s">
        <v>6576</v>
      </c>
      <c r="B338">
        <v>11</v>
      </c>
      <c r="E338">
        <v>0</v>
      </c>
      <c r="H338">
        <v>0</v>
      </c>
    </row>
    <row r="339" spans="1:11" ht="13.95" customHeight="1">
      <c r="A339" t="s">
        <v>6576</v>
      </c>
      <c r="B339">
        <v>12</v>
      </c>
      <c r="E339">
        <v>6.85</v>
      </c>
      <c r="H339">
        <v>8.32</v>
      </c>
      <c r="K339">
        <v>7.3902725353726035</v>
      </c>
    </row>
    <row r="340" spans="1:11" ht="13.95" customHeight="1">
      <c r="A340" t="s">
        <v>6576</v>
      </c>
      <c r="B340">
        <v>13</v>
      </c>
      <c r="C340">
        <v>0</v>
      </c>
      <c r="F340">
        <v>0</v>
      </c>
    </row>
    <row r="341" spans="1:11" ht="13.95" customHeight="1">
      <c r="A341" t="s">
        <v>6576</v>
      </c>
      <c r="B341">
        <v>14</v>
      </c>
      <c r="C341">
        <v>4.63</v>
      </c>
      <c r="F341">
        <v>6.67</v>
      </c>
      <c r="I341">
        <v>5.3587230623337989</v>
      </c>
    </row>
    <row r="342" spans="1:11" ht="13.95" customHeight="1">
      <c r="A342" t="s">
        <v>6576</v>
      </c>
      <c r="B342">
        <v>15</v>
      </c>
      <c r="D342">
        <v>0</v>
      </c>
      <c r="G342">
        <v>0</v>
      </c>
    </row>
    <row r="343" spans="1:11" ht="13.95" customHeight="1">
      <c r="A343" t="s">
        <v>6576</v>
      </c>
      <c r="B343">
        <v>16</v>
      </c>
      <c r="D343">
        <v>4.6899999999999995</v>
      </c>
      <c r="G343">
        <v>6.34</v>
      </c>
      <c r="J343">
        <v>4.9050937105733414</v>
      </c>
    </row>
    <row r="344" spans="1:11" ht="13.95" customHeight="1">
      <c r="A344" t="s">
        <v>6576</v>
      </c>
      <c r="B344">
        <v>17</v>
      </c>
      <c r="E344">
        <v>0</v>
      </c>
      <c r="H344">
        <v>0</v>
      </c>
    </row>
    <row r="345" spans="1:11" ht="13.95" customHeight="1">
      <c r="A345" t="s">
        <v>6576</v>
      </c>
      <c r="B345">
        <v>18</v>
      </c>
      <c r="E345">
        <v>0</v>
      </c>
      <c r="H345">
        <v>0</v>
      </c>
    </row>
    <row r="346" spans="1:11" ht="13.95" customHeight="1">
      <c r="A346" t="s">
        <v>6576</v>
      </c>
      <c r="B346">
        <v>19</v>
      </c>
      <c r="C346">
        <v>0</v>
      </c>
      <c r="F346">
        <v>0</v>
      </c>
    </row>
    <row r="347" spans="1:11" ht="13.95" customHeight="1">
      <c r="A347" t="s">
        <v>6576</v>
      </c>
      <c r="B347">
        <v>20</v>
      </c>
      <c r="C347">
        <v>0</v>
      </c>
      <c r="F347">
        <v>0</v>
      </c>
    </row>
    <row r="348" spans="1:11" ht="13.95" customHeight="1">
      <c r="A348" t="s">
        <v>6576</v>
      </c>
      <c r="B348">
        <v>21</v>
      </c>
      <c r="D348">
        <v>0</v>
      </c>
      <c r="G348">
        <v>0</v>
      </c>
    </row>
    <row r="349" spans="1:11" ht="13.95" customHeight="1">
      <c r="A349" t="s">
        <v>6576</v>
      </c>
      <c r="B349">
        <v>22</v>
      </c>
      <c r="D349">
        <v>0</v>
      </c>
      <c r="G349">
        <v>0</v>
      </c>
    </row>
    <row r="350" spans="1:11" ht="13.95" customHeight="1">
      <c r="A350" t="s">
        <v>6576</v>
      </c>
      <c r="B350">
        <v>23</v>
      </c>
      <c r="E350">
        <v>0</v>
      </c>
      <c r="H350">
        <v>0</v>
      </c>
    </row>
    <row r="351" spans="1:11" ht="13.95" customHeight="1">
      <c r="A351" t="s">
        <v>6576</v>
      </c>
      <c r="B351">
        <v>24</v>
      </c>
      <c r="E351">
        <v>0</v>
      </c>
      <c r="H351">
        <v>0</v>
      </c>
    </row>
    <row r="352" spans="1:11" ht="13.95" customHeight="1">
      <c r="A352" t="s">
        <v>6576</v>
      </c>
      <c r="B352">
        <v>25</v>
      </c>
      <c r="C352">
        <v>0</v>
      </c>
      <c r="F352">
        <v>3.75</v>
      </c>
      <c r="I352">
        <v>1.836744749531785</v>
      </c>
    </row>
    <row r="353" spans="1:11" ht="13.95" customHeight="1">
      <c r="A353" t="s">
        <v>6576</v>
      </c>
      <c r="B353">
        <v>26</v>
      </c>
      <c r="C353">
        <v>0</v>
      </c>
      <c r="F353">
        <v>0</v>
      </c>
    </row>
    <row r="354" spans="1:11" ht="13.95" customHeight="1">
      <c r="A354" t="s">
        <v>6576</v>
      </c>
      <c r="B354">
        <v>27</v>
      </c>
      <c r="D354">
        <v>2.25</v>
      </c>
      <c r="G354">
        <v>2.33</v>
      </c>
      <c r="J354">
        <v>2.2752315122858007</v>
      </c>
    </row>
    <row r="355" spans="1:11" ht="13.95" customHeight="1">
      <c r="A355" t="s">
        <v>6576</v>
      </c>
      <c r="B355">
        <v>28</v>
      </c>
      <c r="D355">
        <v>0</v>
      </c>
      <c r="G355">
        <v>0</v>
      </c>
    </row>
    <row r="356" spans="1:11" ht="13.95" customHeight="1">
      <c r="A356" t="s">
        <v>6576</v>
      </c>
      <c r="B356">
        <v>29</v>
      </c>
      <c r="E356">
        <v>0</v>
      </c>
      <c r="H356">
        <v>0</v>
      </c>
    </row>
    <row r="357" spans="1:11" ht="13.95" customHeight="1">
      <c r="A357" t="s">
        <v>6576</v>
      </c>
      <c r="B357">
        <v>30</v>
      </c>
      <c r="E357">
        <v>0</v>
      </c>
      <c r="H357">
        <v>0</v>
      </c>
    </row>
    <row r="358" spans="1:11" ht="13.95" customHeight="1">
      <c r="A358" t="s">
        <v>6576</v>
      </c>
      <c r="B358">
        <v>31</v>
      </c>
      <c r="C358">
        <v>0</v>
      </c>
      <c r="F358">
        <v>2.1</v>
      </c>
      <c r="I358">
        <v>0.88031589504384911</v>
      </c>
    </row>
    <row r="359" spans="1:11" ht="13.95" customHeight="1">
      <c r="A359" t="s">
        <v>6576</v>
      </c>
      <c r="B359">
        <v>32</v>
      </c>
      <c r="C359">
        <v>0</v>
      </c>
      <c r="F359">
        <v>0</v>
      </c>
    </row>
    <row r="360" spans="1:11" ht="13.95" customHeight="1">
      <c r="A360" t="s">
        <v>6576</v>
      </c>
      <c r="B360">
        <v>33</v>
      </c>
      <c r="D360">
        <v>0</v>
      </c>
      <c r="G360">
        <v>1.97</v>
      </c>
      <c r="J360">
        <v>0.9161145973371474</v>
      </c>
    </row>
    <row r="361" spans="1:11" ht="13.95" customHeight="1">
      <c r="A361" t="s">
        <v>6576</v>
      </c>
      <c r="B361">
        <v>34</v>
      </c>
      <c r="D361">
        <v>0</v>
      </c>
      <c r="G361">
        <v>0</v>
      </c>
    </row>
    <row r="362" spans="1:11" ht="13.95" customHeight="1">
      <c r="A362" t="s">
        <v>6576</v>
      </c>
      <c r="B362">
        <v>35</v>
      </c>
      <c r="E362">
        <v>0</v>
      </c>
      <c r="H362">
        <v>0.69</v>
      </c>
      <c r="K362">
        <v>0.6333602560000513</v>
      </c>
    </row>
    <row r="363" spans="1:11" ht="13.95" customHeight="1">
      <c r="A363" t="s">
        <v>6576</v>
      </c>
      <c r="B363">
        <v>36</v>
      </c>
      <c r="E363">
        <v>1.02</v>
      </c>
      <c r="H363">
        <v>1.1100000000000001</v>
      </c>
      <c r="K363">
        <v>1.0341960661021028</v>
      </c>
    </row>
    <row r="364" spans="1:11" ht="13.95" customHeight="1">
      <c r="A364" t="s">
        <v>6576</v>
      </c>
      <c r="B364">
        <v>37</v>
      </c>
      <c r="C364">
        <v>0</v>
      </c>
      <c r="F364">
        <v>0</v>
      </c>
    </row>
    <row r="365" spans="1:11" ht="13.95" customHeight="1">
      <c r="A365" t="s">
        <v>6576</v>
      </c>
      <c r="B365">
        <v>38</v>
      </c>
      <c r="C365">
        <v>0</v>
      </c>
      <c r="F365">
        <v>0</v>
      </c>
    </row>
    <row r="366" spans="1:11" ht="13.95" customHeight="1">
      <c r="A366" t="s">
        <v>6576</v>
      </c>
      <c r="B366">
        <v>39</v>
      </c>
      <c r="D366">
        <v>0</v>
      </c>
      <c r="G366">
        <v>0.33</v>
      </c>
      <c r="J366">
        <v>3.9587676627287471E-3</v>
      </c>
    </row>
    <row r="367" spans="1:11" ht="13.95" customHeight="1">
      <c r="A367" t="s">
        <v>6576</v>
      </c>
      <c r="B367">
        <v>40</v>
      </c>
      <c r="D367">
        <v>0</v>
      </c>
      <c r="G367">
        <v>0</v>
      </c>
    </row>
    <row r="368" spans="1:11" ht="13.95" customHeight="1">
      <c r="A368" t="s">
        <v>6576</v>
      </c>
      <c r="B368">
        <v>41</v>
      </c>
      <c r="E368">
        <v>0.64</v>
      </c>
      <c r="H368">
        <v>1</v>
      </c>
      <c r="K368">
        <v>0.8150931982195968</v>
      </c>
    </row>
    <row r="369" spans="1:11" ht="13.95" customHeight="1">
      <c r="A369" t="s">
        <v>6576</v>
      </c>
      <c r="B369">
        <v>42</v>
      </c>
      <c r="E369">
        <v>3.56</v>
      </c>
      <c r="H369">
        <v>4.49</v>
      </c>
      <c r="K369">
        <v>3.9365864594451963</v>
      </c>
    </row>
    <row r="370" spans="1:11" ht="13.95" customHeight="1">
      <c r="A370" t="s">
        <v>6576</v>
      </c>
      <c r="B370">
        <v>43</v>
      </c>
      <c r="C370">
        <v>2.96</v>
      </c>
      <c r="F370">
        <v>5.63</v>
      </c>
      <c r="I370">
        <v>4.6055573662722669</v>
      </c>
    </row>
    <row r="371" spans="1:11" ht="13.95" customHeight="1">
      <c r="A371" t="s">
        <v>6576</v>
      </c>
      <c r="B371">
        <v>44</v>
      </c>
      <c r="C371">
        <v>0</v>
      </c>
      <c r="F371">
        <v>0</v>
      </c>
    </row>
    <row r="372" spans="1:11" ht="13.95" customHeight="1">
      <c r="A372" t="s">
        <v>6576</v>
      </c>
      <c r="B372">
        <v>45</v>
      </c>
      <c r="D372">
        <v>0</v>
      </c>
      <c r="G372">
        <v>0</v>
      </c>
    </row>
    <row r="373" spans="1:11" ht="13.95" customHeight="1">
      <c r="A373" t="s">
        <v>6576</v>
      </c>
      <c r="B373">
        <v>46</v>
      </c>
      <c r="D373">
        <v>0.55000000000000004</v>
      </c>
      <c r="G373">
        <v>0.57999999999999996</v>
      </c>
      <c r="J373">
        <v>0.55982583374898165</v>
      </c>
    </row>
    <row r="374" spans="1:11" ht="13.95" customHeight="1">
      <c r="A374" t="s">
        <v>6576</v>
      </c>
      <c r="B374">
        <v>47</v>
      </c>
      <c r="E374">
        <v>0</v>
      </c>
      <c r="H374">
        <v>0</v>
      </c>
    </row>
    <row r="375" spans="1:11" ht="13.95" customHeight="1">
      <c r="A375" t="s">
        <v>6576</v>
      </c>
      <c r="B375">
        <v>48</v>
      </c>
      <c r="E375">
        <v>0</v>
      </c>
      <c r="H375">
        <v>0</v>
      </c>
    </row>
    <row r="376" spans="1:11" ht="13.95" customHeight="1">
      <c r="A376" t="s">
        <v>6576</v>
      </c>
      <c r="B376">
        <v>49</v>
      </c>
      <c r="C376">
        <v>3.07</v>
      </c>
      <c r="F376">
        <v>9.41</v>
      </c>
      <c r="I376">
        <v>7.651501531928151</v>
      </c>
    </row>
    <row r="377" spans="1:11" ht="13.95" customHeight="1">
      <c r="A377" t="s">
        <v>6576</v>
      </c>
      <c r="B377">
        <v>50</v>
      </c>
      <c r="C377">
        <v>0</v>
      </c>
      <c r="F377">
        <v>0</v>
      </c>
    </row>
    <row r="378" spans="1:11" ht="13.95" customHeight="1">
      <c r="A378" t="s">
        <v>6577</v>
      </c>
      <c r="B378">
        <v>1</v>
      </c>
      <c r="C378">
        <v>0</v>
      </c>
      <c r="F378">
        <v>0</v>
      </c>
    </row>
    <row r="379" spans="1:11" ht="13.95" customHeight="1">
      <c r="A379" t="s">
        <v>6577</v>
      </c>
      <c r="B379">
        <v>2</v>
      </c>
      <c r="C379">
        <v>1.47</v>
      </c>
      <c r="F379">
        <v>1.5</v>
      </c>
      <c r="I379">
        <v>1.4817222206550544</v>
      </c>
    </row>
    <row r="380" spans="1:11" ht="13.95" customHeight="1">
      <c r="A380" t="s">
        <v>6577</v>
      </c>
      <c r="B380">
        <v>3</v>
      </c>
      <c r="D380">
        <v>0</v>
      </c>
      <c r="G380">
        <v>0</v>
      </c>
    </row>
    <row r="381" spans="1:11" ht="13.95" customHeight="1">
      <c r="A381" t="s">
        <v>6577</v>
      </c>
      <c r="B381">
        <v>4</v>
      </c>
      <c r="D381">
        <v>1.76</v>
      </c>
      <c r="G381">
        <v>6.37</v>
      </c>
      <c r="J381">
        <v>2.1413178672102142</v>
      </c>
    </row>
    <row r="382" spans="1:11" ht="13.95" customHeight="1">
      <c r="A382" t="s">
        <v>6577</v>
      </c>
      <c r="B382">
        <v>5</v>
      </c>
      <c r="E382">
        <v>0</v>
      </c>
      <c r="H382">
        <v>0</v>
      </c>
    </row>
    <row r="383" spans="1:11" ht="13.95" customHeight="1">
      <c r="A383" t="s">
        <v>6577</v>
      </c>
      <c r="B383">
        <v>6</v>
      </c>
      <c r="E383">
        <v>4.8899999999999997</v>
      </c>
      <c r="H383">
        <v>5.39</v>
      </c>
      <c r="K383">
        <v>5.1115465055897271</v>
      </c>
    </row>
    <row r="384" spans="1:11" ht="13.95" customHeight="1">
      <c r="A384" t="s">
        <v>6577</v>
      </c>
      <c r="B384">
        <v>7</v>
      </c>
      <c r="C384">
        <v>0</v>
      </c>
      <c r="F384">
        <v>0</v>
      </c>
    </row>
    <row r="385" spans="1:11" ht="13.95" customHeight="1">
      <c r="A385" t="s">
        <v>6577</v>
      </c>
      <c r="B385">
        <v>8</v>
      </c>
      <c r="C385">
        <v>3.07</v>
      </c>
      <c r="F385">
        <v>3.48</v>
      </c>
      <c r="I385">
        <v>3.3469574717223116</v>
      </c>
    </row>
    <row r="386" spans="1:11" ht="13.95" customHeight="1">
      <c r="A386" t="s">
        <v>6577</v>
      </c>
      <c r="B386">
        <v>9</v>
      </c>
      <c r="D386">
        <v>0</v>
      </c>
      <c r="G386">
        <v>0</v>
      </c>
    </row>
    <row r="387" spans="1:11" ht="13.95" customHeight="1">
      <c r="A387" t="s">
        <v>6577</v>
      </c>
      <c r="B387">
        <v>10</v>
      </c>
      <c r="D387">
        <v>6.91</v>
      </c>
      <c r="G387">
        <v>8.92</v>
      </c>
      <c r="J387">
        <v>7.6113859585830141</v>
      </c>
    </row>
    <row r="388" spans="1:11" ht="13.95" customHeight="1">
      <c r="A388" t="s">
        <v>6577</v>
      </c>
      <c r="B388">
        <v>11</v>
      </c>
      <c r="E388">
        <v>0</v>
      </c>
      <c r="H388">
        <v>0</v>
      </c>
    </row>
    <row r="389" spans="1:11" ht="13.95" customHeight="1">
      <c r="A389" t="s">
        <v>6577</v>
      </c>
      <c r="B389">
        <v>12</v>
      </c>
      <c r="E389">
        <v>8.85</v>
      </c>
      <c r="H389">
        <v>10.53</v>
      </c>
      <c r="K389">
        <v>9.4678261068513816</v>
      </c>
    </row>
    <row r="390" spans="1:11" ht="13.95" customHeight="1">
      <c r="A390" t="s">
        <v>6577</v>
      </c>
      <c r="B390">
        <v>13</v>
      </c>
      <c r="C390">
        <v>0</v>
      </c>
      <c r="F390">
        <v>0</v>
      </c>
    </row>
    <row r="391" spans="1:11" ht="13.95" customHeight="1">
      <c r="A391" t="s">
        <v>6577</v>
      </c>
      <c r="B391">
        <v>14</v>
      </c>
      <c r="C391">
        <v>6.03</v>
      </c>
      <c r="F391">
        <v>8.58</v>
      </c>
      <c r="I391">
        <v>7.0984734859865739</v>
      </c>
    </row>
    <row r="392" spans="1:11" ht="13.95" customHeight="1">
      <c r="A392" t="s">
        <v>6577</v>
      </c>
      <c r="B392">
        <v>15</v>
      </c>
      <c r="D392">
        <v>0</v>
      </c>
      <c r="G392">
        <v>0</v>
      </c>
    </row>
    <row r="393" spans="1:11" ht="13.95" customHeight="1">
      <c r="A393" t="s">
        <v>6577</v>
      </c>
      <c r="B393">
        <v>16</v>
      </c>
      <c r="D393">
        <v>4.72</v>
      </c>
      <c r="G393">
        <v>5.31</v>
      </c>
      <c r="J393">
        <v>4.9602064553655181</v>
      </c>
    </row>
    <row r="394" spans="1:11" ht="13.95" customHeight="1">
      <c r="A394" t="s">
        <v>6577</v>
      </c>
      <c r="B394">
        <v>17</v>
      </c>
      <c r="E394">
        <v>0</v>
      </c>
      <c r="H394">
        <v>0</v>
      </c>
    </row>
    <row r="395" spans="1:11" ht="13.95" customHeight="1">
      <c r="A395" t="s">
        <v>6577</v>
      </c>
      <c r="B395">
        <v>18</v>
      </c>
      <c r="E395">
        <v>0</v>
      </c>
      <c r="H395">
        <v>0</v>
      </c>
    </row>
    <row r="396" spans="1:11" ht="13.95" customHeight="1">
      <c r="A396" t="s">
        <v>6577</v>
      </c>
      <c r="B396">
        <v>19</v>
      </c>
      <c r="C396">
        <v>0</v>
      </c>
      <c r="F396">
        <v>0</v>
      </c>
    </row>
    <row r="397" spans="1:11" ht="13.95" customHeight="1">
      <c r="A397" t="s">
        <v>6577</v>
      </c>
      <c r="B397">
        <v>20</v>
      </c>
      <c r="C397">
        <v>0</v>
      </c>
      <c r="F397">
        <v>0</v>
      </c>
    </row>
    <row r="398" spans="1:11" ht="13.95" customHeight="1">
      <c r="A398" t="s">
        <v>6577</v>
      </c>
      <c r="B398">
        <v>21</v>
      </c>
      <c r="D398">
        <v>0</v>
      </c>
      <c r="G398">
        <v>0</v>
      </c>
    </row>
    <row r="399" spans="1:11" ht="13.95" customHeight="1">
      <c r="A399" t="s">
        <v>6577</v>
      </c>
      <c r="B399">
        <v>22</v>
      </c>
      <c r="D399">
        <v>0</v>
      </c>
      <c r="G399">
        <v>0</v>
      </c>
    </row>
    <row r="400" spans="1:11" ht="13.95" customHeight="1">
      <c r="A400" t="s">
        <v>6577</v>
      </c>
      <c r="B400">
        <v>23</v>
      </c>
      <c r="E400">
        <v>0</v>
      </c>
      <c r="H400">
        <v>0</v>
      </c>
    </row>
    <row r="401" spans="1:11" ht="13.95" customHeight="1">
      <c r="A401" t="s">
        <v>6577</v>
      </c>
      <c r="B401">
        <v>24</v>
      </c>
      <c r="E401">
        <v>0</v>
      </c>
      <c r="H401">
        <v>0</v>
      </c>
    </row>
    <row r="402" spans="1:11" ht="13.95" customHeight="1">
      <c r="A402" t="s">
        <v>6577</v>
      </c>
      <c r="B402">
        <v>25</v>
      </c>
      <c r="C402">
        <v>0</v>
      </c>
      <c r="F402">
        <v>2.4300000000000002</v>
      </c>
      <c r="I402">
        <v>2.1190707338801982</v>
      </c>
    </row>
    <row r="403" spans="1:11" ht="13.95" customHeight="1">
      <c r="A403" t="s">
        <v>6577</v>
      </c>
      <c r="B403">
        <v>26</v>
      </c>
      <c r="C403">
        <v>0</v>
      </c>
      <c r="F403">
        <v>0</v>
      </c>
    </row>
    <row r="404" spans="1:11" ht="13.95" customHeight="1">
      <c r="A404" t="s">
        <v>6577</v>
      </c>
      <c r="B404">
        <v>27</v>
      </c>
      <c r="D404">
        <v>1.33</v>
      </c>
      <c r="G404">
        <v>1.41</v>
      </c>
      <c r="J404">
        <v>1.34827116732848</v>
      </c>
    </row>
    <row r="405" spans="1:11" ht="13.95" customHeight="1">
      <c r="A405" t="s">
        <v>6577</v>
      </c>
      <c r="B405">
        <v>28</v>
      </c>
      <c r="D405">
        <v>0</v>
      </c>
      <c r="G405">
        <v>0</v>
      </c>
    </row>
    <row r="406" spans="1:11" ht="13.95" customHeight="1">
      <c r="A406" t="s">
        <v>6577</v>
      </c>
      <c r="B406">
        <v>29</v>
      </c>
      <c r="E406">
        <v>0</v>
      </c>
      <c r="H406">
        <v>0</v>
      </c>
    </row>
    <row r="407" spans="1:11" ht="13.95" customHeight="1">
      <c r="A407" t="s">
        <v>6577</v>
      </c>
      <c r="B407">
        <v>30</v>
      </c>
      <c r="E407">
        <v>3.15</v>
      </c>
      <c r="H407">
        <v>9.4499999999999993</v>
      </c>
      <c r="K407">
        <v>7.6026623552780954</v>
      </c>
    </row>
    <row r="408" spans="1:11" ht="13.95" customHeight="1">
      <c r="A408" t="s">
        <v>6577</v>
      </c>
      <c r="B408">
        <v>31</v>
      </c>
      <c r="C408">
        <v>0</v>
      </c>
      <c r="F408">
        <v>2.0499999999999998</v>
      </c>
      <c r="I408">
        <v>0.91738021845639894</v>
      </c>
    </row>
    <row r="409" spans="1:11" ht="13.95" customHeight="1">
      <c r="A409" t="s">
        <v>6577</v>
      </c>
      <c r="B409">
        <v>32</v>
      </c>
      <c r="C409">
        <v>0</v>
      </c>
      <c r="F409">
        <v>0</v>
      </c>
    </row>
    <row r="410" spans="1:11" ht="13.95" customHeight="1">
      <c r="A410" t="s">
        <v>6577</v>
      </c>
      <c r="B410">
        <v>33</v>
      </c>
      <c r="D410">
        <v>0</v>
      </c>
      <c r="G410">
        <v>2.1</v>
      </c>
      <c r="J410">
        <v>0.88842142173334537</v>
      </c>
    </row>
    <row r="411" spans="1:11" ht="13.95" customHeight="1">
      <c r="A411" t="s">
        <v>6577</v>
      </c>
      <c r="B411">
        <v>34</v>
      </c>
      <c r="D411">
        <v>0</v>
      </c>
      <c r="G411">
        <v>0</v>
      </c>
    </row>
    <row r="412" spans="1:11" ht="13.95" customHeight="1">
      <c r="A412" t="s">
        <v>6577</v>
      </c>
      <c r="B412">
        <v>35</v>
      </c>
      <c r="E412">
        <v>0</v>
      </c>
      <c r="H412">
        <v>0.97</v>
      </c>
      <c r="K412">
        <v>0.5877666162544426</v>
      </c>
    </row>
    <row r="413" spans="1:11" ht="13.95" customHeight="1">
      <c r="A413" t="s">
        <v>6577</v>
      </c>
      <c r="B413">
        <v>36</v>
      </c>
      <c r="E413">
        <v>1.1000000000000001</v>
      </c>
      <c r="H413">
        <v>2.2800000000000002</v>
      </c>
      <c r="K413">
        <v>1.3852848626177954</v>
      </c>
    </row>
    <row r="414" spans="1:11" ht="13.95" customHeight="1">
      <c r="A414" t="s">
        <v>6577</v>
      </c>
      <c r="B414">
        <v>37</v>
      </c>
      <c r="C414">
        <v>0</v>
      </c>
      <c r="F414">
        <v>0</v>
      </c>
    </row>
    <row r="415" spans="1:11" ht="13.95" customHeight="1">
      <c r="A415" t="s">
        <v>6577</v>
      </c>
      <c r="B415">
        <v>38</v>
      </c>
      <c r="C415">
        <v>0</v>
      </c>
      <c r="F415">
        <v>0</v>
      </c>
    </row>
    <row r="416" spans="1:11" ht="13.95" customHeight="1">
      <c r="A416" t="s">
        <v>6577</v>
      </c>
      <c r="B416">
        <v>39</v>
      </c>
      <c r="D416">
        <v>0</v>
      </c>
      <c r="G416">
        <v>0.33</v>
      </c>
      <c r="J416">
        <v>3.2295044001852732E-3</v>
      </c>
    </row>
    <row r="417" spans="1:11" ht="13.95" customHeight="1">
      <c r="A417" t="s">
        <v>6577</v>
      </c>
      <c r="B417">
        <v>40</v>
      </c>
      <c r="D417">
        <v>0</v>
      </c>
      <c r="G417">
        <v>0</v>
      </c>
    </row>
    <row r="418" spans="1:11" ht="13.95" customHeight="1">
      <c r="A418" t="s">
        <v>6577</v>
      </c>
      <c r="B418">
        <v>41</v>
      </c>
      <c r="E418">
        <v>0.48</v>
      </c>
      <c r="H418">
        <v>1.69</v>
      </c>
      <c r="K418">
        <v>0.62927207408446728</v>
      </c>
    </row>
    <row r="419" spans="1:11" ht="13.95" customHeight="1">
      <c r="A419" t="s">
        <v>6577</v>
      </c>
      <c r="B419">
        <v>42</v>
      </c>
      <c r="E419">
        <v>3.75</v>
      </c>
      <c r="H419">
        <v>4.62</v>
      </c>
      <c r="K419">
        <v>4.0808435834333832</v>
      </c>
    </row>
    <row r="420" spans="1:11" ht="13.95" customHeight="1">
      <c r="A420" t="s">
        <v>6577</v>
      </c>
      <c r="B420">
        <v>43</v>
      </c>
      <c r="C420">
        <v>3.52</v>
      </c>
      <c r="F420">
        <v>5.98</v>
      </c>
      <c r="I420">
        <v>4.4066720718272316</v>
      </c>
    </row>
    <row r="421" spans="1:11" ht="13.95" customHeight="1">
      <c r="A421" t="s">
        <v>6577</v>
      </c>
      <c r="B421">
        <v>44</v>
      </c>
      <c r="C421">
        <v>0</v>
      </c>
      <c r="F421">
        <v>0</v>
      </c>
    </row>
    <row r="422" spans="1:11" ht="13.95" customHeight="1">
      <c r="A422" t="s">
        <v>6577</v>
      </c>
      <c r="B422">
        <v>45</v>
      </c>
      <c r="D422">
        <v>0</v>
      </c>
      <c r="G422">
        <v>0</v>
      </c>
    </row>
    <row r="423" spans="1:11" ht="13.95" customHeight="1">
      <c r="A423" t="s">
        <v>6577</v>
      </c>
      <c r="B423">
        <v>46</v>
      </c>
      <c r="D423">
        <v>0</v>
      </c>
      <c r="G423">
        <v>0</v>
      </c>
    </row>
    <row r="424" spans="1:11" ht="13.95" customHeight="1">
      <c r="A424" t="s">
        <v>6577</v>
      </c>
      <c r="B424">
        <v>47</v>
      </c>
      <c r="E424">
        <v>0</v>
      </c>
      <c r="H424">
        <v>0</v>
      </c>
    </row>
    <row r="425" spans="1:11" ht="13.95" customHeight="1">
      <c r="A425" t="s">
        <v>6577</v>
      </c>
      <c r="B425">
        <v>48</v>
      </c>
      <c r="E425">
        <v>0</v>
      </c>
      <c r="H425">
        <v>0</v>
      </c>
    </row>
    <row r="426" spans="1:11" ht="13.95" customHeight="1">
      <c r="A426" t="s">
        <v>6577</v>
      </c>
      <c r="B426">
        <v>49</v>
      </c>
      <c r="C426">
        <v>0</v>
      </c>
      <c r="F426">
        <v>0</v>
      </c>
    </row>
    <row r="427" spans="1:11" ht="13.95" customHeight="1">
      <c r="A427" t="s">
        <v>6577</v>
      </c>
      <c r="B427">
        <v>50</v>
      </c>
      <c r="C427">
        <v>0</v>
      </c>
      <c r="F427">
        <v>0</v>
      </c>
    </row>
    <row r="428" spans="1:11" ht="13.95" customHeight="1">
      <c r="A428" t="s">
        <v>6578</v>
      </c>
      <c r="B428">
        <v>1</v>
      </c>
      <c r="C428">
        <v>2.87</v>
      </c>
      <c r="F428">
        <v>6</v>
      </c>
      <c r="I428">
        <v>4.0842316890055965</v>
      </c>
    </row>
    <row r="429" spans="1:11" ht="13.95" customHeight="1">
      <c r="A429" t="s">
        <v>6578</v>
      </c>
      <c r="B429">
        <v>2</v>
      </c>
      <c r="C429">
        <v>0</v>
      </c>
      <c r="F429">
        <v>0</v>
      </c>
    </row>
    <row r="430" spans="1:11" ht="13.95" customHeight="1">
      <c r="A430" t="s">
        <v>6578</v>
      </c>
      <c r="B430">
        <v>3</v>
      </c>
      <c r="D430">
        <v>2.39</v>
      </c>
      <c r="G430">
        <v>5.42</v>
      </c>
      <c r="J430">
        <v>3.5866528543501586</v>
      </c>
    </row>
    <row r="431" spans="1:11" ht="13.95" customHeight="1">
      <c r="A431" t="s">
        <v>6578</v>
      </c>
      <c r="B431">
        <v>4</v>
      </c>
      <c r="D431">
        <v>0</v>
      </c>
      <c r="G431">
        <v>0</v>
      </c>
    </row>
    <row r="432" spans="1:11" ht="13.95" customHeight="1">
      <c r="A432" t="s">
        <v>6578</v>
      </c>
      <c r="B432">
        <v>5</v>
      </c>
      <c r="E432">
        <v>0.79</v>
      </c>
      <c r="H432">
        <v>0.94</v>
      </c>
      <c r="K432">
        <v>0.85063347333836825</v>
      </c>
    </row>
    <row r="433" spans="1:11" ht="13.95" customHeight="1">
      <c r="A433" t="s">
        <v>6578</v>
      </c>
      <c r="B433">
        <v>6</v>
      </c>
      <c r="E433">
        <v>0</v>
      </c>
      <c r="H433">
        <v>0</v>
      </c>
    </row>
    <row r="434" spans="1:11" ht="13.95" customHeight="1">
      <c r="A434" t="s">
        <v>6578</v>
      </c>
      <c r="B434">
        <v>7</v>
      </c>
      <c r="C434">
        <v>3.7199999999999998</v>
      </c>
      <c r="F434">
        <v>4.1900000000000004</v>
      </c>
      <c r="I434">
        <v>3.8349062642387279</v>
      </c>
    </row>
    <row r="435" spans="1:11" ht="13.95" customHeight="1">
      <c r="A435" t="s">
        <v>6578</v>
      </c>
      <c r="B435">
        <v>8</v>
      </c>
      <c r="C435">
        <v>0</v>
      </c>
      <c r="F435">
        <v>0</v>
      </c>
    </row>
    <row r="436" spans="1:11" ht="13.95" customHeight="1">
      <c r="A436" t="s">
        <v>6578</v>
      </c>
      <c r="B436">
        <v>9</v>
      </c>
      <c r="D436">
        <v>2.77</v>
      </c>
      <c r="G436">
        <v>5.8</v>
      </c>
      <c r="J436">
        <v>3.6686498648601966</v>
      </c>
    </row>
    <row r="437" spans="1:11" ht="13.95" customHeight="1">
      <c r="A437" t="s">
        <v>6578</v>
      </c>
      <c r="B437">
        <v>10</v>
      </c>
      <c r="D437">
        <v>0</v>
      </c>
      <c r="G437">
        <v>0</v>
      </c>
    </row>
    <row r="438" spans="1:11" ht="13.95" customHeight="1">
      <c r="A438" t="s">
        <v>6578</v>
      </c>
      <c r="B438">
        <v>11</v>
      </c>
      <c r="E438">
        <v>1.21</v>
      </c>
      <c r="H438">
        <v>4.43</v>
      </c>
      <c r="K438">
        <v>2.6548652715644976</v>
      </c>
    </row>
    <row r="439" spans="1:11" ht="13.95" customHeight="1">
      <c r="A439" t="s">
        <v>6578</v>
      </c>
      <c r="B439">
        <v>12</v>
      </c>
      <c r="E439">
        <v>0</v>
      </c>
      <c r="H439">
        <v>0</v>
      </c>
    </row>
    <row r="440" spans="1:11" ht="13.95" customHeight="1">
      <c r="A440" t="s">
        <v>6578</v>
      </c>
      <c r="B440">
        <v>13</v>
      </c>
      <c r="C440">
        <v>3.21</v>
      </c>
      <c r="F440">
        <v>8.0399999999999991</v>
      </c>
      <c r="I440">
        <v>5.1517061714872527</v>
      </c>
    </row>
    <row r="441" spans="1:11" ht="13.95" customHeight="1">
      <c r="A441" t="s">
        <v>6578</v>
      </c>
      <c r="B441">
        <v>14</v>
      </c>
      <c r="C441">
        <v>0</v>
      </c>
      <c r="F441">
        <v>0</v>
      </c>
    </row>
    <row r="442" spans="1:11" ht="13.95" customHeight="1">
      <c r="A442" t="s">
        <v>6578</v>
      </c>
      <c r="B442">
        <v>15</v>
      </c>
      <c r="D442">
        <v>3.86</v>
      </c>
      <c r="G442">
        <v>4.33</v>
      </c>
      <c r="J442">
        <v>4.0146841238371511</v>
      </c>
    </row>
    <row r="443" spans="1:11" ht="13.95" customHeight="1">
      <c r="A443" t="s">
        <v>6578</v>
      </c>
      <c r="B443">
        <v>16</v>
      </c>
      <c r="D443">
        <v>0</v>
      </c>
      <c r="G443">
        <v>0</v>
      </c>
    </row>
    <row r="444" spans="1:11" ht="13.95" customHeight="1">
      <c r="A444" t="s">
        <v>6578</v>
      </c>
      <c r="B444">
        <v>17</v>
      </c>
      <c r="E444">
        <v>2.0299999999999998</v>
      </c>
      <c r="H444">
        <v>2.12</v>
      </c>
      <c r="K444">
        <v>2.0488606838761334</v>
      </c>
    </row>
    <row r="445" spans="1:11" ht="13.95" customHeight="1">
      <c r="A445" t="s">
        <v>6578</v>
      </c>
      <c r="B445">
        <v>18</v>
      </c>
      <c r="E445">
        <v>0</v>
      </c>
      <c r="H445">
        <v>0</v>
      </c>
    </row>
    <row r="446" spans="1:11" ht="13.95" customHeight="1">
      <c r="A446" t="s">
        <v>6578</v>
      </c>
      <c r="B446">
        <v>19</v>
      </c>
      <c r="C446">
        <v>0</v>
      </c>
      <c r="F446">
        <v>0</v>
      </c>
    </row>
    <row r="447" spans="1:11" ht="13.95" customHeight="1">
      <c r="A447" t="s">
        <v>6578</v>
      </c>
      <c r="B447">
        <v>20</v>
      </c>
      <c r="C447">
        <v>0</v>
      </c>
      <c r="F447">
        <v>0</v>
      </c>
    </row>
    <row r="448" spans="1:11" ht="13.95" customHeight="1">
      <c r="A448" t="s">
        <v>6578</v>
      </c>
      <c r="B448">
        <v>21</v>
      </c>
      <c r="D448">
        <v>0</v>
      </c>
      <c r="G448">
        <v>0</v>
      </c>
    </row>
    <row r="449" spans="1:8" ht="13.95" customHeight="1">
      <c r="A449" t="s">
        <v>6578</v>
      </c>
      <c r="B449">
        <v>22</v>
      </c>
      <c r="D449">
        <v>0</v>
      </c>
      <c r="G449">
        <v>0</v>
      </c>
    </row>
    <row r="450" spans="1:8" ht="13.95" customHeight="1">
      <c r="A450" t="s">
        <v>6578</v>
      </c>
      <c r="B450">
        <v>23</v>
      </c>
      <c r="E450">
        <v>0</v>
      </c>
      <c r="H450">
        <v>0</v>
      </c>
    </row>
    <row r="451" spans="1:8" ht="13.95" customHeight="1">
      <c r="A451" t="s">
        <v>6578</v>
      </c>
      <c r="B451">
        <v>24</v>
      </c>
      <c r="E451">
        <v>0</v>
      </c>
      <c r="H451">
        <v>0</v>
      </c>
    </row>
    <row r="452" spans="1:8" ht="13.95" customHeight="1">
      <c r="A452" t="s">
        <v>6578</v>
      </c>
      <c r="B452">
        <v>25</v>
      </c>
      <c r="C452">
        <v>0</v>
      </c>
      <c r="F452">
        <v>0</v>
      </c>
    </row>
    <row r="453" spans="1:8" ht="13.95" customHeight="1">
      <c r="A453" t="s">
        <v>6578</v>
      </c>
      <c r="B453">
        <v>26</v>
      </c>
      <c r="C453">
        <v>0</v>
      </c>
      <c r="F453">
        <v>0</v>
      </c>
    </row>
    <row r="454" spans="1:8" ht="13.95" customHeight="1">
      <c r="A454" t="s">
        <v>6578</v>
      </c>
      <c r="B454">
        <v>27</v>
      </c>
      <c r="D454">
        <v>0</v>
      </c>
      <c r="G454">
        <v>0</v>
      </c>
    </row>
    <row r="455" spans="1:8" ht="13.95" customHeight="1">
      <c r="A455" t="s">
        <v>6578</v>
      </c>
      <c r="B455">
        <v>28</v>
      </c>
      <c r="D455">
        <v>0</v>
      </c>
      <c r="G455">
        <v>0</v>
      </c>
    </row>
    <row r="456" spans="1:8" ht="13.95" customHeight="1">
      <c r="A456" t="s">
        <v>6578</v>
      </c>
      <c r="B456">
        <v>29</v>
      </c>
      <c r="E456">
        <v>0</v>
      </c>
      <c r="H456">
        <v>0</v>
      </c>
    </row>
    <row r="457" spans="1:8" ht="13.95" customHeight="1">
      <c r="A457" t="s">
        <v>6578</v>
      </c>
      <c r="B457">
        <v>30</v>
      </c>
      <c r="E457">
        <v>0</v>
      </c>
      <c r="H457">
        <v>0</v>
      </c>
    </row>
    <row r="458" spans="1:8" ht="13.95" customHeight="1">
      <c r="A458" t="s">
        <v>6578</v>
      </c>
      <c r="B458">
        <v>31</v>
      </c>
      <c r="C458">
        <v>0</v>
      </c>
      <c r="F458">
        <v>0</v>
      </c>
    </row>
    <row r="459" spans="1:8" ht="13.95" customHeight="1">
      <c r="A459" t="s">
        <v>6578</v>
      </c>
      <c r="B459">
        <v>32</v>
      </c>
      <c r="C459">
        <v>0</v>
      </c>
      <c r="F459">
        <v>0</v>
      </c>
    </row>
    <row r="460" spans="1:8" ht="13.95" customHeight="1">
      <c r="A460" t="s">
        <v>6578</v>
      </c>
      <c r="B460">
        <v>33</v>
      </c>
      <c r="D460">
        <v>0</v>
      </c>
      <c r="G460">
        <v>0</v>
      </c>
    </row>
    <row r="461" spans="1:8" ht="13.95" customHeight="1">
      <c r="A461" t="s">
        <v>6578</v>
      </c>
      <c r="B461">
        <v>34</v>
      </c>
      <c r="D461">
        <v>0</v>
      </c>
      <c r="G461">
        <v>0</v>
      </c>
    </row>
    <row r="462" spans="1:8" ht="13.95" customHeight="1">
      <c r="A462" t="s">
        <v>6578</v>
      </c>
      <c r="B462">
        <v>35</v>
      </c>
      <c r="E462">
        <v>0</v>
      </c>
      <c r="H462">
        <v>0</v>
      </c>
    </row>
    <row r="463" spans="1:8" ht="13.95" customHeight="1">
      <c r="A463" t="s">
        <v>6578</v>
      </c>
      <c r="B463">
        <v>36</v>
      </c>
      <c r="E463">
        <v>0</v>
      </c>
      <c r="H463">
        <v>0</v>
      </c>
    </row>
    <row r="464" spans="1:8" ht="13.95" customHeight="1">
      <c r="A464" t="s">
        <v>6578</v>
      </c>
      <c r="B464">
        <v>37</v>
      </c>
      <c r="C464">
        <v>0</v>
      </c>
      <c r="F464">
        <v>0</v>
      </c>
    </row>
    <row r="465" spans="1:10" ht="13.95" customHeight="1">
      <c r="A465" t="s">
        <v>6578</v>
      </c>
      <c r="B465">
        <v>38</v>
      </c>
      <c r="C465">
        <v>0</v>
      </c>
      <c r="F465">
        <v>0</v>
      </c>
    </row>
    <row r="466" spans="1:10" ht="13.95" customHeight="1">
      <c r="A466" t="s">
        <v>6578</v>
      </c>
      <c r="B466">
        <v>39</v>
      </c>
      <c r="D466">
        <v>0</v>
      </c>
      <c r="G466">
        <v>0</v>
      </c>
    </row>
    <row r="467" spans="1:10" ht="13.95" customHeight="1">
      <c r="A467" t="s">
        <v>6578</v>
      </c>
      <c r="B467">
        <v>40</v>
      </c>
      <c r="D467">
        <v>0</v>
      </c>
      <c r="G467">
        <v>0</v>
      </c>
    </row>
    <row r="468" spans="1:10" ht="13.95" customHeight="1">
      <c r="A468" t="s">
        <v>6578</v>
      </c>
      <c r="B468">
        <v>41</v>
      </c>
      <c r="E468">
        <v>0</v>
      </c>
      <c r="H468">
        <v>0</v>
      </c>
    </row>
    <row r="469" spans="1:10" ht="13.95" customHeight="1">
      <c r="A469" t="s">
        <v>6578</v>
      </c>
      <c r="B469">
        <v>42</v>
      </c>
      <c r="E469">
        <v>0</v>
      </c>
      <c r="H469">
        <v>0</v>
      </c>
    </row>
    <row r="470" spans="1:10" ht="13.95" customHeight="1">
      <c r="A470" t="s">
        <v>6578</v>
      </c>
      <c r="B470">
        <v>43</v>
      </c>
      <c r="C470">
        <v>0</v>
      </c>
      <c r="F470">
        <v>0</v>
      </c>
    </row>
    <row r="471" spans="1:10" ht="13.95" customHeight="1">
      <c r="A471" t="s">
        <v>6578</v>
      </c>
      <c r="B471">
        <v>44</v>
      </c>
      <c r="C471">
        <v>0</v>
      </c>
      <c r="F471">
        <v>0</v>
      </c>
    </row>
    <row r="472" spans="1:10" ht="13.95" customHeight="1">
      <c r="A472" t="s">
        <v>6578</v>
      </c>
      <c r="B472">
        <v>45</v>
      </c>
      <c r="D472">
        <v>0</v>
      </c>
      <c r="G472">
        <v>0</v>
      </c>
    </row>
    <row r="473" spans="1:10" ht="13.95" customHeight="1">
      <c r="A473" t="s">
        <v>6578</v>
      </c>
      <c r="B473">
        <v>46</v>
      </c>
      <c r="D473">
        <v>0</v>
      </c>
      <c r="G473">
        <v>0</v>
      </c>
    </row>
    <row r="474" spans="1:10" ht="13.95" customHeight="1">
      <c r="A474" t="s">
        <v>6578</v>
      </c>
      <c r="B474">
        <v>47</v>
      </c>
      <c r="E474">
        <v>0</v>
      </c>
      <c r="H474">
        <v>0</v>
      </c>
    </row>
    <row r="475" spans="1:10" ht="13.95" customHeight="1">
      <c r="A475" t="s">
        <v>6578</v>
      </c>
      <c r="B475">
        <v>48</v>
      </c>
      <c r="E475">
        <v>0</v>
      </c>
      <c r="H475">
        <v>0</v>
      </c>
    </row>
    <row r="476" spans="1:10" ht="13.95" customHeight="1">
      <c r="A476" t="s">
        <v>6578</v>
      </c>
      <c r="B476">
        <v>49</v>
      </c>
      <c r="C476">
        <v>0</v>
      </c>
      <c r="F476">
        <v>0</v>
      </c>
    </row>
    <row r="477" spans="1:10" ht="13.95" customHeight="1">
      <c r="A477" t="s">
        <v>6578</v>
      </c>
      <c r="B477">
        <v>50</v>
      </c>
      <c r="C477">
        <v>0</v>
      </c>
      <c r="F477">
        <v>0</v>
      </c>
    </row>
    <row r="478" spans="1:10" ht="13.95" customHeight="1">
      <c r="A478" t="s">
        <v>6579</v>
      </c>
      <c r="B478">
        <v>1</v>
      </c>
      <c r="C478">
        <v>2.17</v>
      </c>
      <c r="F478">
        <v>4.6399999999999997</v>
      </c>
      <c r="I478">
        <v>2.7814872227447767</v>
      </c>
    </row>
    <row r="479" spans="1:10" ht="13.95" customHeight="1">
      <c r="A479" t="s">
        <v>6579</v>
      </c>
      <c r="B479">
        <v>2</v>
      </c>
      <c r="C479">
        <v>0</v>
      </c>
      <c r="F479">
        <v>0</v>
      </c>
    </row>
    <row r="480" spans="1:10" ht="13.95" customHeight="1">
      <c r="A480" t="s">
        <v>6579</v>
      </c>
      <c r="B480">
        <v>3</v>
      </c>
      <c r="D480">
        <v>2.83</v>
      </c>
      <c r="G480">
        <v>5.79</v>
      </c>
      <c r="J480">
        <v>3.9878353018604873</v>
      </c>
    </row>
    <row r="481" spans="1:11" ht="13.95" customHeight="1">
      <c r="A481" t="s">
        <v>6579</v>
      </c>
      <c r="B481">
        <v>4</v>
      </c>
      <c r="D481">
        <v>0</v>
      </c>
      <c r="G481">
        <v>0</v>
      </c>
    </row>
    <row r="482" spans="1:11" ht="13.95" customHeight="1">
      <c r="A482" t="s">
        <v>6579</v>
      </c>
      <c r="B482">
        <v>5</v>
      </c>
      <c r="E482">
        <v>0.83</v>
      </c>
      <c r="H482">
        <v>1</v>
      </c>
      <c r="K482">
        <v>0.90241793388198133</v>
      </c>
    </row>
    <row r="483" spans="1:11" ht="13.95" customHeight="1">
      <c r="A483" t="s">
        <v>6579</v>
      </c>
      <c r="B483">
        <v>6</v>
      </c>
      <c r="E483">
        <v>0</v>
      </c>
      <c r="H483">
        <v>0</v>
      </c>
    </row>
    <row r="484" spans="1:11" ht="13.95" customHeight="1">
      <c r="A484" t="s">
        <v>6579</v>
      </c>
      <c r="B484">
        <v>7</v>
      </c>
      <c r="C484">
        <v>3.96</v>
      </c>
      <c r="F484">
        <v>4.41</v>
      </c>
      <c r="I484">
        <v>4.0590110565892816</v>
      </c>
    </row>
    <row r="485" spans="1:11" ht="13.95" customHeight="1">
      <c r="A485" t="s">
        <v>6579</v>
      </c>
      <c r="B485">
        <v>8</v>
      </c>
      <c r="C485">
        <v>0</v>
      </c>
      <c r="F485">
        <v>0</v>
      </c>
    </row>
    <row r="486" spans="1:11" ht="13.95" customHeight="1">
      <c r="A486" t="s">
        <v>6579</v>
      </c>
      <c r="B486">
        <v>9</v>
      </c>
      <c r="D486">
        <v>3.24</v>
      </c>
      <c r="G486">
        <v>6.13</v>
      </c>
      <c r="J486">
        <v>4.0910225401620126</v>
      </c>
    </row>
    <row r="487" spans="1:11" ht="13.95" customHeight="1">
      <c r="A487" t="s">
        <v>6579</v>
      </c>
      <c r="B487">
        <v>10</v>
      </c>
      <c r="D487">
        <v>0</v>
      </c>
      <c r="G487">
        <v>0</v>
      </c>
    </row>
    <row r="488" spans="1:11" ht="13.95" customHeight="1">
      <c r="A488" t="s">
        <v>6579</v>
      </c>
      <c r="B488">
        <v>11</v>
      </c>
      <c r="E488">
        <v>1.8599999999999999</v>
      </c>
      <c r="H488">
        <v>5.57</v>
      </c>
      <c r="K488">
        <v>3.6434178727491737</v>
      </c>
    </row>
    <row r="489" spans="1:11" ht="13.95" customHeight="1">
      <c r="A489" t="s">
        <v>6579</v>
      </c>
      <c r="B489">
        <v>12</v>
      </c>
      <c r="E489">
        <v>0</v>
      </c>
      <c r="H489">
        <v>0</v>
      </c>
    </row>
    <row r="490" spans="1:11" ht="13.95" customHeight="1">
      <c r="A490" t="s">
        <v>6579</v>
      </c>
      <c r="B490">
        <v>13</v>
      </c>
      <c r="C490">
        <v>1.55</v>
      </c>
      <c r="F490">
        <v>5.95</v>
      </c>
      <c r="I490">
        <v>3.2364453684540089</v>
      </c>
    </row>
    <row r="491" spans="1:11" ht="13.95" customHeight="1">
      <c r="A491" t="s">
        <v>6579</v>
      </c>
      <c r="B491">
        <v>14</v>
      </c>
      <c r="C491">
        <v>0</v>
      </c>
      <c r="F491">
        <v>0</v>
      </c>
    </row>
    <row r="492" spans="1:11" ht="13.95" customHeight="1">
      <c r="A492" t="s">
        <v>6579</v>
      </c>
      <c r="B492">
        <v>15</v>
      </c>
      <c r="D492">
        <v>3.59</v>
      </c>
      <c r="G492">
        <v>4</v>
      </c>
      <c r="J492">
        <v>3.728189114119739</v>
      </c>
    </row>
    <row r="493" spans="1:11" ht="13.95" customHeight="1">
      <c r="A493" t="s">
        <v>6579</v>
      </c>
      <c r="B493">
        <v>16</v>
      </c>
      <c r="D493">
        <v>0</v>
      </c>
      <c r="G493">
        <v>0</v>
      </c>
    </row>
    <row r="494" spans="1:11" ht="13.95" customHeight="1">
      <c r="A494" t="s">
        <v>6579</v>
      </c>
      <c r="B494">
        <v>17</v>
      </c>
      <c r="E494">
        <v>1.8</v>
      </c>
      <c r="H494">
        <v>1.92</v>
      </c>
      <c r="K494">
        <v>1.8489174138686117</v>
      </c>
    </row>
    <row r="495" spans="1:11" ht="13.95" customHeight="1">
      <c r="A495" t="s">
        <v>6579</v>
      </c>
      <c r="B495">
        <v>18</v>
      </c>
      <c r="E495">
        <v>0</v>
      </c>
      <c r="H495">
        <v>0</v>
      </c>
    </row>
    <row r="496" spans="1:11" ht="13.95" customHeight="1">
      <c r="A496" t="s">
        <v>6579</v>
      </c>
      <c r="B496">
        <v>19</v>
      </c>
      <c r="C496">
        <v>0</v>
      </c>
      <c r="F496">
        <v>0</v>
      </c>
    </row>
    <row r="497" spans="1:8" ht="13.95" customHeight="1">
      <c r="A497" t="s">
        <v>6579</v>
      </c>
      <c r="B497">
        <v>20</v>
      </c>
      <c r="C497">
        <v>0</v>
      </c>
      <c r="F497">
        <v>0</v>
      </c>
    </row>
    <row r="498" spans="1:8" ht="13.95" customHeight="1">
      <c r="A498" t="s">
        <v>6579</v>
      </c>
      <c r="B498">
        <v>21</v>
      </c>
      <c r="D498">
        <v>0</v>
      </c>
      <c r="G498">
        <v>0</v>
      </c>
    </row>
    <row r="499" spans="1:8" ht="13.95" customHeight="1">
      <c r="A499" t="s">
        <v>6579</v>
      </c>
      <c r="B499">
        <v>22</v>
      </c>
      <c r="D499">
        <v>0</v>
      </c>
      <c r="G499">
        <v>0</v>
      </c>
    </row>
    <row r="500" spans="1:8" ht="13.95" customHeight="1">
      <c r="A500" t="s">
        <v>6579</v>
      </c>
      <c r="B500">
        <v>23</v>
      </c>
      <c r="E500">
        <v>0</v>
      </c>
      <c r="H500">
        <v>0</v>
      </c>
    </row>
    <row r="501" spans="1:8" ht="13.95" customHeight="1">
      <c r="A501" t="s">
        <v>6579</v>
      </c>
      <c r="B501">
        <v>24</v>
      </c>
      <c r="E501">
        <v>0</v>
      </c>
      <c r="H501">
        <v>0</v>
      </c>
    </row>
    <row r="502" spans="1:8" ht="13.95" customHeight="1">
      <c r="A502" t="s">
        <v>6579</v>
      </c>
      <c r="B502">
        <v>25</v>
      </c>
      <c r="C502">
        <v>0</v>
      </c>
      <c r="F502">
        <v>0</v>
      </c>
    </row>
    <row r="503" spans="1:8" ht="13.95" customHeight="1">
      <c r="A503" t="s">
        <v>6579</v>
      </c>
      <c r="B503">
        <v>26</v>
      </c>
      <c r="C503">
        <v>0</v>
      </c>
      <c r="F503">
        <v>0</v>
      </c>
    </row>
    <row r="504" spans="1:8" ht="13.95" customHeight="1">
      <c r="A504" t="s">
        <v>6579</v>
      </c>
      <c r="B504">
        <v>27</v>
      </c>
      <c r="D504">
        <v>0</v>
      </c>
      <c r="G504">
        <v>0</v>
      </c>
    </row>
    <row r="505" spans="1:8" ht="13.95" customHeight="1">
      <c r="A505" t="s">
        <v>6579</v>
      </c>
      <c r="B505">
        <v>28</v>
      </c>
      <c r="D505">
        <v>0</v>
      </c>
      <c r="G505">
        <v>0</v>
      </c>
    </row>
    <row r="506" spans="1:8" ht="13.95" customHeight="1">
      <c r="A506" t="s">
        <v>6579</v>
      </c>
      <c r="B506">
        <v>29</v>
      </c>
      <c r="E506">
        <v>0</v>
      </c>
      <c r="H506">
        <v>0</v>
      </c>
    </row>
    <row r="507" spans="1:8" ht="13.95" customHeight="1">
      <c r="A507" t="s">
        <v>6579</v>
      </c>
      <c r="B507">
        <v>30</v>
      </c>
      <c r="E507">
        <v>0</v>
      </c>
      <c r="H507">
        <v>0</v>
      </c>
    </row>
    <row r="508" spans="1:8" ht="13.95" customHeight="1">
      <c r="A508" t="s">
        <v>6579</v>
      </c>
      <c r="B508">
        <v>31</v>
      </c>
      <c r="C508">
        <v>0</v>
      </c>
      <c r="F508">
        <v>0</v>
      </c>
    </row>
    <row r="509" spans="1:8" ht="13.95" customHeight="1">
      <c r="A509" t="s">
        <v>6579</v>
      </c>
      <c r="B509">
        <v>32</v>
      </c>
      <c r="C509">
        <v>0</v>
      </c>
      <c r="F509">
        <v>0</v>
      </c>
    </row>
    <row r="510" spans="1:8" ht="13.95" customHeight="1">
      <c r="A510" t="s">
        <v>6579</v>
      </c>
      <c r="B510">
        <v>33</v>
      </c>
      <c r="D510">
        <v>0</v>
      </c>
      <c r="G510">
        <v>0</v>
      </c>
    </row>
    <row r="511" spans="1:8" ht="13.95" customHeight="1">
      <c r="A511" t="s">
        <v>6579</v>
      </c>
      <c r="B511">
        <v>34</v>
      </c>
      <c r="D511">
        <v>0</v>
      </c>
      <c r="G511">
        <v>0</v>
      </c>
    </row>
    <row r="512" spans="1:8" ht="13.95" customHeight="1">
      <c r="A512" t="s">
        <v>6579</v>
      </c>
      <c r="B512">
        <v>35</v>
      </c>
      <c r="E512">
        <v>0</v>
      </c>
      <c r="H512">
        <v>0</v>
      </c>
    </row>
    <row r="513" spans="1:8" ht="13.95" customHeight="1">
      <c r="A513" t="s">
        <v>6579</v>
      </c>
      <c r="B513">
        <v>36</v>
      </c>
      <c r="E513">
        <v>0</v>
      </c>
      <c r="H513">
        <v>0</v>
      </c>
    </row>
    <row r="514" spans="1:8" ht="13.95" customHeight="1">
      <c r="A514" t="s">
        <v>6579</v>
      </c>
      <c r="B514">
        <v>37</v>
      </c>
      <c r="C514">
        <v>0</v>
      </c>
      <c r="F514">
        <v>0</v>
      </c>
    </row>
    <row r="515" spans="1:8" ht="13.95" customHeight="1">
      <c r="A515" t="s">
        <v>6579</v>
      </c>
      <c r="B515">
        <v>38</v>
      </c>
      <c r="C515">
        <v>0</v>
      </c>
      <c r="F515">
        <v>0</v>
      </c>
    </row>
    <row r="516" spans="1:8" ht="13.95" customHeight="1">
      <c r="A516" t="s">
        <v>6579</v>
      </c>
      <c r="B516">
        <v>39</v>
      </c>
      <c r="D516">
        <v>0</v>
      </c>
      <c r="G516">
        <v>0</v>
      </c>
    </row>
    <row r="517" spans="1:8" ht="13.95" customHeight="1">
      <c r="A517" t="s">
        <v>6579</v>
      </c>
      <c r="B517">
        <v>40</v>
      </c>
      <c r="D517">
        <v>0</v>
      </c>
      <c r="G517">
        <v>0</v>
      </c>
    </row>
    <row r="518" spans="1:8" ht="13.95" customHeight="1">
      <c r="A518" t="s">
        <v>6579</v>
      </c>
      <c r="B518">
        <v>41</v>
      </c>
      <c r="E518">
        <v>0</v>
      </c>
      <c r="H518">
        <v>0</v>
      </c>
    </row>
    <row r="519" spans="1:8" ht="13.95" customHeight="1">
      <c r="A519" t="s">
        <v>6579</v>
      </c>
      <c r="B519">
        <v>42</v>
      </c>
      <c r="E519">
        <v>0</v>
      </c>
      <c r="H519">
        <v>0</v>
      </c>
    </row>
    <row r="520" spans="1:8" ht="13.95" customHeight="1">
      <c r="A520" t="s">
        <v>6579</v>
      </c>
      <c r="B520">
        <v>43</v>
      </c>
      <c r="C520">
        <v>0</v>
      </c>
      <c r="F520">
        <v>0</v>
      </c>
    </row>
    <row r="521" spans="1:8" ht="13.95" customHeight="1">
      <c r="A521" t="s">
        <v>6579</v>
      </c>
      <c r="B521">
        <v>44</v>
      </c>
      <c r="C521">
        <v>0</v>
      </c>
      <c r="F521">
        <v>0</v>
      </c>
    </row>
    <row r="522" spans="1:8" ht="13.95" customHeight="1">
      <c r="A522" t="s">
        <v>6579</v>
      </c>
      <c r="B522">
        <v>45</v>
      </c>
      <c r="D522">
        <v>0</v>
      </c>
      <c r="G522">
        <v>0</v>
      </c>
    </row>
    <row r="523" spans="1:8" ht="13.95" customHeight="1">
      <c r="A523" t="s">
        <v>6579</v>
      </c>
      <c r="B523">
        <v>46</v>
      </c>
      <c r="D523">
        <v>0</v>
      </c>
      <c r="G523">
        <v>0</v>
      </c>
    </row>
    <row r="524" spans="1:8" ht="13.95" customHeight="1">
      <c r="A524" t="s">
        <v>6579</v>
      </c>
      <c r="B524">
        <v>47</v>
      </c>
      <c r="E524">
        <v>0</v>
      </c>
      <c r="H524">
        <v>0</v>
      </c>
    </row>
    <row r="525" spans="1:8" ht="13.95" customHeight="1">
      <c r="A525" t="s">
        <v>6579</v>
      </c>
      <c r="B525">
        <v>48</v>
      </c>
      <c r="E525">
        <v>0</v>
      </c>
      <c r="H525">
        <v>0</v>
      </c>
    </row>
    <row r="526" spans="1:8" ht="13.95" customHeight="1">
      <c r="A526" t="s">
        <v>6579</v>
      </c>
      <c r="B526">
        <v>49</v>
      </c>
      <c r="C526">
        <v>0</v>
      </c>
      <c r="F526">
        <v>0</v>
      </c>
    </row>
    <row r="527" spans="1:8" ht="13.95" customHeight="1">
      <c r="A527" t="s">
        <v>6579</v>
      </c>
      <c r="B527">
        <v>50</v>
      </c>
      <c r="C527">
        <v>0</v>
      </c>
      <c r="F527">
        <v>0</v>
      </c>
    </row>
    <row r="528" spans="1:8" ht="13.95" customHeight="1">
      <c r="A528" t="s">
        <v>6580</v>
      </c>
      <c r="B528">
        <v>1</v>
      </c>
      <c r="D528">
        <v>0</v>
      </c>
      <c r="G528">
        <v>0</v>
      </c>
    </row>
    <row r="529" spans="1:11" ht="13.95" customHeight="1">
      <c r="A529" t="s">
        <v>6580</v>
      </c>
      <c r="B529">
        <v>2</v>
      </c>
      <c r="D529">
        <v>10.31</v>
      </c>
      <c r="G529">
        <v>13.51</v>
      </c>
      <c r="J529">
        <v>11.329137315667632</v>
      </c>
    </row>
    <row r="530" spans="1:11" ht="13.95" customHeight="1">
      <c r="A530" t="s">
        <v>6580</v>
      </c>
      <c r="B530">
        <v>3</v>
      </c>
      <c r="E530">
        <v>0</v>
      </c>
      <c r="H530">
        <v>0</v>
      </c>
    </row>
    <row r="531" spans="1:11" ht="13.95" customHeight="1">
      <c r="A531" t="s">
        <v>6580</v>
      </c>
      <c r="B531">
        <v>4</v>
      </c>
      <c r="E531">
        <v>4.99</v>
      </c>
      <c r="H531">
        <v>5.63</v>
      </c>
      <c r="K531">
        <v>5.2061795571902696</v>
      </c>
    </row>
    <row r="532" spans="1:11" ht="13.95" customHeight="1">
      <c r="A532" t="s">
        <v>6580</v>
      </c>
      <c r="B532">
        <v>5</v>
      </c>
      <c r="C532">
        <v>0</v>
      </c>
      <c r="F532">
        <v>0</v>
      </c>
    </row>
    <row r="533" spans="1:11" ht="13.95" customHeight="1">
      <c r="A533" t="s">
        <v>6580</v>
      </c>
      <c r="B533">
        <v>6</v>
      </c>
      <c r="C533">
        <v>0.7</v>
      </c>
      <c r="F533">
        <v>0.74</v>
      </c>
      <c r="I533">
        <v>0.70999772128000382</v>
      </c>
    </row>
    <row r="534" spans="1:11" ht="13.95" customHeight="1">
      <c r="A534" t="s">
        <v>6580</v>
      </c>
      <c r="B534">
        <v>7</v>
      </c>
      <c r="D534">
        <v>0</v>
      </c>
      <c r="G534">
        <v>0</v>
      </c>
    </row>
    <row r="535" spans="1:11" ht="13.95" customHeight="1">
      <c r="A535" t="s">
        <v>6580</v>
      </c>
      <c r="B535">
        <v>8</v>
      </c>
      <c r="D535">
        <v>2.39</v>
      </c>
      <c r="G535">
        <v>3.91</v>
      </c>
      <c r="J535">
        <v>2.7207597848170479</v>
      </c>
    </row>
    <row r="536" spans="1:11" ht="13.95" customHeight="1">
      <c r="A536" t="s">
        <v>6580</v>
      </c>
      <c r="B536">
        <v>9</v>
      </c>
      <c r="E536">
        <v>0</v>
      </c>
      <c r="H536">
        <v>0</v>
      </c>
    </row>
    <row r="537" spans="1:11" ht="13.95" customHeight="1">
      <c r="A537" t="s">
        <v>6580</v>
      </c>
      <c r="B537">
        <v>10</v>
      </c>
      <c r="E537">
        <v>0.81</v>
      </c>
      <c r="H537">
        <v>1.07</v>
      </c>
      <c r="K537">
        <v>0.93687903773007764</v>
      </c>
    </row>
    <row r="538" spans="1:11" ht="13.95" customHeight="1">
      <c r="A538" t="s">
        <v>6580</v>
      </c>
      <c r="B538">
        <v>11</v>
      </c>
      <c r="C538">
        <v>1.72</v>
      </c>
      <c r="F538">
        <v>1.79</v>
      </c>
      <c r="I538">
        <v>1.7388186341179437</v>
      </c>
    </row>
    <row r="539" spans="1:11" ht="13.95" customHeight="1">
      <c r="A539" t="s">
        <v>6580</v>
      </c>
      <c r="B539">
        <v>12</v>
      </c>
      <c r="C539">
        <v>1.37</v>
      </c>
      <c r="F539">
        <v>1.49</v>
      </c>
      <c r="I539">
        <v>1.4112190357894554</v>
      </c>
    </row>
    <row r="540" spans="1:11" ht="13.95" customHeight="1">
      <c r="A540" t="s">
        <v>6580</v>
      </c>
      <c r="B540">
        <v>13</v>
      </c>
      <c r="D540">
        <v>1.99</v>
      </c>
      <c r="G540">
        <v>2.16</v>
      </c>
      <c r="J540">
        <v>2.0229384878133119</v>
      </c>
    </row>
    <row r="541" spans="1:11" ht="13.95" customHeight="1">
      <c r="A541" t="s">
        <v>6580</v>
      </c>
      <c r="B541">
        <v>14</v>
      </c>
      <c r="D541">
        <v>4.7300000000000004</v>
      </c>
      <c r="G541">
        <v>5.83</v>
      </c>
      <c r="J541">
        <v>4.9087091875543019</v>
      </c>
    </row>
    <row r="542" spans="1:11" ht="13.95" customHeight="1">
      <c r="A542" t="s">
        <v>6580</v>
      </c>
      <c r="B542">
        <v>15</v>
      </c>
      <c r="E542">
        <v>3.54</v>
      </c>
      <c r="H542">
        <v>3.96</v>
      </c>
      <c r="K542">
        <v>3.6935591522599558</v>
      </c>
    </row>
    <row r="543" spans="1:11" ht="13.95" customHeight="1">
      <c r="A543" t="s">
        <v>6580</v>
      </c>
      <c r="B543">
        <v>16</v>
      </c>
      <c r="E543">
        <v>3.19</v>
      </c>
      <c r="H543">
        <v>3.77</v>
      </c>
      <c r="K543">
        <v>3.3895303154103433</v>
      </c>
    </row>
    <row r="544" spans="1:11" ht="13.95" customHeight="1">
      <c r="A544" t="s">
        <v>6580</v>
      </c>
      <c r="B544">
        <v>17</v>
      </c>
      <c r="C544">
        <v>0.86</v>
      </c>
      <c r="F544">
        <v>1.08</v>
      </c>
      <c r="I544">
        <v>0.95769201985736296</v>
      </c>
    </row>
    <row r="545" spans="1:11" ht="13.95" customHeight="1">
      <c r="A545" t="s">
        <v>6580</v>
      </c>
      <c r="B545">
        <v>18</v>
      </c>
      <c r="C545">
        <v>0</v>
      </c>
      <c r="F545">
        <v>0</v>
      </c>
    </row>
    <row r="546" spans="1:11" ht="13.95" customHeight="1">
      <c r="A546" t="s">
        <v>6580</v>
      </c>
      <c r="B546">
        <v>19</v>
      </c>
      <c r="D546">
        <v>0</v>
      </c>
      <c r="G546">
        <v>0</v>
      </c>
    </row>
    <row r="547" spans="1:11" ht="13.95" customHeight="1">
      <c r="A547" t="s">
        <v>6580</v>
      </c>
      <c r="B547">
        <v>20</v>
      </c>
      <c r="D547">
        <v>0</v>
      </c>
      <c r="G547">
        <v>0</v>
      </c>
    </row>
    <row r="548" spans="1:11" ht="13.95" customHeight="1">
      <c r="A548" t="s">
        <v>6580</v>
      </c>
      <c r="B548">
        <v>21</v>
      </c>
      <c r="E548">
        <v>0</v>
      </c>
      <c r="H548">
        <v>0</v>
      </c>
    </row>
    <row r="549" spans="1:11" ht="13.95" customHeight="1">
      <c r="A549" t="s">
        <v>6580</v>
      </c>
      <c r="B549">
        <v>22</v>
      </c>
      <c r="E549">
        <v>0</v>
      </c>
      <c r="H549">
        <v>0</v>
      </c>
    </row>
    <row r="550" spans="1:11" ht="13.95" customHeight="1">
      <c r="A550" t="s">
        <v>6580</v>
      </c>
      <c r="B550">
        <v>23</v>
      </c>
      <c r="C550">
        <v>0</v>
      </c>
      <c r="F550">
        <v>0</v>
      </c>
    </row>
    <row r="551" spans="1:11" ht="13.95" customHeight="1">
      <c r="A551" t="s">
        <v>6580</v>
      </c>
      <c r="B551">
        <v>24</v>
      </c>
      <c r="C551">
        <v>0</v>
      </c>
      <c r="F551">
        <v>0</v>
      </c>
    </row>
    <row r="552" spans="1:11" ht="13.95" customHeight="1">
      <c r="A552" t="s">
        <v>6580</v>
      </c>
      <c r="B552">
        <v>25</v>
      </c>
      <c r="D552">
        <v>2.33</v>
      </c>
      <c r="G552">
        <v>11.44</v>
      </c>
      <c r="J552">
        <v>3.7953206579113719</v>
      </c>
    </row>
    <row r="553" spans="1:11" ht="13.95" customHeight="1">
      <c r="A553" t="s">
        <v>6580</v>
      </c>
      <c r="B553">
        <v>26</v>
      </c>
      <c r="D553">
        <v>0</v>
      </c>
      <c r="G553">
        <v>0</v>
      </c>
    </row>
    <row r="554" spans="1:11" ht="13.95" customHeight="1">
      <c r="A554" t="s">
        <v>6580</v>
      </c>
      <c r="B554">
        <v>27</v>
      </c>
      <c r="E554">
        <v>2.04</v>
      </c>
      <c r="H554">
        <v>5.79</v>
      </c>
      <c r="K554">
        <v>3.4970415168697202</v>
      </c>
    </row>
    <row r="555" spans="1:11" ht="13.95" customHeight="1">
      <c r="A555" t="s">
        <v>6580</v>
      </c>
      <c r="B555">
        <v>28</v>
      </c>
      <c r="E555">
        <v>0</v>
      </c>
      <c r="H555">
        <v>0</v>
      </c>
    </row>
    <row r="556" spans="1:11" ht="13.95" customHeight="1">
      <c r="A556" t="s">
        <v>6580</v>
      </c>
      <c r="B556">
        <v>29</v>
      </c>
      <c r="C556">
        <v>0</v>
      </c>
      <c r="F556">
        <v>0</v>
      </c>
    </row>
    <row r="557" spans="1:11" ht="13.95" customHeight="1">
      <c r="A557" t="s">
        <v>6580</v>
      </c>
      <c r="B557">
        <v>30</v>
      </c>
      <c r="C557">
        <v>0</v>
      </c>
      <c r="F557">
        <v>0</v>
      </c>
    </row>
    <row r="558" spans="1:11" ht="13.95" customHeight="1">
      <c r="A558" t="s">
        <v>6580</v>
      </c>
      <c r="B558">
        <v>31</v>
      </c>
      <c r="D558">
        <v>1.52</v>
      </c>
      <c r="G558">
        <v>1.63</v>
      </c>
      <c r="J558">
        <v>1.5430171457024271</v>
      </c>
    </row>
    <row r="559" spans="1:11" ht="13.95" customHeight="1">
      <c r="A559" t="s">
        <v>6580</v>
      </c>
      <c r="B559">
        <v>32</v>
      </c>
      <c r="D559">
        <v>0</v>
      </c>
      <c r="G559">
        <v>0</v>
      </c>
    </row>
    <row r="560" spans="1:11" ht="13.95" customHeight="1">
      <c r="A560" t="s">
        <v>6580</v>
      </c>
      <c r="B560">
        <v>33</v>
      </c>
      <c r="E560">
        <v>1.1100000000000001</v>
      </c>
      <c r="H560">
        <v>1.1400000000000001</v>
      </c>
      <c r="K560">
        <v>1.1200460312576623</v>
      </c>
    </row>
    <row r="561" spans="1:11" ht="13.95" customHeight="1">
      <c r="A561" t="s">
        <v>6580</v>
      </c>
      <c r="B561">
        <v>34</v>
      </c>
      <c r="E561">
        <v>0</v>
      </c>
      <c r="H561">
        <v>0</v>
      </c>
    </row>
    <row r="562" spans="1:11" ht="13.95" customHeight="1">
      <c r="A562" t="s">
        <v>6580</v>
      </c>
      <c r="B562">
        <v>35</v>
      </c>
      <c r="C562">
        <v>0.67</v>
      </c>
      <c r="F562">
        <v>0.68</v>
      </c>
      <c r="I562">
        <v>0.67999025717570161</v>
      </c>
    </row>
    <row r="563" spans="1:11" ht="13.95" customHeight="1">
      <c r="A563" t="s">
        <v>6580</v>
      </c>
      <c r="B563">
        <v>36</v>
      </c>
      <c r="C563">
        <v>0</v>
      </c>
      <c r="F563">
        <v>0</v>
      </c>
    </row>
    <row r="564" spans="1:11" ht="13.95" customHeight="1">
      <c r="A564" t="s">
        <v>6580</v>
      </c>
      <c r="B564">
        <v>37</v>
      </c>
      <c r="D564">
        <v>2.0099999999999998</v>
      </c>
      <c r="G564">
        <v>7.89</v>
      </c>
      <c r="J564">
        <v>4.9327373940309363</v>
      </c>
    </row>
    <row r="565" spans="1:11" ht="13.95" customHeight="1">
      <c r="A565" t="s">
        <v>6580</v>
      </c>
      <c r="B565">
        <v>38</v>
      </c>
      <c r="D565">
        <v>0</v>
      </c>
      <c r="G565">
        <v>0</v>
      </c>
    </row>
    <row r="566" spans="1:11" ht="13.95" customHeight="1">
      <c r="A566" t="s">
        <v>6580</v>
      </c>
      <c r="B566">
        <v>39</v>
      </c>
      <c r="E566">
        <v>2.08</v>
      </c>
      <c r="H566">
        <v>2.19</v>
      </c>
      <c r="K566">
        <v>2.1132416755738799</v>
      </c>
    </row>
    <row r="567" spans="1:11" ht="13.95" customHeight="1">
      <c r="A567" t="s">
        <v>6580</v>
      </c>
      <c r="B567">
        <v>40</v>
      </c>
      <c r="E567">
        <v>0</v>
      </c>
      <c r="H567">
        <v>0</v>
      </c>
    </row>
    <row r="568" spans="1:11" ht="13.95" customHeight="1">
      <c r="A568" t="s">
        <v>6580</v>
      </c>
      <c r="B568">
        <v>41</v>
      </c>
      <c r="C568">
        <v>1.29</v>
      </c>
      <c r="F568">
        <v>2.14</v>
      </c>
      <c r="I568">
        <v>1.7700057808245384</v>
      </c>
    </row>
    <row r="569" spans="1:11" ht="13.95" customHeight="1">
      <c r="A569" t="s">
        <v>6580</v>
      </c>
      <c r="B569">
        <v>42</v>
      </c>
      <c r="C569">
        <v>0</v>
      </c>
      <c r="F569">
        <v>0</v>
      </c>
    </row>
    <row r="570" spans="1:11" ht="13.95" customHeight="1">
      <c r="A570" t="s">
        <v>6580</v>
      </c>
      <c r="B570">
        <v>43</v>
      </c>
      <c r="D570">
        <v>5.63</v>
      </c>
      <c r="G570">
        <v>6.41</v>
      </c>
      <c r="J570">
        <v>5.754392599677832</v>
      </c>
    </row>
    <row r="571" spans="1:11" ht="13.95" customHeight="1">
      <c r="A571" t="s">
        <v>6580</v>
      </c>
      <c r="B571">
        <v>44</v>
      </c>
      <c r="D571">
        <v>0</v>
      </c>
      <c r="G571">
        <v>0</v>
      </c>
    </row>
    <row r="572" spans="1:11" ht="13.95" customHeight="1">
      <c r="A572" t="s">
        <v>6580</v>
      </c>
      <c r="B572">
        <v>45</v>
      </c>
      <c r="E572">
        <v>4.29</v>
      </c>
      <c r="H572">
        <v>5.42</v>
      </c>
      <c r="K572">
        <v>4.9233853513462043</v>
      </c>
    </row>
    <row r="573" spans="1:11" ht="13.95" customHeight="1">
      <c r="A573" t="s">
        <v>6580</v>
      </c>
      <c r="B573">
        <v>46</v>
      </c>
      <c r="E573">
        <v>0</v>
      </c>
      <c r="H573">
        <v>0</v>
      </c>
    </row>
    <row r="574" spans="1:11" ht="13.95" customHeight="1">
      <c r="A574" t="s">
        <v>6580</v>
      </c>
      <c r="B574">
        <v>47</v>
      </c>
      <c r="C574">
        <v>2.93</v>
      </c>
      <c r="F574">
        <v>5.79</v>
      </c>
      <c r="I574">
        <v>3.9750095095596647</v>
      </c>
    </row>
    <row r="575" spans="1:11" ht="13.95" customHeight="1">
      <c r="A575" t="s">
        <v>6580</v>
      </c>
      <c r="B575">
        <v>48</v>
      </c>
      <c r="C575">
        <v>0</v>
      </c>
      <c r="F575">
        <v>0</v>
      </c>
    </row>
    <row r="576" spans="1:11" ht="13.95" customHeight="1">
      <c r="A576" t="s">
        <v>6580</v>
      </c>
      <c r="B576">
        <v>49</v>
      </c>
      <c r="D576">
        <v>7.44</v>
      </c>
      <c r="G576">
        <v>9.0299999999999994</v>
      </c>
      <c r="J576">
        <v>8.18849244643806</v>
      </c>
    </row>
    <row r="577" spans="1:11" ht="13.95" customHeight="1">
      <c r="A577" t="s">
        <v>6580</v>
      </c>
      <c r="B577">
        <v>50</v>
      </c>
      <c r="D577">
        <v>0</v>
      </c>
      <c r="G577">
        <v>0</v>
      </c>
    </row>
    <row r="578" spans="1:11" ht="13.95" customHeight="1">
      <c r="A578" t="s">
        <v>6580</v>
      </c>
      <c r="B578">
        <v>51</v>
      </c>
      <c r="E578">
        <v>2.04</v>
      </c>
      <c r="H578">
        <v>4.8100000000000005</v>
      </c>
      <c r="K578">
        <v>3.30048920348074</v>
      </c>
    </row>
    <row r="579" spans="1:11" ht="13.95" customHeight="1">
      <c r="A579" t="s">
        <v>6580</v>
      </c>
      <c r="B579">
        <v>52</v>
      </c>
      <c r="E579">
        <v>0</v>
      </c>
      <c r="H579">
        <v>0</v>
      </c>
    </row>
    <row r="580" spans="1:11" ht="13.95" customHeight="1">
      <c r="A580" t="s">
        <v>6580</v>
      </c>
      <c r="B580">
        <v>53</v>
      </c>
      <c r="C580">
        <v>2.4900000000000002</v>
      </c>
      <c r="F580">
        <v>6.77</v>
      </c>
      <c r="I580">
        <v>4.4660286279441319</v>
      </c>
    </row>
    <row r="581" spans="1:11" ht="13.95" customHeight="1">
      <c r="A581" t="s">
        <v>6580</v>
      </c>
      <c r="B581">
        <v>54</v>
      </c>
      <c r="C581">
        <v>4.1399999999999997</v>
      </c>
      <c r="F581">
        <v>4.43</v>
      </c>
      <c r="I581">
        <v>4.2142818242204676</v>
      </c>
    </row>
    <row r="582" spans="1:11" ht="13.95" customHeight="1">
      <c r="A582" t="s">
        <v>6581</v>
      </c>
      <c r="B582">
        <v>1</v>
      </c>
      <c r="D582">
        <v>0</v>
      </c>
      <c r="G582">
        <v>0</v>
      </c>
    </row>
    <row r="583" spans="1:11" ht="13.95" customHeight="1">
      <c r="A583" t="s">
        <v>6581</v>
      </c>
      <c r="B583">
        <v>2</v>
      </c>
      <c r="D583">
        <v>9.2799999999999994</v>
      </c>
      <c r="G583">
        <v>12.7</v>
      </c>
      <c r="J583">
        <v>10.246272619741317</v>
      </c>
    </row>
    <row r="584" spans="1:11" ht="13.95" customHeight="1">
      <c r="A584" t="s">
        <v>6581</v>
      </c>
      <c r="B584">
        <v>3</v>
      </c>
      <c r="E584">
        <v>0</v>
      </c>
      <c r="H584">
        <v>0</v>
      </c>
    </row>
    <row r="585" spans="1:11" ht="13.95" customHeight="1">
      <c r="A585" t="s">
        <v>6581</v>
      </c>
      <c r="B585">
        <v>4</v>
      </c>
      <c r="E585">
        <v>3.87</v>
      </c>
      <c r="H585">
        <v>4.54</v>
      </c>
      <c r="K585">
        <v>4.0883996243531202</v>
      </c>
    </row>
    <row r="586" spans="1:11" ht="13.95" customHeight="1">
      <c r="A586" t="s">
        <v>6581</v>
      </c>
      <c r="B586">
        <v>5</v>
      </c>
      <c r="C586">
        <v>0</v>
      </c>
      <c r="F586">
        <v>0</v>
      </c>
    </row>
    <row r="587" spans="1:11" ht="13.95" customHeight="1">
      <c r="A587" t="s">
        <v>6581</v>
      </c>
      <c r="B587">
        <v>6</v>
      </c>
      <c r="C587">
        <v>0.69</v>
      </c>
      <c r="F587">
        <v>0.76</v>
      </c>
      <c r="I587">
        <v>0.69113561233851339</v>
      </c>
    </row>
    <row r="588" spans="1:11" ht="13.95" customHeight="1">
      <c r="A588" t="s">
        <v>6581</v>
      </c>
      <c r="B588">
        <v>7</v>
      </c>
      <c r="D588">
        <v>0</v>
      </c>
      <c r="G588">
        <v>0</v>
      </c>
    </row>
    <row r="589" spans="1:11" ht="13.95" customHeight="1">
      <c r="A589" t="s">
        <v>6581</v>
      </c>
      <c r="B589">
        <v>8</v>
      </c>
      <c r="D589">
        <v>3.08</v>
      </c>
      <c r="G589">
        <v>4.49</v>
      </c>
      <c r="J589">
        <v>3.3983052996278906</v>
      </c>
    </row>
    <row r="590" spans="1:11" ht="13.95" customHeight="1">
      <c r="A590" t="s">
        <v>6581</v>
      </c>
      <c r="B590">
        <v>9</v>
      </c>
      <c r="E590">
        <v>0</v>
      </c>
      <c r="H590">
        <v>0</v>
      </c>
    </row>
    <row r="591" spans="1:11" ht="13.95" customHeight="1">
      <c r="A591" t="s">
        <v>6581</v>
      </c>
      <c r="B591">
        <v>10</v>
      </c>
      <c r="E591">
        <v>0.53</v>
      </c>
      <c r="H591">
        <v>0.55000000000000004</v>
      </c>
      <c r="K591">
        <v>0.54024132888326248</v>
      </c>
    </row>
    <row r="592" spans="1:11" ht="13.95" customHeight="1">
      <c r="A592" t="s">
        <v>6581</v>
      </c>
      <c r="B592">
        <v>11</v>
      </c>
      <c r="C592">
        <v>1.8900000000000001</v>
      </c>
      <c r="F592">
        <v>1.94</v>
      </c>
      <c r="I592">
        <v>1.9097157359195187</v>
      </c>
    </row>
    <row r="593" spans="1:11" ht="13.95" customHeight="1">
      <c r="A593" t="s">
        <v>6581</v>
      </c>
      <c r="B593">
        <v>12</v>
      </c>
      <c r="C593">
        <v>0</v>
      </c>
      <c r="F593">
        <v>0</v>
      </c>
    </row>
    <row r="594" spans="1:11" ht="13.95" customHeight="1">
      <c r="A594" t="s">
        <v>6581</v>
      </c>
      <c r="B594">
        <v>13</v>
      </c>
      <c r="D594">
        <v>3.49</v>
      </c>
      <c r="G594">
        <v>3.67</v>
      </c>
      <c r="J594">
        <v>3.5317106621801853</v>
      </c>
    </row>
    <row r="595" spans="1:11" ht="13.95" customHeight="1">
      <c r="A595" t="s">
        <v>6581</v>
      </c>
      <c r="B595">
        <v>14</v>
      </c>
      <c r="D595">
        <v>3.15</v>
      </c>
      <c r="G595">
        <v>3.56</v>
      </c>
      <c r="J595">
        <v>3.2494829095244149</v>
      </c>
    </row>
    <row r="596" spans="1:11" ht="13.95" customHeight="1">
      <c r="A596" t="s">
        <v>6581</v>
      </c>
      <c r="B596">
        <v>15</v>
      </c>
      <c r="E596">
        <v>3.11</v>
      </c>
      <c r="H596">
        <v>3.49</v>
      </c>
      <c r="K596">
        <v>3.1856900766249097</v>
      </c>
    </row>
    <row r="597" spans="1:11" ht="13.95" customHeight="1">
      <c r="A597" t="s">
        <v>6581</v>
      </c>
      <c r="B597">
        <v>16</v>
      </c>
      <c r="E597">
        <v>3.81</v>
      </c>
      <c r="H597">
        <v>4.6100000000000003</v>
      </c>
      <c r="K597">
        <v>4.0690527431592294</v>
      </c>
    </row>
    <row r="598" spans="1:11" ht="13.95" customHeight="1">
      <c r="A598" t="s">
        <v>6581</v>
      </c>
      <c r="B598">
        <v>17</v>
      </c>
      <c r="C598">
        <v>0.82</v>
      </c>
      <c r="F598">
        <v>1.04</v>
      </c>
      <c r="I598">
        <v>0.91135109241700862</v>
      </c>
    </row>
    <row r="599" spans="1:11" ht="13.95" customHeight="1">
      <c r="A599" t="s">
        <v>6581</v>
      </c>
      <c r="B599">
        <v>18</v>
      </c>
      <c r="C599">
        <v>0</v>
      </c>
      <c r="F599">
        <v>0</v>
      </c>
    </row>
    <row r="600" spans="1:11" ht="13.95" customHeight="1">
      <c r="A600" t="s">
        <v>6581</v>
      </c>
      <c r="B600">
        <v>19</v>
      </c>
      <c r="D600">
        <v>0</v>
      </c>
      <c r="G600">
        <v>0</v>
      </c>
    </row>
    <row r="601" spans="1:11" ht="13.95" customHeight="1">
      <c r="A601" t="s">
        <v>6581</v>
      </c>
      <c r="B601">
        <v>20</v>
      </c>
      <c r="D601">
        <v>0</v>
      </c>
      <c r="G601">
        <v>0</v>
      </c>
    </row>
    <row r="602" spans="1:11" ht="13.95" customHeight="1">
      <c r="A602" t="s">
        <v>6581</v>
      </c>
      <c r="B602">
        <v>21</v>
      </c>
      <c r="E602">
        <v>0</v>
      </c>
      <c r="H602">
        <v>0</v>
      </c>
    </row>
    <row r="603" spans="1:11" ht="13.95" customHeight="1">
      <c r="A603" t="s">
        <v>6581</v>
      </c>
      <c r="B603">
        <v>22</v>
      </c>
      <c r="E603">
        <v>0</v>
      </c>
      <c r="H603">
        <v>0</v>
      </c>
    </row>
    <row r="604" spans="1:11" ht="13.95" customHeight="1">
      <c r="A604" t="s">
        <v>6581</v>
      </c>
      <c r="B604">
        <v>23</v>
      </c>
      <c r="C604">
        <v>0</v>
      </c>
      <c r="F604">
        <v>0</v>
      </c>
    </row>
    <row r="605" spans="1:11" ht="13.95" customHeight="1">
      <c r="A605" t="s">
        <v>6581</v>
      </c>
      <c r="B605">
        <v>24</v>
      </c>
      <c r="C605">
        <v>0</v>
      </c>
      <c r="F605">
        <v>0</v>
      </c>
    </row>
    <row r="606" spans="1:11" ht="13.95" customHeight="1">
      <c r="A606" t="s">
        <v>6581</v>
      </c>
      <c r="B606">
        <v>25</v>
      </c>
      <c r="D606">
        <v>3.5</v>
      </c>
      <c r="G606">
        <v>8.48</v>
      </c>
      <c r="J606">
        <v>4.4946955289472559</v>
      </c>
    </row>
    <row r="607" spans="1:11" ht="13.95" customHeight="1">
      <c r="A607" t="s">
        <v>6581</v>
      </c>
      <c r="B607">
        <v>26</v>
      </c>
      <c r="D607">
        <v>0</v>
      </c>
      <c r="G607">
        <v>0</v>
      </c>
    </row>
    <row r="608" spans="1:11" ht="13.95" customHeight="1">
      <c r="A608" t="s">
        <v>6581</v>
      </c>
      <c r="B608">
        <v>27</v>
      </c>
      <c r="E608">
        <v>1.32</v>
      </c>
      <c r="H608">
        <v>6.68</v>
      </c>
      <c r="K608">
        <v>2.3292844130947259</v>
      </c>
    </row>
    <row r="609" spans="1:11" ht="13.95" customHeight="1">
      <c r="A609" t="s">
        <v>6581</v>
      </c>
      <c r="B609">
        <v>28</v>
      </c>
      <c r="E609">
        <v>0</v>
      </c>
      <c r="H609">
        <v>0</v>
      </c>
    </row>
    <row r="610" spans="1:11" ht="13.95" customHeight="1">
      <c r="A610" t="s">
        <v>6581</v>
      </c>
      <c r="B610">
        <v>29</v>
      </c>
      <c r="C610">
        <v>0</v>
      </c>
      <c r="F610">
        <v>0</v>
      </c>
    </row>
    <row r="611" spans="1:11" ht="13.95" customHeight="1">
      <c r="A611" t="s">
        <v>6581</v>
      </c>
      <c r="B611">
        <v>30</v>
      </c>
      <c r="C611">
        <v>0</v>
      </c>
      <c r="F611">
        <v>0</v>
      </c>
    </row>
    <row r="612" spans="1:11" ht="13.95" customHeight="1">
      <c r="A612" t="s">
        <v>6581</v>
      </c>
      <c r="B612">
        <v>31</v>
      </c>
      <c r="D612">
        <v>0.38</v>
      </c>
      <c r="G612">
        <v>0.39</v>
      </c>
      <c r="J612">
        <v>0.38044641183866201</v>
      </c>
    </row>
    <row r="613" spans="1:11" ht="13.95" customHeight="1">
      <c r="A613" t="s">
        <v>6581</v>
      </c>
      <c r="B613">
        <v>32</v>
      </c>
      <c r="D613">
        <v>0</v>
      </c>
      <c r="G613">
        <v>0</v>
      </c>
    </row>
    <row r="614" spans="1:11" ht="13.95" customHeight="1">
      <c r="A614" t="s">
        <v>6581</v>
      </c>
      <c r="B614">
        <v>33</v>
      </c>
      <c r="E614">
        <v>1.18</v>
      </c>
      <c r="H614">
        <v>1.19</v>
      </c>
      <c r="K614">
        <v>1.1800054687826371</v>
      </c>
    </row>
    <row r="615" spans="1:11" ht="13.95" customHeight="1">
      <c r="A615" t="s">
        <v>6581</v>
      </c>
      <c r="B615">
        <v>34</v>
      </c>
      <c r="E615">
        <v>0</v>
      </c>
      <c r="H615">
        <v>0</v>
      </c>
    </row>
    <row r="616" spans="1:11" ht="13.95" customHeight="1">
      <c r="A616" t="s">
        <v>6581</v>
      </c>
      <c r="B616">
        <v>35</v>
      </c>
      <c r="C616">
        <v>0.39</v>
      </c>
      <c r="F616">
        <v>0.39</v>
      </c>
      <c r="I616">
        <v>0.39000000000000018</v>
      </c>
    </row>
    <row r="617" spans="1:11" ht="13.95" customHeight="1">
      <c r="A617" t="s">
        <v>6581</v>
      </c>
      <c r="B617">
        <v>36</v>
      </c>
      <c r="C617">
        <v>0</v>
      </c>
      <c r="F617">
        <v>0</v>
      </c>
    </row>
    <row r="618" spans="1:11" ht="13.95" customHeight="1">
      <c r="A618" t="s">
        <v>6581</v>
      </c>
      <c r="B618">
        <v>37</v>
      </c>
      <c r="D618">
        <v>2.15</v>
      </c>
      <c r="G618">
        <v>7.63</v>
      </c>
      <c r="J618">
        <v>4.7917841620164205</v>
      </c>
    </row>
    <row r="619" spans="1:11" ht="13.95" customHeight="1">
      <c r="A619" t="s">
        <v>6581</v>
      </c>
      <c r="B619">
        <v>38</v>
      </c>
      <c r="D619">
        <v>0</v>
      </c>
      <c r="G619">
        <v>0</v>
      </c>
    </row>
    <row r="620" spans="1:11" ht="13.95" customHeight="1">
      <c r="A620" t="s">
        <v>6581</v>
      </c>
      <c r="B620">
        <v>39</v>
      </c>
      <c r="E620">
        <v>1.9</v>
      </c>
      <c r="H620">
        <v>1.9300000000000002</v>
      </c>
      <c r="K620">
        <v>1.9109205971383838</v>
      </c>
    </row>
    <row r="621" spans="1:11" ht="13.95" customHeight="1">
      <c r="A621" t="s">
        <v>6581</v>
      </c>
      <c r="B621">
        <v>40</v>
      </c>
      <c r="E621">
        <v>0</v>
      </c>
      <c r="H621">
        <v>0</v>
      </c>
    </row>
    <row r="622" spans="1:11" ht="13.95" customHeight="1">
      <c r="A622" t="s">
        <v>6581</v>
      </c>
      <c r="B622">
        <v>41</v>
      </c>
      <c r="C622">
        <v>0.33</v>
      </c>
      <c r="F622">
        <v>1.02</v>
      </c>
      <c r="I622">
        <v>0.46354265723355598</v>
      </c>
    </row>
    <row r="623" spans="1:11" ht="13.95" customHeight="1">
      <c r="A623" t="s">
        <v>6581</v>
      </c>
      <c r="B623">
        <v>42</v>
      </c>
      <c r="C623">
        <v>0</v>
      </c>
      <c r="F623">
        <v>0</v>
      </c>
    </row>
    <row r="624" spans="1:11" ht="13.95" customHeight="1">
      <c r="A624" t="s">
        <v>6581</v>
      </c>
      <c r="B624">
        <v>43</v>
      </c>
      <c r="D624">
        <v>4.8</v>
      </c>
      <c r="G624">
        <v>5.48</v>
      </c>
      <c r="J624">
        <v>4.8909455546683009</v>
      </c>
    </row>
    <row r="625" spans="1:11" ht="13.95" customHeight="1">
      <c r="A625" t="s">
        <v>6581</v>
      </c>
      <c r="B625">
        <v>44</v>
      </c>
      <c r="D625">
        <v>0</v>
      </c>
      <c r="G625">
        <v>0</v>
      </c>
    </row>
    <row r="626" spans="1:11" ht="13.95" customHeight="1">
      <c r="A626" t="s">
        <v>6581</v>
      </c>
      <c r="B626">
        <v>45</v>
      </c>
      <c r="E626">
        <v>4.41</v>
      </c>
      <c r="H626">
        <v>5.51</v>
      </c>
      <c r="K626">
        <v>5.0187086421328262</v>
      </c>
    </row>
    <row r="627" spans="1:11" ht="13.95" customHeight="1">
      <c r="A627" t="s">
        <v>6581</v>
      </c>
      <c r="B627">
        <v>46</v>
      </c>
      <c r="E627">
        <v>0</v>
      </c>
      <c r="H627">
        <v>0</v>
      </c>
    </row>
    <row r="628" spans="1:11" ht="13.95" customHeight="1">
      <c r="A628" t="s">
        <v>6581</v>
      </c>
      <c r="B628">
        <v>47</v>
      </c>
      <c r="C628">
        <v>2.67</v>
      </c>
      <c r="F628">
        <v>5.0999999999999996</v>
      </c>
      <c r="I628">
        <v>3.6492799733265673</v>
      </c>
    </row>
    <row r="629" spans="1:11" ht="13.95" customHeight="1">
      <c r="A629" t="s">
        <v>6581</v>
      </c>
      <c r="B629">
        <v>48</v>
      </c>
      <c r="C629">
        <v>0</v>
      </c>
      <c r="F629">
        <v>0</v>
      </c>
    </row>
    <row r="630" spans="1:11" ht="13.95" customHeight="1">
      <c r="A630" t="s">
        <v>6581</v>
      </c>
      <c r="B630">
        <v>49</v>
      </c>
      <c r="D630">
        <v>1.28</v>
      </c>
      <c r="G630">
        <v>1.48</v>
      </c>
      <c r="J630">
        <v>1.3383973786890504</v>
      </c>
    </row>
    <row r="631" spans="1:11" ht="13.95" customHeight="1">
      <c r="A631" t="s">
        <v>6581</v>
      </c>
      <c r="B631">
        <v>50</v>
      </c>
      <c r="D631">
        <v>0</v>
      </c>
      <c r="G631">
        <v>0</v>
      </c>
    </row>
    <row r="632" spans="1:11" ht="13.95" customHeight="1">
      <c r="A632" t="s">
        <v>6581</v>
      </c>
      <c r="B632">
        <v>51</v>
      </c>
      <c r="E632">
        <v>2.56</v>
      </c>
      <c r="H632">
        <v>5.7</v>
      </c>
      <c r="K632">
        <v>3.8694443892012371</v>
      </c>
    </row>
    <row r="633" spans="1:11" ht="13.95" customHeight="1">
      <c r="A633" t="s">
        <v>6581</v>
      </c>
      <c r="B633">
        <v>52</v>
      </c>
      <c r="E633">
        <v>0</v>
      </c>
      <c r="H633">
        <v>0</v>
      </c>
    </row>
    <row r="634" spans="1:11" ht="13.95" customHeight="1">
      <c r="A634" t="s">
        <v>6581</v>
      </c>
      <c r="B634">
        <v>53</v>
      </c>
      <c r="C634">
        <v>0.55000000000000004</v>
      </c>
      <c r="F634">
        <v>1.34</v>
      </c>
      <c r="I634">
        <v>0.5912092913590562</v>
      </c>
    </row>
    <row r="635" spans="1:11" ht="13.95" customHeight="1">
      <c r="A635" t="s">
        <v>6581</v>
      </c>
      <c r="B635">
        <v>54</v>
      </c>
      <c r="C635">
        <v>2.31</v>
      </c>
      <c r="F635">
        <v>2.65</v>
      </c>
      <c r="I635">
        <v>2.356444291988915</v>
      </c>
    </row>
    <row r="636" spans="1:11" ht="13.95" customHeight="1">
      <c r="A636" t="s">
        <v>6582</v>
      </c>
      <c r="B636">
        <v>1</v>
      </c>
      <c r="D636">
        <v>0</v>
      </c>
      <c r="G636">
        <v>0</v>
      </c>
    </row>
    <row r="637" spans="1:11" ht="13.95" customHeight="1">
      <c r="A637" t="s">
        <v>6582</v>
      </c>
      <c r="B637">
        <v>2</v>
      </c>
      <c r="D637">
        <v>0</v>
      </c>
      <c r="G637">
        <v>0</v>
      </c>
    </row>
    <row r="638" spans="1:11" ht="13.95" customHeight="1">
      <c r="A638" t="s">
        <v>6582</v>
      </c>
      <c r="B638">
        <v>3</v>
      </c>
      <c r="E638">
        <v>0</v>
      </c>
      <c r="H638">
        <v>0</v>
      </c>
    </row>
    <row r="639" spans="1:11" ht="13.95" customHeight="1">
      <c r="A639" t="s">
        <v>6582</v>
      </c>
      <c r="B639">
        <v>4</v>
      </c>
      <c r="E639">
        <v>0</v>
      </c>
      <c r="H639">
        <v>0</v>
      </c>
    </row>
    <row r="640" spans="1:11" ht="13.95" customHeight="1">
      <c r="A640" t="s">
        <v>6582</v>
      </c>
      <c r="B640">
        <v>5</v>
      </c>
      <c r="C640">
        <v>0</v>
      </c>
      <c r="F640">
        <v>0</v>
      </c>
    </row>
    <row r="641" spans="1:8" ht="13.95" customHeight="1">
      <c r="A641" t="s">
        <v>6582</v>
      </c>
      <c r="B641">
        <v>6</v>
      </c>
      <c r="C641">
        <v>0</v>
      </c>
      <c r="F641">
        <v>0</v>
      </c>
    </row>
    <row r="642" spans="1:8" ht="13.95" customHeight="1">
      <c r="A642" t="s">
        <v>6582</v>
      </c>
      <c r="B642">
        <v>7</v>
      </c>
      <c r="D642">
        <v>0</v>
      </c>
      <c r="G642">
        <v>0</v>
      </c>
    </row>
    <row r="643" spans="1:8" ht="13.95" customHeight="1">
      <c r="A643" t="s">
        <v>6582</v>
      </c>
      <c r="B643">
        <v>8</v>
      </c>
      <c r="D643">
        <v>0</v>
      </c>
      <c r="G643">
        <v>0</v>
      </c>
    </row>
    <row r="644" spans="1:8" ht="13.95" customHeight="1">
      <c r="A644" t="s">
        <v>6582</v>
      </c>
      <c r="B644">
        <v>9</v>
      </c>
      <c r="E644">
        <v>0</v>
      </c>
      <c r="H644">
        <v>0</v>
      </c>
    </row>
    <row r="645" spans="1:8" ht="13.95" customHeight="1">
      <c r="A645" t="s">
        <v>6582</v>
      </c>
      <c r="B645">
        <v>10</v>
      </c>
      <c r="E645">
        <v>0</v>
      </c>
      <c r="H645">
        <v>0</v>
      </c>
    </row>
    <row r="646" spans="1:8" ht="13.95" customHeight="1">
      <c r="A646" t="s">
        <v>6582</v>
      </c>
      <c r="B646">
        <v>11</v>
      </c>
      <c r="C646">
        <v>0</v>
      </c>
      <c r="F646">
        <v>0</v>
      </c>
    </row>
    <row r="647" spans="1:8" ht="13.95" customHeight="1">
      <c r="A647" t="s">
        <v>6582</v>
      </c>
      <c r="B647">
        <v>12</v>
      </c>
      <c r="C647">
        <v>0</v>
      </c>
      <c r="F647">
        <v>0</v>
      </c>
    </row>
    <row r="648" spans="1:8" ht="13.95" customHeight="1">
      <c r="A648" t="s">
        <v>6582</v>
      </c>
      <c r="B648">
        <v>13</v>
      </c>
      <c r="D648">
        <v>0</v>
      </c>
      <c r="G648">
        <v>0</v>
      </c>
    </row>
    <row r="649" spans="1:8" ht="13.95" customHeight="1">
      <c r="A649" t="s">
        <v>6582</v>
      </c>
      <c r="B649">
        <v>14</v>
      </c>
      <c r="D649">
        <v>0</v>
      </c>
      <c r="G649">
        <v>0</v>
      </c>
    </row>
    <row r="650" spans="1:8" ht="13.95" customHeight="1">
      <c r="A650" t="s">
        <v>6582</v>
      </c>
      <c r="B650">
        <v>15</v>
      </c>
      <c r="E650">
        <v>0</v>
      </c>
      <c r="H650">
        <v>0</v>
      </c>
    </row>
    <row r="651" spans="1:8" ht="13.95" customHeight="1">
      <c r="A651" t="s">
        <v>6582</v>
      </c>
      <c r="B651">
        <v>16</v>
      </c>
      <c r="E651">
        <v>0</v>
      </c>
      <c r="H651">
        <v>0</v>
      </c>
    </row>
    <row r="652" spans="1:8" ht="13.95" customHeight="1">
      <c r="A652" t="s">
        <v>6582</v>
      </c>
      <c r="B652">
        <v>17</v>
      </c>
      <c r="C652">
        <v>0</v>
      </c>
      <c r="F652">
        <v>0</v>
      </c>
    </row>
    <row r="653" spans="1:8" ht="13.95" customHeight="1">
      <c r="A653" t="s">
        <v>6582</v>
      </c>
      <c r="B653">
        <v>18</v>
      </c>
      <c r="C653">
        <v>0</v>
      </c>
      <c r="F653">
        <v>0</v>
      </c>
    </row>
    <row r="654" spans="1:8" ht="13.95" customHeight="1">
      <c r="A654" t="s">
        <v>6582</v>
      </c>
      <c r="B654">
        <v>19</v>
      </c>
      <c r="D654">
        <v>0</v>
      </c>
      <c r="G654">
        <v>0</v>
      </c>
    </row>
    <row r="655" spans="1:8" ht="13.95" customHeight="1">
      <c r="A655" t="s">
        <v>6582</v>
      </c>
      <c r="B655">
        <v>20</v>
      </c>
      <c r="D655">
        <v>0</v>
      </c>
      <c r="G655">
        <v>0</v>
      </c>
    </row>
    <row r="656" spans="1:8" ht="13.95" customHeight="1">
      <c r="A656" t="s">
        <v>6582</v>
      </c>
      <c r="B656">
        <v>21</v>
      </c>
      <c r="E656">
        <v>0</v>
      </c>
      <c r="H656">
        <v>0</v>
      </c>
    </row>
    <row r="657" spans="1:8" ht="13.95" customHeight="1">
      <c r="A657" t="s">
        <v>6582</v>
      </c>
      <c r="B657">
        <v>22</v>
      </c>
      <c r="E657">
        <v>0</v>
      </c>
      <c r="H657">
        <v>0</v>
      </c>
    </row>
    <row r="658" spans="1:8" ht="13.95" customHeight="1">
      <c r="A658" t="s">
        <v>6582</v>
      </c>
      <c r="B658">
        <v>23</v>
      </c>
      <c r="C658">
        <v>0</v>
      </c>
      <c r="F658">
        <v>0</v>
      </c>
    </row>
    <row r="659" spans="1:8" ht="13.95" customHeight="1">
      <c r="A659" t="s">
        <v>6582</v>
      </c>
      <c r="B659">
        <v>24</v>
      </c>
      <c r="C659">
        <v>0</v>
      </c>
      <c r="F659">
        <v>0</v>
      </c>
    </row>
    <row r="660" spans="1:8" ht="13.95" customHeight="1">
      <c r="A660" t="s">
        <v>6582</v>
      </c>
      <c r="B660">
        <v>25</v>
      </c>
      <c r="D660">
        <v>0</v>
      </c>
      <c r="G660">
        <v>0</v>
      </c>
    </row>
    <row r="661" spans="1:8" ht="13.95" customHeight="1">
      <c r="A661" t="s">
        <v>6582</v>
      </c>
      <c r="B661">
        <v>26</v>
      </c>
      <c r="D661">
        <v>0</v>
      </c>
      <c r="G661">
        <v>0</v>
      </c>
    </row>
    <row r="662" spans="1:8" ht="13.95" customHeight="1">
      <c r="A662" t="s">
        <v>6582</v>
      </c>
      <c r="B662">
        <v>27</v>
      </c>
      <c r="E662">
        <v>0</v>
      </c>
      <c r="H662">
        <v>0</v>
      </c>
    </row>
    <row r="663" spans="1:8" ht="13.95" customHeight="1">
      <c r="A663" t="s">
        <v>6582</v>
      </c>
      <c r="B663">
        <v>28</v>
      </c>
      <c r="E663">
        <v>0</v>
      </c>
      <c r="H663">
        <v>0</v>
      </c>
    </row>
    <row r="664" spans="1:8" ht="13.95" customHeight="1">
      <c r="A664" t="s">
        <v>6582</v>
      </c>
      <c r="B664">
        <v>29</v>
      </c>
      <c r="C664">
        <v>0</v>
      </c>
      <c r="F664">
        <v>0</v>
      </c>
    </row>
    <row r="665" spans="1:8" ht="13.95" customHeight="1">
      <c r="A665" t="s">
        <v>6582</v>
      </c>
      <c r="B665">
        <v>30</v>
      </c>
      <c r="C665">
        <v>0</v>
      </c>
      <c r="F665">
        <v>0</v>
      </c>
    </row>
    <row r="666" spans="1:8" ht="13.95" customHeight="1">
      <c r="A666" t="s">
        <v>6582</v>
      </c>
      <c r="B666">
        <v>31</v>
      </c>
      <c r="D666">
        <v>0</v>
      </c>
      <c r="G666">
        <v>0</v>
      </c>
    </row>
    <row r="667" spans="1:8" ht="13.95" customHeight="1">
      <c r="A667" t="s">
        <v>6582</v>
      </c>
      <c r="B667">
        <v>32</v>
      </c>
      <c r="D667">
        <v>0</v>
      </c>
      <c r="G667">
        <v>0</v>
      </c>
    </row>
    <row r="668" spans="1:8" ht="13.95" customHeight="1">
      <c r="A668" t="s">
        <v>6582</v>
      </c>
      <c r="B668">
        <v>33</v>
      </c>
      <c r="E668">
        <v>0</v>
      </c>
      <c r="H668">
        <v>0</v>
      </c>
    </row>
    <row r="669" spans="1:8" ht="13.95" customHeight="1">
      <c r="A669" t="s">
        <v>6582</v>
      </c>
      <c r="B669">
        <v>34</v>
      </c>
      <c r="E669">
        <v>0</v>
      </c>
      <c r="H669">
        <v>0</v>
      </c>
    </row>
    <row r="670" spans="1:8" ht="13.95" customHeight="1">
      <c r="A670" t="s">
        <v>6582</v>
      </c>
      <c r="B670">
        <v>35</v>
      </c>
      <c r="C670">
        <v>0</v>
      </c>
      <c r="F670">
        <v>0</v>
      </c>
    </row>
    <row r="671" spans="1:8" ht="13.95" customHeight="1">
      <c r="A671" t="s">
        <v>6582</v>
      </c>
      <c r="B671">
        <v>36</v>
      </c>
      <c r="C671">
        <v>0</v>
      </c>
      <c r="F671">
        <v>0</v>
      </c>
    </row>
    <row r="672" spans="1:8" ht="13.95" customHeight="1">
      <c r="A672" t="s">
        <v>6582</v>
      </c>
      <c r="B672">
        <v>37</v>
      </c>
      <c r="D672">
        <v>0</v>
      </c>
      <c r="G672">
        <v>0</v>
      </c>
    </row>
    <row r="673" spans="1:8" ht="13.95" customHeight="1">
      <c r="A673" t="s">
        <v>6582</v>
      </c>
      <c r="B673">
        <v>38</v>
      </c>
      <c r="D673">
        <v>0</v>
      </c>
      <c r="G673">
        <v>0</v>
      </c>
    </row>
    <row r="674" spans="1:8" ht="13.95" customHeight="1">
      <c r="A674" t="s">
        <v>6582</v>
      </c>
      <c r="B674">
        <v>39</v>
      </c>
      <c r="E674">
        <v>0</v>
      </c>
      <c r="H674">
        <v>0</v>
      </c>
    </row>
    <row r="675" spans="1:8" ht="13.95" customHeight="1">
      <c r="A675" t="s">
        <v>6582</v>
      </c>
      <c r="B675">
        <v>40</v>
      </c>
      <c r="E675">
        <v>0</v>
      </c>
      <c r="H675">
        <v>0</v>
      </c>
    </row>
    <row r="676" spans="1:8" ht="13.95" customHeight="1">
      <c r="A676" t="s">
        <v>6582</v>
      </c>
      <c r="B676">
        <v>41</v>
      </c>
      <c r="C676">
        <v>0</v>
      </c>
      <c r="F676">
        <v>0</v>
      </c>
    </row>
    <row r="677" spans="1:8" ht="13.95" customHeight="1">
      <c r="A677" t="s">
        <v>6582</v>
      </c>
      <c r="B677">
        <v>42</v>
      </c>
      <c r="C677">
        <v>0</v>
      </c>
      <c r="F677">
        <v>0</v>
      </c>
    </row>
    <row r="678" spans="1:8" ht="13.95" customHeight="1">
      <c r="A678" t="s">
        <v>6582</v>
      </c>
      <c r="B678">
        <v>43</v>
      </c>
      <c r="D678">
        <v>0</v>
      </c>
      <c r="G678">
        <v>0</v>
      </c>
    </row>
    <row r="679" spans="1:8" ht="13.95" customHeight="1">
      <c r="A679" t="s">
        <v>6582</v>
      </c>
      <c r="B679">
        <v>44</v>
      </c>
      <c r="D679">
        <v>0</v>
      </c>
      <c r="G679">
        <v>0</v>
      </c>
    </row>
    <row r="680" spans="1:8" ht="13.95" customHeight="1">
      <c r="A680" t="s">
        <v>6582</v>
      </c>
      <c r="B680">
        <v>45</v>
      </c>
      <c r="E680">
        <v>0</v>
      </c>
      <c r="H680">
        <v>0</v>
      </c>
    </row>
    <row r="681" spans="1:8" ht="13.95" customHeight="1">
      <c r="A681" t="s">
        <v>6582</v>
      </c>
      <c r="B681">
        <v>46</v>
      </c>
      <c r="E681">
        <v>0</v>
      </c>
      <c r="H681">
        <v>0</v>
      </c>
    </row>
    <row r="682" spans="1:8" ht="13.95" customHeight="1">
      <c r="A682" t="s">
        <v>6582</v>
      </c>
      <c r="B682">
        <v>47</v>
      </c>
      <c r="C682">
        <v>0</v>
      </c>
      <c r="F682">
        <v>0</v>
      </c>
    </row>
    <row r="683" spans="1:8" ht="13.95" customHeight="1">
      <c r="A683" t="s">
        <v>6582</v>
      </c>
      <c r="B683">
        <v>48</v>
      </c>
      <c r="C683">
        <v>0</v>
      </c>
      <c r="F683">
        <v>0</v>
      </c>
    </row>
    <row r="684" spans="1:8" ht="13.95" customHeight="1">
      <c r="A684" t="s">
        <v>6582</v>
      </c>
      <c r="B684">
        <v>49</v>
      </c>
      <c r="D684">
        <v>0</v>
      </c>
      <c r="G684">
        <v>0</v>
      </c>
    </row>
    <row r="685" spans="1:8" ht="13.95" customHeight="1">
      <c r="A685" t="s">
        <v>6582</v>
      </c>
      <c r="B685">
        <v>50</v>
      </c>
      <c r="D685">
        <v>0</v>
      </c>
      <c r="G685">
        <v>0</v>
      </c>
    </row>
    <row r="686" spans="1:8" ht="13.95" customHeight="1">
      <c r="A686" t="s">
        <v>6582</v>
      </c>
      <c r="B686">
        <v>51</v>
      </c>
      <c r="E686">
        <v>0</v>
      </c>
      <c r="H686">
        <v>0</v>
      </c>
    </row>
    <row r="687" spans="1:8" ht="13.95" customHeight="1">
      <c r="A687" t="s">
        <v>6582</v>
      </c>
      <c r="B687">
        <v>52</v>
      </c>
      <c r="E687">
        <v>0</v>
      </c>
      <c r="H687">
        <v>0</v>
      </c>
    </row>
    <row r="688" spans="1:8" ht="13.95" customHeight="1">
      <c r="A688" t="s">
        <v>6582</v>
      </c>
      <c r="B688">
        <v>53</v>
      </c>
      <c r="C688">
        <v>0</v>
      </c>
      <c r="F688">
        <v>0</v>
      </c>
    </row>
    <row r="689" spans="1:8" ht="13.95" customHeight="1">
      <c r="A689" t="s">
        <v>6582</v>
      </c>
      <c r="B689">
        <v>54</v>
      </c>
      <c r="C689">
        <v>0</v>
      </c>
      <c r="F689">
        <v>0</v>
      </c>
    </row>
    <row r="690" spans="1:8" ht="13.95" customHeight="1">
      <c r="A690" t="s">
        <v>6583</v>
      </c>
      <c r="B690">
        <v>1</v>
      </c>
      <c r="D690">
        <v>0</v>
      </c>
      <c r="G690">
        <v>0</v>
      </c>
    </row>
    <row r="691" spans="1:8" ht="13.95" customHeight="1">
      <c r="A691" t="s">
        <v>6583</v>
      </c>
      <c r="B691">
        <v>2</v>
      </c>
      <c r="D691">
        <v>0</v>
      </c>
      <c r="G691">
        <v>0</v>
      </c>
    </row>
    <row r="692" spans="1:8" ht="13.95" customHeight="1">
      <c r="A692" t="s">
        <v>6583</v>
      </c>
      <c r="B692">
        <v>3</v>
      </c>
      <c r="E692">
        <v>0</v>
      </c>
      <c r="H692">
        <v>0</v>
      </c>
    </row>
    <row r="693" spans="1:8" ht="13.95" customHeight="1">
      <c r="A693" t="s">
        <v>6583</v>
      </c>
      <c r="B693">
        <v>4</v>
      </c>
      <c r="E693">
        <v>0</v>
      </c>
      <c r="H693">
        <v>0</v>
      </c>
    </row>
    <row r="694" spans="1:8" ht="13.95" customHeight="1">
      <c r="A694" t="s">
        <v>6583</v>
      </c>
      <c r="B694">
        <v>5</v>
      </c>
      <c r="C694">
        <v>0</v>
      </c>
      <c r="F694">
        <v>0</v>
      </c>
    </row>
    <row r="695" spans="1:8" ht="13.95" customHeight="1">
      <c r="A695" t="s">
        <v>6583</v>
      </c>
      <c r="B695">
        <v>6</v>
      </c>
      <c r="C695">
        <v>0</v>
      </c>
      <c r="F695">
        <v>0</v>
      </c>
    </row>
    <row r="696" spans="1:8" ht="13.95" customHeight="1">
      <c r="A696" t="s">
        <v>6583</v>
      </c>
      <c r="B696">
        <v>7</v>
      </c>
      <c r="D696">
        <v>0</v>
      </c>
      <c r="G696">
        <v>0</v>
      </c>
    </row>
    <row r="697" spans="1:8" ht="13.95" customHeight="1">
      <c r="A697" t="s">
        <v>6583</v>
      </c>
      <c r="B697">
        <v>8</v>
      </c>
      <c r="D697">
        <v>0</v>
      </c>
      <c r="G697">
        <v>0</v>
      </c>
    </row>
    <row r="698" spans="1:8" ht="13.95" customHeight="1">
      <c r="A698" t="s">
        <v>6583</v>
      </c>
      <c r="B698">
        <v>9</v>
      </c>
      <c r="E698">
        <v>0</v>
      </c>
      <c r="H698">
        <v>0</v>
      </c>
    </row>
    <row r="699" spans="1:8" ht="13.95" customHeight="1">
      <c r="A699" t="s">
        <v>6583</v>
      </c>
      <c r="B699">
        <v>10</v>
      </c>
      <c r="E699">
        <v>0</v>
      </c>
      <c r="H699">
        <v>0</v>
      </c>
    </row>
    <row r="700" spans="1:8" ht="13.95" customHeight="1">
      <c r="A700" t="s">
        <v>6583</v>
      </c>
      <c r="B700">
        <v>11</v>
      </c>
      <c r="C700">
        <v>0</v>
      </c>
      <c r="F700">
        <v>0</v>
      </c>
    </row>
    <row r="701" spans="1:8" ht="13.95" customHeight="1">
      <c r="A701" t="s">
        <v>6583</v>
      </c>
      <c r="B701">
        <v>12</v>
      </c>
      <c r="C701">
        <v>0</v>
      </c>
      <c r="F701">
        <v>0</v>
      </c>
    </row>
    <row r="702" spans="1:8" ht="13.95" customHeight="1">
      <c r="A702" t="s">
        <v>6583</v>
      </c>
      <c r="B702">
        <v>13</v>
      </c>
      <c r="D702">
        <v>0</v>
      </c>
      <c r="G702">
        <v>0</v>
      </c>
    </row>
    <row r="703" spans="1:8" ht="13.95" customHeight="1">
      <c r="A703" t="s">
        <v>6583</v>
      </c>
      <c r="B703">
        <v>14</v>
      </c>
      <c r="D703">
        <v>0</v>
      </c>
      <c r="G703">
        <v>0</v>
      </c>
    </row>
    <row r="704" spans="1:8" ht="13.95" customHeight="1">
      <c r="A704" t="s">
        <v>6583</v>
      </c>
      <c r="B704">
        <v>15</v>
      </c>
      <c r="E704">
        <v>0</v>
      </c>
      <c r="H704">
        <v>0</v>
      </c>
    </row>
    <row r="705" spans="1:8" ht="13.95" customHeight="1">
      <c r="A705" t="s">
        <v>6583</v>
      </c>
      <c r="B705">
        <v>16</v>
      </c>
      <c r="E705">
        <v>0</v>
      </c>
      <c r="H705">
        <v>0</v>
      </c>
    </row>
    <row r="706" spans="1:8" ht="13.95" customHeight="1">
      <c r="A706" t="s">
        <v>6583</v>
      </c>
      <c r="B706">
        <v>17</v>
      </c>
      <c r="C706">
        <v>0</v>
      </c>
      <c r="F706">
        <v>0</v>
      </c>
    </row>
    <row r="707" spans="1:8" ht="13.95" customHeight="1">
      <c r="A707" t="s">
        <v>6583</v>
      </c>
      <c r="B707">
        <v>18</v>
      </c>
      <c r="C707">
        <v>0</v>
      </c>
      <c r="F707">
        <v>0</v>
      </c>
    </row>
    <row r="708" spans="1:8" ht="13.95" customHeight="1">
      <c r="A708" t="s">
        <v>6583</v>
      </c>
      <c r="B708">
        <v>19</v>
      </c>
      <c r="D708">
        <v>0</v>
      </c>
      <c r="G708">
        <v>0</v>
      </c>
    </row>
    <row r="709" spans="1:8" ht="13.95" customHeight="1">
      <c r="A709" t="s">
        <v>6583</v>
      </c>
      <c r="B709">
        <v>20</v>
      </c>
      <c r="D709">
        <v>0</v>
      </c>
      <c r="G709">
        <v>0</v>
      </c>
    </row>
    <row r="710" spans="1:8" ht="13.95" customHeight="1">
      <c r="A710" t="s">
        <v>6583</v>
      </c>
      <c r="B710">
        <v>21</v>
      </c>
      <c r="E710">
        <v>0</v>
      </c>
      <c r="H710">
        <v>0</v>
      </c>
    </row>
    <row r="711" spans="1:8" ht="13.95" customHeight="1">
      <c r="A711" t="s">
        <v>6583</v>
      </c>
      <c r="B711">
        <v>22</v>
      </c>
      <c r="E711">
        <v>0</v>
      </c>
      <c r="H711">
        <v>0</v>
      </c>
    </row>
    <row r="712" spans="1:8" ht="13.95" customHeight="1">
      <c r="A712" t="s">
        <v>6583</v>
      </c>
      <c r="B712">
        <v>23</v>
      </c>
      <c r="C712">
        <v>0</v>
      </c>
      <c r="F712">
        <v>0</v>
      </c>
    </row>
    <row r="713" spans="1:8" ht="13.95" customHeight="1">
      <c r="A713" t="s">
        <v>6583</v>
      </c>
      <c r="B713">
        <v>24</v>
      </c>
      <c r="C713">
        <v>0</v>
      </c>
      <c r="F713">
        <v>0</v>
      </c>
    </row>
    <row r="714" spans="1:8" ht="13.95" customHeight="1">
      <c r="A714" t="s">
        <v>6583</v>
      </c>
      <c r="B714">
        <v>25</v>
      </c>
      <c r="D714">
        <v>0</v>
      </c>
      <c r="G714">
        <v>0</v>
      </c>
    </row>
    <row r="715" spans="1:8" ht="13.95" customHeight="1">
      <c r="A715" t="s">
        <v>6583</v>
      </c>
      <c r="B715">
        <v>26</v>
      </c>
      <c r="D715">
        <v>0</v>
      </c>
      <c r="G715">
        <v>0</v>
      </c>
    </row>
    <row r="716" spans="1:8" ht="13.95" customHeight="1">
      <c r="A716" t="s">
        <v>6583</v>
      </c>
      <c r="B716">
        <v>27</v>
      </c>
      <c r="E716">
        <v>0</v>
      </c>
      <c r="H716">
        <v>0</v>
      </c>
    </row>
    <row r="717" spans="1:8" ht="13.95" customHeight="1">
      <c r="A717" t="s">
        <v>6583</v>
      </c>
      <c r="B717">
        <v>28</v>
      </c>
      <c r="E717">
        <v>0</v>
      </c>
      <c r="H717">
        <v>0</v>
      </c>
    </row>
    <row r="718" spans="1:8" ht="13.95" customHeight="1">
      <c r="A718" t="s">
        <v>6583</v>
      </c>
      <c r="B718">
        <v>29</v>
      </c>
      <c r="C718">
        <v>0</v>
      </c>
      <c r="F718">
        <v>0</v>
      </c>
    </row>
    <row r="719" spans="1:8" ht="13.95" customHeight="1">
      <c r="A719" t="s">
        <v>6583</v>
      </c>
      <c r="B719">
        <v>30</v>
      </c>
      <c r="C719">
        <v>0</v>
      </c>
      <c r="F719">
        <v>0</v>
      </c>
    </row>
    <row r="720" spans="1:8" ht="13.95" customHeight="1">
      <c r="A720" t="s">
        <v>6583</v>
      </c>
      <c r="B720">
        <v>31</v>
      </c>
      <c r="D720">
        <v>0</v>
      </c>
      <c r="G720">
        <v>0</v>
      </c>
    </row>
    <row r="721" spans="1:8" ht="13.95" customHeight="1">
      <c r="A721" t="s">
        <v>6583</v>
      </c>
      <c r="B721">
        <v>32</v>
      </c>
      <c r="D721">
        <v>0</v>
      </c>
      <c r="G721">
        <v>0</v>
      </c>
    </row>
    <row r="722" spans="1:8" ht="13.95" customHeight="1">
      <c r="A722" t="s">
        <v>6583</v>
      </c>
      <c r="B722">
        <v>33</v>
      </c>
      <c r="E722">
        <v>0</v>
      </c>
      <c r="H722">
        <v>0</v>
      </c>
    </row>
    <row r="723" spans="1:8" ht="13.95" customHeight="1">
      <c r="A723" t="s">
        <v>6583</v>
      </c>
      <c r="B723">
        <v>34</v>
      </c>
      <c r="E723">
        <v>0</v>
      </c>
      <c r="H723">
        <v>0</v>
      </c>
    </row>
    <row r="724" spans="1:8" ht="13.95" customHeight="1">
      <c r="A724" t="s">
        <v>6583</v>
      </c>
      <c r="B724">
        <v>35</v>
      </c>
      <c r="C724">
        <v>0</v>
      </c>
      <c r="F724">
        <v>0</v>
      </c>
    </row>
    <row r="725" spans="1:8" ht="13.95" customHeight="1">
      <c r="A725" t="s">
        <v>6583</v>
      </c>
      <c r="B725">
        <v>36</v>
      </c>
      <c r="C725">
        <v>0</v>
      </c>
      <c r="F725">
        <v>0</v>
      </c>
    </row>
    <row r="726" spans="1:8" ht="13.95" customHeight="1">
      <c r="A726" t="s">
        <v>6583</v>
      </c>
      <c r="B726">
        <v>37</v>
      </c>
      <c r="D726">
        <v>0</v>
      </c>
      <c r="G726">
        <v>0</v>
      </c>
    </row>
    <row r="727" spans="1:8" ht="13.95" customHeight="1">
      <c r="A727" t="s">
        <v>6583</v>
      </c>
      <c r="B727">
        <v>38</v>
      </c>
      <c r="D727">
        <v>0</v>
      </c>
      <c r="G727">
        <v>0</v>
      </c>
    </row>
    <row r="728" spans="1:8" ht="13.95" customHeight="1">
      <c r="A728" t="s">
        <v>6583</v>
      </c>
      <c r="B728">
        <v>39</v>
      </c>
      <c r="E728">
        <v>0</v>
      </c>
      <c r="H728">
        <v>0</v>
      </c>
    </row>
    <row r="729" spans="1:8" ht="13.95" customHeight="1">
      <c r="A729" t="s">
        <v>6583</v>
      </c>
      <c r="B729">
        <v>40</v>
      </c>
      <c r="E729">
        <v>0</v>
      </c>
      <c r="H729">
        <v>0</v>
      </c>
    </row>
    <row r="730" spans="1:8" ht="13.95" customHeight="1">
      <c r="A730" t="s">
        <v>6583</v>
      </c>
      <c r="B730">
        <v>41</v>
      </c>
      <c r="C730">
        <v>0</v>
      </c>
      <c r="F730">
        <v>0</v>
      </c>
    </row>
    <row r="731" spans="1:8" ht="13.95" customHeight="1">
      <c r="A731" t="s">
        <v>6583</v>
      </c>
      <c r="B731">
        <v>42</v>
      </c>
      <c r="C731">
        <v>0</v>
      </c>
      <c r="F731">
        <v>0</v>
      </c>
    </row>
    <row r="732" spans="1:8" ht="13.95" customHeight="1">
      <c r="A732" t="s">
        <v>6583</v>
      </c>
      <c r="B732">
        <v>43</v>
      </c>
      <c r="D732">
        <v>0</v>
      </c>
      <c r="G732">
        <v>0</v>
      </c>
    </row>
    <row r="733" spans="1:8" ht="13.95" customHeight="1">
      <c r="A733" t="s">
        <v>6583</v>
      </c>
      <c r="B733">
        <v>44</v>
      </c>
      <c r="D733">
        <v>0</v>
      </c>
      <c r="G733">
        <v>0</v>
      </c>
    </row>
    <row r="734" spans="1:8" ht="13.95" customHeight="1">
      <c r="A734" t="s">
        <v>6583</v>
      </c>
      <c r="B734">
        <v>45</v>
      </c>
      <c r="E734">
        <v>0</v>
      </c>
      <c r="H734">
        <v>0</v>
      </c>
    </row>
    <row r="735" spans="1:8" ht="13.95" customHeight="1">
      <c r="A735" t="s">
        <v>6583</v>
      </c>
      <c r="B735">
        <v>46</v>
      </c>
      <c r="E735">
        <v>0</v>
      </c>
      <c r="H735">
        <v>0</v>
      </c>
    </row>
    <row r="736" spans="1:8" ht="13.95" customHeight="1">
      <c r="A736" t="s">
        <v>6583</v>
      </c>
      <c r="B736">
        <v>47</v>
      </c>
      <c r="C736">
        <v>0</v>
      </c>
      <c r="F736">
        <v>0</v>
      </c>
    </row>
    <row r="737" spans="1:8" ht="13.95" customHeight="1">
      <c r="A737" t="s">
        <v>6583</v>
      </c>
      <c r="B737">
        <v>48</v>
      </c>
      <c r="C737">
        <v>0</v>
      </c>
      <c r="F737">
        <v>0</v>
      </c>
    </row>
    <row r="738" spans="1:8" ht="13.95" customHeight="1">
      <c r="A738" t="s">
        <v>6583</v>
      </c>
      <c r="B738">
        <v>49</v>
      </c>
      <c r="D738">
        <v>0</v>
      </c>
      <c r="G738">
        <v>0</v>
      </c>
    </row>
    <row r="739" spans="1:8" ht="13.95" customHeight="1">
      <c r="A739" t="s">
        <v>6583</v>
      </c>
      <c r="B739">
        <v>50</v>
      </c>
      <c r="D739">
        <v>0</v>
      </c>
      <c r="G739">
        <v>0</v>
      </c>
    </row>
    <row r="740" spans="1:8" ht="13.95" customHeight="1">
      <c r="A740" t="s">
        <v>6583</v>
      </c>
      <c r="B740">
        <v>51</v>
      </c>
      <c r="E740">
        <v>0</v>
      </c>
      <c r="H740">
        <v>0</v>
      </c>
    </row>
    <row r="741" spans="1:8" ht="13.95" customHeight="1">
      <c r="A741" t="s">
        <v>6583</v>
      </c>
      <c r="B741">
        <v>52</v>
      </c>
      <c r="E741">
        <v>0</v>
      </c>
      <c r="H741">
        <v>0</v>
      </c>
    </row>
    <row r="742" spans="1:8" ht="13.95" customHeight="1">
      <c r="A742" t="s">
        <v>6583</v>
      </c>
      <c r="B742">
        <v>53</v>
      </c>
      <c r="C742">
        <v>0</v>
      </c>
      <c r="F742">
        <v>0</v>
      </c>
    </row>
    <row r="743" spans="1:8" ht="13.95" customHeight="1">
      <c r="A743" t="s">
        <v>6583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3830" t="s">
        <v>8717</v>
      </c>
      <c r="B1" s="3830" t="s">
        <v>8718</v>
      </c>
      <c r="C1" s="3830" t="s">
        <v>8719</v>
      </c>
      <c r="D1" s="3830"/>
      <c r="E1" s="3830"/>
      <c r="F1" s="3830" t="s">
        <v>8720</v>
      </c>
      <c r="G1" s="3830"/>
      <c r="H1" s="3830"/>
      <c r="I1" s="3830" t="s">
        <v>8721</v>
      </c>
      <c r="J1" s="3830"/>
      <c r="K1" s="3830"/>
    </row>
    <row r="2" spans="1:11" ht="17.399999999999999">
      <c r="A2" s="3830"/>
      <c r="B2" s="3830"/>
      <c r="C2" s="2588" t="s">
        <v>4141</v>
      </c>
      <c r="D2" s="2588" t="s">
        <v>4142</v>
      </c>
      <c r="E2" s="2588" t="s">
        <v>4143</v>
      </c>
      <c r="F2" s="2588" t="s">
        <v>4141</v>
      </c>
      <c r="G2" s="2588" t="s">
        <v>4142</v>
      </c>
      <c r="H2" s="2588" t="s">
        <v>4143</v>
      </c>
      <c r="I2" s="2588" t="s">
        <v>4141</v>
      </c>
      <c r="J2" s="2588" t="s">
        <v>4142</v>
      </c>
      <c r="K2" s="2588" t="s">
        <v>4143</v>
      </c>
    </row>
    <row r="3" spans="1:11">
      <c r="A3" t="s">
        <v>6516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3.95" customHeight="1">
      <c r="A4" t="s">
        <v>6516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3.95" customHeight="1">
      <c r="A5" t="s">
        <v>6516</v>
      </c>
      <c r="B5">
        <v>3</v>
      </c>
      <c r="C5">
        <v>0</v>
      </c>
      <c r="D5">
        <v>0</v>
      </c>
      <c r="E5">
        <v>0</v>
      </c>
      <c r="F5">
        <v>23.61</v>
      </c>
      <c r="G5">
        <v>23.76</v>
      </c>
      <c r="H5">
        <v>23.46</v>
      </c>
      <c r="I5">
        <v>8.9631944444444445E-2</v>
      </c>
      <c r="J5">
        <v>9.0312500000000004E-2</v>
      </c>
      <c r="K5">
        <v>9.0187500000000004E-2</v>
      </c>
    </row>
    <row r="6" spans="1:11" ht="13.95" customHeight="1">
      <c r="A6" t="s">
        <v>6516</v>
      </c>
      <c r="B6">
        <v>4</v>
      </c>
      <c r="C6">
        <v>0</v>
      </c>
      <c r="D6">
        <v>0</v>
      </c>
      <c r="E6">
        <v>0</v>
      </c>
      <c r="F6">
        <v>23.36</v>
      </c>
      <c r="G6">
        <v>23.55</v>
      </c>
      <c r="H6">
        <v>23.17</v>
      </c>
      <c r="I6">
        <v>18.489158901043886</v>
      </c>
      <c r="J6">
        <v>18.644782231911346</v>
      </c>
      <c r="K6">
        <v>18.312332697406603</v>
      </c>
    </row>
    <row r="7" spans="1:11" ht="13.95" customHeight="1">
      <c r="A7" t="s">
        <v>6516</v>
      </c>
      <c r="B7">
        <v>5</v>
      </c>
      <c r="C7">
        <v>0</v>
      </c>
      <c r="D7">
        <v>0</v>
      </c>
      <c r="E7">
        <v>0</v>
      </c>
      <c r="F7">
        <v>22.89</v>
      </c>
      <c r="G7">
        <v>23.07</v>
      </c>
      <c r="H7">
        <v>22.82</v>
      </c>
      <c r="I7">
        <v>0.10713194444444443</v>
      </c>
      <c r="J7">
        <v>0.10782638888888892</v>
      </c>
      <c r="K7">
        <v>0.10769444444444444</v>
      </c>
    </row>
    <row r="8" spans="1:11" ht="13.95" customHeight="1">
      <c r="A8" t="s">
        <v>6516</v>
      </c>
      <c r="B8">
        <v>6</v>
      </c>
      <c r="C8">
        <v>0</v>
      </c>
      <c r="D8">
        <v>0</v>
      </c>
      <c r="E8">
        <v>0</v>
      </c>
      <c r="F8">
        <v>25.12</v>
      </c>
      <c r="G8">
        <v>24.87</v>
      </c>
      <c r="H8">
        <v>25.07</v>
      </c>
      <c r="I8">
        <v>19.472525091664998</v>
      </c>
      <c r="J8">
        <v>19.097159537032105</v>
      </c>
      <c r="K8">
        <v>19.443690508223796</v>
      </c>
    </row>
    <row r="9" spans="1:11" ht="13.95" customHeight="1">
      <c r="A9" t="s">
        <v>6516</v>
      </c>
      <c r="B9">
        <v>7</v>
      </c>
      <c r="C9">
        <v>0</v>
      </c>
      <c r="D9">
        <v>0</v>
      </c>
      <c r="E9">
        <v>0</v>
      </c>
      <c r="F9">
        <v>24.35</v>
      </c>
      <c r="G9">
        <v>24.49</v>
      </c>
      <c r="H9">
        <v>24.17</v>
      </c>
      <c r="I9">
        <v>16.942003171020083</v>
      </c>
      <c r="J9">
        <v>16.960594720984748</v>
      </c>
      <c r="K9">
        <v>16.632447939011897</v>
      </c>
    </row>
    <row r="10" spans="1:11" ht="13.95" customHeight="1">
      <c r="A10" t="s">
        <v>6516</v>
      </c>
      <c r="B10">
        <v>8</v>
      </c>
      <c r="C10">
        <v>0</v>
      </c>
      <c r="D10">
        <v>0</v>
      </c>
      <c r="E10">
        <v>0</v>
      </c>
      <c r="F10">
        <v>24.27</v>
      </c>
      <c r="G10">
        <v>24.59</v>
      </c>
      <c r="H10">
        <v>24.08</v>
      </c>
      <c r="I10">
        <v>10.647513408947125</v>
      </c>
      <c r="J10">
        <v>10.751144957669229</v>
      </c>
      <c r="K10">
        <v>10.674669259877806</v>
      </c>
    </row>
    <row r="11" spans="1:11" ht="13.95" customHeight="1">
      <c r="A11" t="s">
        <v>6516</v>
      </c>
      <c r="B11">
        <v>9</v>
      </c>
      <c r="C11">
        <v>0</v>
      </c>
      <c r="D11">
        <v>0</v>
      </c>
      <c r="E11">
        <v>0</v>
      </c>
      <c r="F11">
        <v>21.16</v>
      </c>
      <c r="G11">
        <v>21.46</v>
      </c>
      <c r="H11">
        <v>20.97</v>
      </c>
      <c r="I11">
        <v>0.11087499999999997</v>
      </c>
      <c r="J11">
        <v>0.11231250000000001</v>
      </c>
      <c r="K11">
        <v>0.11120138888888889</v>
      </c>
    </row>
    <row r="12" spans="1:11" ht="13.95" customHeight="1">
      <c r="A12" t="s">
        <v>6516</v>
      </c>
      <c r="B12">
        <v>10</v>
      </c>
      <c r="C12">
        <v>0</v>
      </c>
      <c r="D12">
        <v>0</v>
      </c>
      <c r="E12">
        <v>0</v>
      </c>
      <c r="F12">
        <v>18.53</v>
      </c>
      <c r="G12">
        <v>18.73</v>
      </c>
      <c r="H12">
        <v>18.440000000000001</v>
      </c>
      <c r="I12">
        <v>6.2152777777777779E-2</v>
      </c>
      <c r="J12">
        <v>6.3291666666666663E-2</v>
      </c>
      <c r="K12">
        <v>6.2590277777777772E-2</v>
      </c>
    </row>
    <row r="13" spans="1:11" ht="13.95" customHeight="1">
      <c r="A13" t="s">
        <v>6516</v>
      </c>
      <c r="B13">
        <v>11</v>
      </c>
      <c r="C13">
        <v>0</v>
      </c>
      <c r="D13">
        <v>0</v>
      </c>
      <c r="E13">
        <v>0</v>
      </c>
      <c r="F13">
        <v>24.56</v>
      </c>
      <c r="G13">
        <v>25.2</v>
      </c>
      <c r="H13">
        <v>24.52</v>
      </c>
      <c r="I13">
        <v>7.1827658095899929E-2</v>
      </c>
      <c r="J13">
        <v>7.4086170952050029E-2</v>
      </c>
      <c r="K13">
        <v>7.2307157748436407E-2</v>
      </c>
    </row>
    <row r="14" spans="1:11" ht="13.95" customHeight="1">
      <c r="A14" t="s">
        <v>6516</v>
      </c>
      <c r="B14">
        <v>12</v>
      </c>
      <c r="C14">
        <v>0</v>
      </c>
      <c r="D14">
        <v>0</v>
      </c>
      <c r="E14">
        <v>0</v>
      </c>
      <c r="F14">
        <v>20.87</v>
      </c>
      <c r="G14">
        <v>19.02</v>
      </c>
      <c r="H14">
        <v>20.81</v>
      </c>
      <c r="I14">
        <v>4.0979166666666664E-2</v>
      </c>
      <c r="J14">
        <v>3.7326388888888895E-2</v>
      </c>
      <c r="K14">
        <v>4.0680555555555546E-2</v>
      </c>
    </row>
    <row r="15" spans="1:11" ht="13.95" customHeight="1">
      <c r="A15" t="s">
        <v>6516</v>
      </c>
      <c r="B15">
        <v>13</v>
      </c>
      <c r="C15">
        <v>0</v>
      </c>
      <c r="F15">
        <v>0</v>
      </c>
    </row>
    <row r="16" spans="1:11" ht="13.95" customHeight="1">
      <c r="A16" t="s">
        <v>6516</v>
      </c>
      <c r="B16">
        <v>14</v>
      </c>
      <c r="C16">
        <v>0</v>
      </c>
      <c r="F16">
        <v>0</v>
      </c>
    </row>
    <row r="17" spans="1:11" ht="13.95" customHeight="1">
      <c r="A17" t="s">
        <v>6516</v>
      </c>
      <c r="B17">
        <v>15</v>
      </c>
      <c r="D17">
        <v>0</v>
      </c>
      <c r="G17">
        <v>0</v>
      </c>
    </row>
    <row r="18" spans="1:11" ht="13.95" customHeight="1">
      <c r="A18" t="s">
        <v>6516</v>
      </c>
      <c r="B18">
        <v>16</v>
      </c>
      <c r="D18">
        <v>0</v>
      </c>
      <c r="G18">
        <v>19.350000000000001</v>
      </c>
      <c r="J18">
        <v>13.151715920398475</v>
      </c>
    </row>
    <row r="19" spans="1:11" ht="13.95" customHeight="1">
      <c r="A19" t="s">
        <v>6516</v>
      </c>
      <c r="B19">
        <v>17</v>
      </c>
      <c r="E19">
        <v>0</v>
      </c>
      <c r="H19">
        <v>0</v>
      </c>
    </row>
    <row r="20" spans="1:11" ht="13.95" customHeight="1">
      <c r="A20" t="s">
        <v>6516</v>
      </c>
      <c r="B20">
        <v>18</v>
      </c>
      <c r="E20">
        <v>0</v>
      </c>
      <c r="H20">
        <v>17.05</v>
      </c>
      <c r="K20">
        <v>10.07515281358271</v>
      </c>
    </row>
    <row r="21" spans="1:11" ht="13.95" customHeight="1">
      <c r="A21" t="s">
        <v>6517</v>
      </c>
      <c r="B21">
        <v>1</v>
      </c>
      <c r="C21">
        <v>0.24</v>
      </c>
      <c r="D21">
        <v>0</v>
      </c>
      <c r="E21">
        <v>0.24</v>
      </c>
      <c r="F21">
        <v>20.11</v>
      </c>
      <c r="G21">
        <v>19.559999999999999</v>
      </c>
      <c r="H21">
        <v>19.309999999999999</v>
      </c>
      <c r="I21">
        <v>0.24261258497424204</v>
      </c>
      <c r="J21">
        <v>3.4978004167631395E-2</v>
      </c>
      <c r="K21">
        <v>0.24612127125692088</v>
      </c>
    </row>
    <row r="22" spans="1:11" ht="13.95" customHeight="1">
      <c r="A22" t="s">
        <v>6517</v>
      </c>
      <c r="B22">
        <v>2</v>
      </c>
      <c r="C22">
        <v>0.24</v>
      </c>
      <c r="D22">
        <v>0</v>
      </c>
      <c r="E22">
        <v>0.24</v>
      </c>
      <c r="F22">
        <v>20.54</v>
      </c>
      <c r="G22">
        <v>20.16</v>
      </c>
      <c r="H22">
        <v>20.12</v>
      </c>
      <c r="I22">
        <v>0.24323465539033007</v>
      </c>
      <c r="J22">
        <v>4.3730030099560085E-2</v>
      </c>
      <c r="K22">
        <v>0.247325452799422</v>
      </c>
    </row>
    <row r="23" spans="1:11" ht="13.95" customHeight="1">
      <c r="A23" t="s">
        <v>6517</v>
      </c>
      <c r="B23">
        <v>3</v>
      </c>
      <c r="C23">
        <v>0.24</v>
      </c>
      <c r="D23">
        <v>0</v>
      </c>
      <c r="E23">
        <v>0.23</v>
      </c>
      <c r="F23">
        <v>19.89</v>
      </c>
      <c r="G23">
        <v>19.36</v>
      </c>
      <c r="H23">
        <v>19.48</v>
      </c>
      <c r="I23">
        <v>0.24398074784735665</v>
      </c>
      <c r="J23">
        <v>3.7798101412363977E-2</v>
      </c>
      <c r="K23">
        <v>0.23424420687304523</v>
      </c>
    </row>
    <row r="24" spans="1:11" ht="13.95" customHeight="1">
      <c r="A24" t="s">
        <v>6517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95" customHeight="1">
      <c r="A25" t="s">
        <v>6518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95" customHeight="1">
      <c r="A26" t="s">
        <v>6518</v>
      </c>
      <c r="B26">
        <v>2</v>
      </c>
      <c r="C26">
        <v>0</v>
      </c>
      <c r="F26">
        <v>0</v>
      </c>
    </row>
    <row r="27" spans="1:11" ht="13.95" customHeight="1">
      <c r="A27" t="s">
        <v>6518</v>
      </c>
      <c r="B27">
        <v>3</v>
      </c>
      <c r="D27">
        <v>0</v>
      </c>
      <c r="G27">
        <v>0</v>
      </c>
    </row>
    <row r="28" spans="1:11" ht="13.95" customHeight="1">
      <c r="A28" t="s">
        <v>6518</v>
      </c>
      <c r="B28">
        <v>4</v>
      </c>
      <c r="E28">
        <v>0</v>
      </c>
      <c r="H28">
        <v>0</v>
      </c>
    </row>
    <row r="29" spans="1:11" ht="13.95" customHeight="1">
      <c r="A29" t="s">
        <v>6518</v>
      </c>
      <c r="B29">
        <v>5</v>
      </c>
      <c r="C29">
        <v>0</v>
      </c>
      <c r="F29">
        <v>0</v>
      </c>
    </row>
    <row r="30" spans="1:11" ht="13.95" customHeight="1">
      <c r="A30" t="s">
        <v>6518</v>
      </c>
      <c r="B30">
        <v>6</v>
      </c>
      <c r="D30">
        <v>9.27</v>
      </c>
      <c r="G30">
        <v>14.26</v>
      </c>
      <c r="J30">
        <v>12.666275002960514</v>
      </c>
    </row>
    <row r="31" spans="1:11" ht="13.95" customHeight="1">
      <c r="A31" t="s">
        <v>6518</v>
      </c>
      <c r="B31">
        <v>7</v>
      </c>
      <c r="E31">
        <v>8.67</v>
      </c>
      <c r="H31">
        <v>12.86</v>
      </c>
      <c r="K31">
        <v>11.468918966039302</v>
      </c>
    </row>
    <row r="32" spans="1:11" ht="13.95" customHeight="1">
      <c r="A32" t="s">
        <v>6518</v>
      </c>
      <c r="B32">
        <v>8</v>
      </c>
      <c r="C32">
        <v>9.7200000000000006</v>
      </c>
      <c r="F32">
        <v>15.78</v>
      </c>
      <c r="I32">
        <v>13.732746221524845</v>
      </c>
    </row>
    <row r="33" spans="1:11" ht="13.95" customHeight="1">
      <c r="A33" t="s">
        <v>6518</v>
      </c>
      <c r="B33">
        <v>9</v>
      </c>
      <c r="D33">
        <v>0</v>
      </c>
      <c r="G33">
        <v>0</v>
      </c>
    </row>
    <row r="34" spans="1:11" ht="13.95" customHeight="1">
      <c r="A34" t="s">
        <v>6518</v>
      </c>
      <c r="B34">
        <v>10</v>
      </c>
      <c r="E34">
        <v>0</v>
      </c>
      <c r="H34">
        <v>0</v>
      </c>
    </row>
    <row r="35" spans="1:11" ht="13.95" customHeight="1">
      <c r="A35" t="s">
        <v>6518</v>
      </c>
      <c r="B35">
        <v>11</v>
      </c>
      <c r="C35">
        <v>1.03</v>
      </c>
      <c r="F35">
        <v>1.05</v>
      </c>
      <c r="I35">
        <v>1.0397182116716963</v>
      </c>
    </row>
    <row r="36" spans="1:11" ht="13.95" customHeight="1">
      <c r="A36" t="s">
        <v>6518</v>
      </c>
      <c r="B36">
        <v>12</v>
      </c>
      <c r="D36">
        <v>1.38</v>
      </c>
      <c r="G36">
        <v>1.55</v>
      </c>
      <c r="J36">
        <v>1.4690545237342105</v>
      </c>
    </row>
    <row r="37" spans="1:11" ht="13.95" customHeight="1">
      <c r="A37" t="s">
        <v>6518</v>
      </c>
      <c r="B37">
        <v>13</v>
      </c>
      <c r="E37">
        <v>1.48</v>
      </c>
      <c r="H37">
        <v>1.6</v>
      </c>
      <c r="K37">
        <v>1.5392538122517241</v>
      </c>
    </row>
    <row r="38" spans="1:11" ht="13.95" customHeight="1">
      <c r="A38" t="s">
        <v>6518</v>
      </c>
      <c r="B38">
        <v>14</v>
      </c>
      <c r="C38">
        <v>0</v>
      </c>
      <c r="F38">
        <v>0</v>
      </c>
    </row>
    <row r="39" spans="1:11" ht="13.95" customHeight="1">
      <c r="A39" t="s">
        <v>6518</v>
      </c>
      <c r="B39">
        <v>15</v>
      </c>
      <c r="D39">
        <v>0</v>
      </c>
      <c r="G39">
        <v>0</v>
      </c>
    </row>
    <row r="40" spans="1:11" ht="13.95" customHeight="1">
      <c r="A40" t="s">
        <v>6518</v>
      </c>
      <c r="B40">
        <v>16</v>
      </c>
      <c r="E40">
        <v>0</v>
      </c>
      <c r="H40">
        <v>0</v>
      </c>
    </row>
    <row r="41" spans="1:11" ht="13.95" customHeight="1">
      <c r="A41" t="s">
        <v>6518</v>
      </c>
      <c r="B41">
        <v>17</v>
      </c>
      <c r="C41">
        <v>8.99</v>
      </c>
      <c r="F41">
        <v>11.96</v>
      </c>
      <c r="I41">
        <v>11.134044988152482</v>
      </c>
    </row>
    <row r="42" spans="1:11" ht="13.95" customHeight="1">
      <c r="A42" t="s">
        <v>6518</v>
      </c>
      <c r="B42">
        <v>18</v>
      </c>
      <c r="D42">
        <v>7.05</v>
      </c>
      <c r="G42">
        <v>11.03</v>
      </c>
      <c r="J42">
        <v>9.9932397988825556</v>
      </c>
    </row>
    <row r="43" spans="1:11" ht="13.95" customHeight="1">
      <c r="A43" t="s">
        <v>6518</v>
      </c>
      <c r="B43">
        <v>19</v>
      </c>
      <c r="E43">
        <v>8</v>
      </c>
      <c r="H43">
        <v>13.11</v>
      </c>
      <c r="K43">
        <v>11.758315303143744</v>
      </c>
    </row>
    <row r="44" spans="1:11" ht="13.95" customHeight="1">
      <c r="A44" t="s">
        <v>6518</v>
      </c>
      <c r="B44">
        <v>20</v>
      </c>
      <c r="C44">
        <v>6.62</v>
      </c>
      <c r="F44">
        <v>10.56</v>
      </c>
      <c r="I44">
        <v>9.598684548806192</v>
      </c>
    </row>
    <row r="45" spans="1:11" ht="13.95" customHeight="1">
      <c r="A45" t="s">
        <v>6518</v>
      </c>
      <c r="B45">
        <v>21</v>
      </c>
      <c r="D45">
        <v>8.7899999999999991</v>
      </c>
      <c r="G45">
        <v>13.37</v>
      </c>
      <c r="J45">
        <v>11.858039982831528</v>
      </c>
    </row>
    <row r="46" spans="1:11" ht="13.95" customHeight="1">
      <c r="A46" t="s">
        <v>6518</v>
      </c>
      <c r="B46">
        <v>22</v>
      </c>
      <c r="E46">
        <v>0</v>
      </c>
      <c r="H46">
        <v>0</v>
      </c>
    </row>
    <row r="47" spans="1:11" ht="13.95" customHeight="1">
      <c r="A47" t="s">
        <v>6518</v>
      </c>
      <c r="B47">
        <v>23</v>
      </c>
      <c r="C47">
        <v>0</v>
      </c>
      <c r="F47">
        <v>0</v>
      </c>
    </row>
    <row r="48" spans="1:11" ht="13.95" customHeight="1">
      <c r="A48" t="s">
        <v>6518</v>
      </c>
      <c r="B48">
        <v>24</v>
      </c>
      <c r="D48">
        <v>0</v>
      </c>
      <c r="G48">
        <v>0</v>
      </c>
    </row>
    <row r="49" spans="1:11" ht="13.95" customHeight="1">
      <c r="A49" t="s">
        <v>6518</v>
      </c>
      <c r="B49">
        <v>25</v>
      </c>
      <c r="E49">
        <v>0</v>
      </c>
      <c r="H49">
        <v>0</v>
      </c>
    </row>
    <row r="50" spans="1:11" ht="13.95" customHeight="1">
      <c r="A50" t="s">
        <v>6518</v>
      </c>
      <c r="B50">
        <v>26</v>
      </c>
      <c r="C50">
        <v>0</v>
      </c>
      <c r="F50">
        <v>0</v>
      </c>
    </row>
    <row r="51" spans="1:11" ht="13.95" customHeight="1">
      <c r="A51" t="s">
        <v>6518</v>
      </c>
      <c r="B51">
        <v>55</v>
      </c>
      <c r="C51">
        <v>0</v>
      </c>
      <c r="D51">
        <v>0.57999999999999996</v>
      </c>
      <c r="E51">
        <v>0.72</v>
      </c>
      <c r="F51">
        <v>0</v>
      </c>
      <c r="G51">
        <v>0.6</v>
      </c>
      <c r="H51">
        <v>0.74</v>
      </c>
      <c r="J51">
        <v>0.58977884924955293</v>
      </c>
      <c r="K51">
        <v>0.73531572481168983</v>
      </c>
    </row>
    <row r="52" spans="1:11" ht="13.95" customHeight="1">
      <c r="A52" t="s">
        <v>6518</v>
      </c>
      <c r="B52">
        <v>56</v>
      </c>
      <c r="C52">
        <v>0</v>
      </c>
      <c r="F52">
        <v>0</v>
      </c>
    </row>
    <row r="53" spans="1:11" ht="13.95" customHeight="1">
      <c r="A53" t="s">
        <v>6518</v>
      </c>
      <c r="B53">
        <v>57</v>
      </c>
      <c r="D53">
        <v>0</v>
      </c>
      <c r="G53">
        <v>0</v>
      </c>
    </row>
    <row r="54" spans="1:11" ht="13.95" customHeight="1">
      <c r="A54" t="s">
        <v>6518</v>
      </c>
      <c r="B54">
        <v>58</v>
      </c>
      <c r="E54">
        <v>1.52</v>
      </c>
      <c r="H54">
        <v>1.55</v>
      </c>
      <c r="K54">
        <v>1.5285285637310571</v>
      </c>
    </row>
    <row r="55" spans="1:11" ht="13.95" customHeight="1">
      <c r="A55" t="s">
        <v>6518</v>
      </c>
      <c r="B55">
        <v>59</v>
      </c>
      <c r="C55">
        <v>0</v>
      </c>
      <c r="F55">
        <v>0</v>
      </c>
    </row>
    <row r="56" spans="1:11" ht="13.95" customHeight="1">
      <c r="A56" t="s">
        <v>6518</v>
      </c>
      <c r="B56">
        <v>60</v>
      </c>
      <c r="D56">
        <v>0</v>
      </c>
      <c r="G56">
        <v>0</v>
      </c>
    </row>
    <row r="57" spans="1:11" ht="13.95" customHeight="1">
      <c r="A57" t="s">
        <v>6518</v>
      </c>
      <c r="B57">
        <v>61</v>
      </c>
      <c r="E57">
        <v>0</v>
      </c>
      <c r="H57">
        <v>0</v>
      </c>
    </row>
    <row r="58" spans="1:11" ht="13.95" customHeight="1">
      <c r="A58" t="s">
        <v>6518</v>
      </c>
      <c r="B58">
        <v>62</v>
      </c>
      <c r="C58">
        <v>0</v>
      </c>
      <c r="F58">
        <v>0</v>
      </c>
    </row>
    <row r="59" spans="1:11" ht="13.95" customHeight="1">
      <c r="A59" t="s">
        <v>6518</v>
      </c>
      <c r="B59">
        <v>63</v>
      </c>
      <c r="D59">
        <v>0</v>
      </c>
      <c r="G59">
        <v>0</v>
      </c>
    </row>
    <row r="60" spans="1:11" ht="13.95" customHeight="1">
      <c r="A60" t="s">
        <v>6518</v>
      </c>
      <c r="B60">
        <v>64</v>
      </c>
      <c r="E60">
        <v>0</v>
      </c>
      <c r="H60">
        <v>0</v>
      </c>
    </row>
    <row r="61" spans="1:11" ht="13.95" customHeight="1">
      <c r="A61" t="s">
        <v>6518</v>
      </c>
      <c r="B61">
        <v>65</v>
      </c>
      <c r="C61">
        <v>0</v>
      </c>
      <c r="F61">
        <v>0</v>
      </c>
    </row>
    <row r="62" spans="1:11" ht="13.95" customHeight="1">
      <c r="A62" t="s">
        <v>6518</v>
      </c>
      <c r="B62">
        <v>66</v>
      </c>
      <c r="D62">
        <v>0</v>
      </c>
      <c r="G62">
        <v>0</v>
      </c>
    </row>
    <row r="63" spans="1:11" ht="13.95" customHeight="1">
      <c r="A63" t="s">
        <v>6518</v>
      </c>
      <c r="B63">
        <v>67</v>
      </c>
      <c r="E63">
        <v>0</v>
      </c>
      <c r="H63">
        <v>0</v>
      </c>
    </row>
    <row r="64" spans="1:11" ht="13.95" customHeight="1">
      <c r="A64" t="s">
        <v>6518</v>
      </c>
      <c r="B64">
        <v>68</v>
      </c>
      <c r="C64">
        <v>0</v>
      </c>
      <c r="F64">
        <v>0</v>
      </c>
    </row>
    <row r="65" spans="1:11" ht="13.95" customHeight="1">
      <c r="A65" t="s">
        <v>6518</v>
      </c>
      <c r="B65">
        <v>69</v>
      </c>
      <c r="D65">
        <v>0</v>
      </c>
      <c r="G65">
        <v>0</v>
      </c>
    </row>
    <row r="66" spans="1:11" ht="13.95" customHeight="1">
      <c r="A66" t="s">
        <v>6518</v>
      </c>
      <c r="B66">
        <v>70</v>
      </c>
      <c r="E66">
        <v>0</v>
      </c>
      <c r="H66">
        <v>0</v>
      </c>
    </row>
    <row r="67" spans="1:11" ht="13.95" customHeight="1">
      <c r="A67" t="s">
        <v>6518</v>
      </c>
      <c r="B67">
        <v>71</v>
      </c>
      <c r="C67">
        <v>0</v>
      </c>
      <c r="F67">
        <v>0</v>
      </c>
    </row>
    <row r="68" spans="1:11" ht="13.95" customHeight="1">
      <c r="A68" t="s">
        <v>6518</v>
      </c>
      <c r="B68">
        <v>72</v>
      </c>
      <c r="D68">
        <v>0</v>
      </c>
      <c r="G68">
        <v>0</v>
      </c>
    </row>
    <row r="69" spans="1:11" ht="13.95" customHeight="1">
      <c r="A69" t="s">
        <v>6518</v>
      </c>
      <c r="B69">
        <v>73</v>
      </c>
      <c r="E69">
        <v>0</v>
      </c>
      <c r="H69">
        <v>0</v>
      </c>
    </row>
    <row r="70" spans="1:11" ht="13.95" customHeight="1">
      <c r="A70" t="s">
        <v>6518</v>
      </c>
      <c r="B70">
        <v>74</v>
      </c>
      <c r="C70">
        <v>0</v>
      </c>
      <c r="F70">
        <v>0</v>
      </c>
    </row>
    <row r="71" spans="1:11" ht="13.95" customHeight="1">
      <c r="A71" t="s">
        <v>6518</v>
      </c>
      <c r="B71">
        <v>75</v>
      </c>
      <c r="D71">
        <v>0</v>
      </c>
      <c r="G71">
        <v>0</v>
      </c>
    </row>
    <row r="72" spans="1:11" ht="13.95" customHeight="1">
      <c r="A72" t="s">
        <v>6518</v>
      </c>
      <c r="B72">
        <v>76</v>
      </c>
      <c r="E72">
        <v>0</v>
      </c>
      <c r="H72">
        <v>0</v>
      </c>
    </row>
    <row r="73" spans="1:11" ht="13.95" customHeight="1">
      <c r="A73" t="s">
        <v>6518</v>
      </c>
      <c r="B73">
        <v>77</v>
      </c>
      <c r="C73">
        <v>0</v>
      </c>
      <c r="F73">
        <v>0</v>
      </c>
    </row>
    <row r="74" spans="1:11" ht="13.95" customHeight="1">
      <c r="A74" t="s">
        <v>6518</v>
      </c>
      <c r="B74">
        <v>78</v>
      </c>
      <c r="D74">
        <v>0.61</v>
      </c>
      <c r="G74">
        <v>0.65</v>
      </c>
      <c r="J74">
        <v>0.62169435433097731</v>
      </c>
    </row>
    <row r="75" spans="1:11" ht="13.95" customHeight="1">
      <c r="A75" t="s">
        <v>6518</v>
      </c>
      <c r="B75">
        <v>79</v>
      </c>
      <c r="E75">
        <v>1.72</v>
      </c>
      <c r="H75">
        <v>1.76</v>
      </c>
      <c r="K75">
        <v>1.7359622786536317</v>
      </c>
    </row>
    <row r="76" spans="1:11" ht="13.95" customHeight="1">
      <c r="A76" t="s">
        <v>6518</v>
      </c>
      <c r="B76">
        <v>80</v>
      </c>
      <c r="C76">
        <v>0</v>
      </c>
      <c r="F76">
        <v>0</v>
      </c>
    </row>
    <row r="77" spans="1:11" ht="13.95" customHeight="1">
      <c r="A77" t="s">
        <v>6519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95" customHeight="1">
      <c r="A78" t="s">
        <v>6519</v>
      </c>
      <c r="B78">
        <v>2</v>
      </c>
      <c r="C78">
        <v>0</v>
      </c>
      <c r="F78">
        <v>0</v>
      </c>
    </row>
    <row r="79" spans="1:11" ht="13.95" customHeight="1">
      <c r="A79" t="s">
        <v>6519</v>
      </c>
      <c r="B79">
        <v>3</v>
      </c>
      <c r="D79">
        <v>0</v>
      </c>
      <c r="G79">
        <v>0</v>
      </c>
    </row>
    <row r="80" spans="1:11" ht="13.95" customHeight="1">
      <c r="A80" t="s">
        <v>6519</v>
      </c>
      <c r="B80">
        <v>4</v>
      </c>
      <c r="E80">
        <v>0</v>
      </c>
      <c r="H80">
        <v>0</v>
      </c>
    </row>
    <row r="81" spans="1:11" ht="13.95" customHeight="1">
      <c r="A81" t="s">
        <v>6519</v>
      </c>
      <c r="B81">
        <v>5</v>
      </c>
      <c r="C81">
        <v>0</v>
      </c>
      <c r="F81">
        <v>0</v>
      </c>
    </row>
    <row r="82" spans="1:11" ht="13.95" customHeight="1">
      <c r="A82" t="s">
        <v>6519</v>
      </c>
      <c r="B82">
        <v>6</v>
      </c>
      <c r="D82">
        <v>7.61</v>
      </c>
      <c r="G82">
        <v>11.95</v>
      </c>
      <c r="J82">
        <v>10.622465085920162</v>
      </c>
    </row>
    <row r="83" spans="1:11" ht="13.95" customHeight="1">
      <c r="A83" t="s">
        <v>6519</v>
      </c>
      <c r="B83">
        <v>7</v>
      </c>
      <c r="E83">
        <v>9.42</v>
      </c>
      <c r="H83">
        <v>14.72</v>
      </c>
      <c r="K83">
        <v>13.055166285645971</v>
      </c>
    </row>
    <row r="84" spans="1:11" ht="13.95" customHeight="1">
      <c r="A84" t="s">
        <v>6519</v>
      </c>
      <c r="B84">
        <v>8</v>
      </c>
      <c r="C84">
        <v>8.26</v>
      </c>
      <c r="F84">
        <v>13.04</v>
      </c>
      <c r="I84">
        <v>11.415899852950707</v>
      </c>
    </row>
    <row r="85" spans="1:11" ht="13.95" customHeight="1">
      <c r="A85" t="s">
        <v>6519</v>
      </c>
      <c r="B85">
        <v>9</v>
      </c>
      <c r="D85">
        <v>0</v>
      </c>
      <c r="G85">
        <v>0</v>
      </c>
    </row>
    <row r="86" spans="1:11" ht="13.95" customHeight="1">
      <c r="A86" t="s">
        <v>6519</v>
      </c>
      <c r="B86">
        <v>10</v>
      </c>
      <c r="E86">
        <v>0</v>
      </c>
      <c r="H86">
        <v>0</v>
      </c>
    </row>
    <row r="87" spans="1:11" ht="13.95" customHeight="1">
      <c r="A87" t="s">
        <v>6519</v>
      </c>
      <c r="B87">
        <v>11</v>
      </c>
      <c r="C87">
        <v>0</v>
      </c>
      <c r="F87">
        <v>0</v>
      </c>
    </row>
    <row r="88" spans="1:11" ht="13.95" customHeight="1">
      <c r="A88" t="s">
        <v>6519</v>
      </c>
      <c r="B88">
        <v>12</v>
      </c>
      <c r="D88">
        <v>1.54</v>
      </c>
      <c r="G88">
        <v>1.7</v>
      </c>
      <c r="J88">
        <v>1.6399666308120915</v>
      </c>
    </row>
    <row r="89" spans="1:11" ht="13.95" customHeight="1">
      <c r="A89" t="s">
        <v>6519</v>
      </c>
      <c r="B89">
        <v>13</v>
      </c>
      <c r="E89">
        <v>1.26</v>
      </c>
      <c r="H89">
        <v>1.34</v>
      </c>
      <c r="K89">
        <v>1.3200646720363869</v>
      </c>
    </row>
    <row r="90" spans="1:11" ht="13.95" customHeight="1">
      <c r="A90" t="s">
        <v>6519</v>
      </c>
      <c r="B90">
        <v>14</v>
      </c>
      <c r="C90">
        <v>0</v>
      </c>
      <c r="F90">
        <v>0</v>
      </c>
    </row>
    <row r="91" spans="1:11" ht="13.95" customHeight="1">
      <c r="A91" t="s">
        <v>6519</v>
      </c>
      <c r="B91">
        <v>15</v>
      </c>
      <c r="D91">
        <v>0</v>
      </c>
      <c r="G91">
        <v>0</v>
      </c>
    </row>
    <row r="92" spans="1:11" ht="13.95" customHeight="1">
      <c r="A92" t="s">
        <v>6519</v>
      </c>
      <c r="B92">
        <v>16</v>
      </c>
      <c r="E92">
        <v>0</v>
      </c>
      <c r="H92">
        <v>0</v>
      </c>
    </row>
    <row r="93" spans="1:11" ht="13.95" customHeight="1">
      <c r="A93" t="s">
        <v>6519</v>
      </c>
      <c r="B93">
        <v>17</v>
      </c>
      <c r="C93">
        <v>9.6999999999999993</v>
      </c>
      <c r="F93">
        <v>13.2</v>
      </c>
      <c r="I93">
        <v>11.537900424145283</v>
      </c>
    </row>
    <row r="94" spans="1:11" ht="13.95" customHeight="1">
      <c r="A94" t="s">
        <v>6519</v>
      </c>
      <c r="B94">
        <v>18</v>
      </c>
      <c r="D94">
        <v>8.4499999999999993</v>
      </c>
      <c r="G94">
        <v>12.95</v>
      </c>
      <c r="J94">
        <v>11.679852358529383</v>
      </c>
    </row>
    <row r="95" spans="1:11" ht="13.95" customHeight="1">
      <c r="A95" t="s">
        <v>6519</v>
      </c>
      <c r="B95">
        <v>19</v>
      </c>
      <c r="E95">
        <v>7.07</v>
      </c>
      <c r="H95">
        <v>11</v>
      </c>
      <c r="K95">
        <v>9.7876376071845606</v>
      </c>
    </row>
    <row r="96" spans="1:11" ht="13.95" customHeight="1">
      <c r="A96" t="s">
        <v>6519</v>
      </c>
      <c r="B96">
        <v>20</v>
      </c>
      <c r="C96">
        <v>8.3800000000000008</v>
      </c>
      <c r="F96">
        <v>12.61</v>
      </c>
      <c r="I96">
        <v>11.485677673348082</v>
      </c>
    </row>
    <row r="97" spans="1:11" ht="13.95" customHeight="1">
      <c r="A97" t="s">
        <v>6519</v>
      </c>
      <c r="B97">
        <v>21</v>
      </c>
      <c r="D97">
        <v>7.19</v>
      </c>
      <c r="G97">
        <v>10.72</v>
      </c>
      <c r="J97">
        <v>9.5480765988241227</v>
      </c>
    </row>
    <row r="98" spans="1:11" ht="13.95" customHeight="1">
      <c r="A98" t="s">
        <v>6519</v>
      </c>
      <c r="B98">
        <v>22</v>
      </c>
      <c r="E98">
        <v>0</v>
      </c>
      <c r="H98">
        <v>0</v>
      </c>
    </row>
    <row r="99" spans="1:11" ht="13.95" customHeight="1">
      <c r="A99" t="s">
        <v>6519</v>
      </c>
      <c r="B99">
        <v>23</v>
      </c>
      <c r="C99">
        <v>0</v>
      </c>
      <c r="F99">
        <v>0</v>
      </c>
    </row>
    <row r="100" spans="1:11" ht="13.95" customHeight="1">
      <c r="A100" t="s">
        <v>6519</v>
      </c>
      <c r="B100">
        <v>24</v>
      </c>
      <c r="D100">
        <v>0</v>
      </c>
      <c r="G100">
        <v>0</v>
      </c>
    </row>
    <row r="101" spans="1:11" ht="13.95" customHeight="1">
      <c r="A101" t="s">
        <v>6519</v>
      </c>
      <c r="B101">
        <v>25</v>
      </c>
      <c r="E101">
        <v>0</v>
      </c>
      <c r="H101">
        <v>0</v>
      </c>
    </row>
    <row r="102" spans="1:11" ht="13.95" customHeight="1">
      <c r="A102" t="s">
        <v>6519</v>
      </c>
      <c r="B102">
        <v>26</v>
      </c>
      <c r="C102">
        <v>0</v>
      </c>
      <c r="F102">
        <v>0</v>
      </c>
    </row>
    <row r="103" spans="1:11" ht="13.95" customHeight="1">
      <c r="A103" t="s">
        <v>6519</v>
      </c>
      <c r="B103">
        <v>55</v>
      </c>
      <c r="C103">
        <v>0</v>
      </c>
      <c r="D103">
        <v>0.65</v>
      </c>
      <c r="E103">
        <v>0.73</v>
      </c>
      <c r="F103">
        <v>0</v>
      </c>
      <c r="G103">
        <v>0.67</v>
      </c>
      <c r="H103">
        <v>0.75</v>
      </c>
      <c r="J103">
        <v>0.66039429524223348</v>
      </c>
      <c r="K103">
        <v>0.73749320772197668</v>
      </c>
    </row>
    <row r="104" spans="1:11" ht="13.95" customHeight="1">
      <c r="A104" t="s">
        <v>6519</v>
      </c>
      <c r="B104">
        <v>56</v>
      </c>
      <c r="C104">
        <v>0</v>
      </c>
      <c r="F104">
        <v>0</v>
      </c>
    </row>
    <row r="105" spans="1:11" ht="13.95" customHeight="1">
      <c r="A105" t="s">
        <v>6519</v>
      </c>
      <c r="B105">
        <v>57</v>
      </c>
      <c r="D105">
        <v>0</v>
      </c>
      <c r="G105">
        <v>0</v>
      </c>
    </row>
    <row r="106" spans="1:11" ht="13.95" customHeight="1">
      <c r="A106" t="s">
        <v>6519</v>
      </c>
      <c r="B106">
        <v>58</v>
      </c>
      <c r="E106">
        <v>1.24</v>
      </c>
      <c r="H106">
        <v>1.26</v>
      </c>
      <c r="K106">
        <v>1.2510701107002125</v>
      </c>
    </row>
    <row r="107" spans="1:11" ht="13.95" customHeight="1">
      <c r="A107" t="s">
        <v>6519</v>
      </c>
      <c r="B107">
        <v>59</v>
      </c>
      <c r="C107">
        <v>0</v>
      </c>
      <c r="F107">
        <v>0</v>
      </c>
    </row>
    <row r="108" spans="1:11" ht="13.95" customHeight="1">
      <c r="A108" t="s">
        <v>6519</v>
      </c>
      <c r="B108">
        <v>60</v>
      </c>
      <c r="D108">
        <v>0</v>
      </c>
      <c r="G108">
        <v>0</v>
      </c>
    </row>
    <row r="109" spans="1:11" ht="13.95" customHeight="1">
      <c r="A109" t="s">
        <v>6519</v>
      </c>
      <c r="B109">
        <v>61</v>
      </c>
      <c r="E109">
        <v>0</v>
      </c>
      <c r="H109">
        <v>0</v>
      </c>
    </row>
    <row r="110" spans="1:11" ht="13.95" customHeight="1">
      <c r="A110" t="s">
        <v>6519</v>
      </c>
      <c r="B110">
        <v>62</v>
      </c>
      <c r="C110">
        <v>0</v>
      </c>
      <c r="F110">
        <v>0</v>
      </c>
    </row>
    <row r="111" spans="1:11" ht="13.95" customHeight="1">
      <c r="A111" t="s">
        <v>6519</v>
      </c>
      <c r="B111">
        <v>63</v>
      </c>
      <c r="D111">
        <v>0</v>
      </c>
      <c r="G111">
        <v>0</v>
      </c>
    </row>
    <row r="112" spans="1:11" ht="13.95" customHeight="1">
      <c r="A112" t="s">
        <v>6519</v>
      </c>
      <c r="B112">
        <v>64</v>
      </c>
      <c r="E112">
        <v>0</v>
      </c>
      <c r="H112">
        <v>0</v>
      </c>
    </row>
    <row r="113" spans="1:11" ht="13.95" customHeight="1">
      <c r="A113" t="s">
        <v>6519</v>
      </c>
      <c r="B113">
        <v>65</v>
      </c>
      <c r="C113">
        <v>0</v>
      </c>
      <c r="F113">
        <v>0</v>
      </c>
    </row>
    <row r="114" spans="1:11" ht="13.95" customHeight="1">
      <c r="A114" t="s">
        <v>6519</v>
      </c>
      <c r="B114">
        <v>66</v>
      </c>
      <c r="D114">
        <v>0</v>
      </c>
      <c r="G114">
        <v>0</v>
      </c>
    </row>
    <row r="115" spans="1:11" ht="13.95" customHeight="1">
      <c r="A115" t="s">
        <v>6519</v>
      </c>
      <c r="B115">
        <v>67</v>
      </c>
      <c r="E115">
        <v>0</v>
      </c>
      <c r="H115">
        <v>0</v>
      </c>
    </row>
    <row r="116" spans="1:11" ht="13.95" customHeight="1">
      <c r="A116" t="s">
        <v>6519</v>
      </c>
      <c r="B116">
        <v>68</v>
      </c>
      <c r="C116">
        <v>0</v>
      </c>
      <c r="F116">
        <v>0</v>
      </c>
    </row>
    <row r="117" spans="1:11" ht="13.95" customHeight="1">
      <c r="A117" t="s">
        <v>6519</v>
      </c>
      <c r="B117">
        <v>69</v>
      </c>
      <c r="D117">
        <v>0</v>
      </c>
      <c r="G117">
        <v>0</v>
      </c>
    </row>
    <row r="118" spans="1:11" ht="13.95" customHeight="1">
      <c r="A118" t="s">
        <v>6519</v>
      </c>
      <c r="B118">
        <v>70</v>
      </c>
      <c r="E118">
        <v>0</v>
      </c>
      <c r="H118">
        <v>0</v>
      </c>
    </row>
    <row r="119" spans="1:11" ht="13.95" customHeight="1">
      <c r="A119" t="s">
        <v>6519</v>
      </c>
      <c r="B119">
        <v>71</v>
      </c>
      <c r="C119">
        <v>0</v>
      </c>
      <c r="F119">
        <v>0</v>
      </c>
    </row>
    <row r="120" spans="1:11" ht="13.95" customHeight="1">
      <c r="A120" t="s">
        <v>6519</v>
      </c>
      <c r="B120">
        <v>72</v>
      </c>
      <c r="D120">
        <v>0</v>
      </c>
      <c r="G120">
        <v>0</v>
      </c>
    </row>
    <row r="121" spans="1:11" ht="13.95" customHeight="1">
      <c r="A121" t="s">
        <v>6519</v>
      </c>
      <c r="B121">
        <v>73</v>
      </c>
      <c r="E121">
        <v>0</v>
      </c>
      <c r="H121">
        <v>0</v>
      </c>
    </row>
    <row r="122" spans="1:11" ht="13.95" customHeight="1">
      <c r="A122" t="s">
        <v>6519</v>
      </c>
      <c r="B122">
        <v>74</v>
      </c>
      <c r="C122">
        <v>0</v>
      </c>
      <c r="F122">
        <v>0</v>
      </c>
    </row>
    <row r="123" spans="1:11" ht="13.95" customHeight="1">
      <c r="A123" t="s">
        <v>6519</v>
      </c>
      <c r="B123">
        <v>75</v>
      </c>
      <c r="D123">
        <v>0</v>
      </c>
      <c r="G123">
        <v>0</v>
      </c>
    </row>
    <row r="124" spans="1:11" ht="13.95" customHeight="1">
      <c r="A124" t="s">
        <v>6519</v>
      </c>
      <c r="B124">
        <v>76</v>
      </c>
      <c r="E124">
        <v>0</v>
      </c>
      <c r="H124">
        <v>0</v>
      </c>
    </row>
    <row r="125" spans="1:11" ht="13.95" customHeight="1">
      <c r="A125" t="s">
        <v>6519</v>
      </c>
      <c r="B125">
        <v>77</v>
      </c>
      <c r="C125">
        <v>0</v>
      </c>
      <c r="F125">
        <v>0</v>
      </c>
    </row>
    <row r="126" spans="1:11" ht="13.95" customHeight="1">
      <c r="A126" t="s">
        <v>6519</v>
      </c>
      <c r="B126">
        <v>78</v>
      </c>
      <c r="D126">
        <v>0.61</v>
      </c>
      <c r="G126">
        <v>0.65</v>
      </c>
      <c r="J126">
        <v>0.63014245013717596</v>
      </c>
    </row>
    <row r="127" spans="1:11" ht="13.95" customHeight="1">
      <c r="A127" t="s">
        <v>6519</v>
      </c>
      <c r="B127">
        <v>79</v>
      </c>
      <c r="E127">
        <v>1.0900000000000001</v>
      </c>
      <c r="H127">
        <v>1.1299999999999999</v>
      </c>
      <c r="K127">
        <v>1.1050628246562362</v>
      </c>
    </row>
    <row r="128" spans="1:11" ht="13.95" customHeight="1">
      <c r="A128" t="s">
        <v>6519</v>
      </c>
      <c r="B128">
        <v>80</v>
      </c>
      <c r="C128">
        <v>0</v>
      </c>
      <c r="F128">
        <v>0</v>
      </c>
    </row>
    <row r="129" spans="1:8" ht="13.95" customHeight="1">
      <c r="A129" t="s">
        <v>6520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95" customHeight="1">
      <c r="A130" t="s">
        <v>6520</v>
      </c>
      <c r="B130">
        <v>2</v>
      </c>
      <c r="C130">
        <v>0</v>
      </c>
      <c r="F130">
        <v>0</v>
      </c>
    </row>
    <row r="131" spans="1:8" ht="13.95" customHeight="1">
      <c r="A131" t="s">
        <v>6520</v>
      </c>
      <c r="B131">
        <v>3</v>
      </c>
      <c r="D131">
        <v>0</v>
      </c>
      <c r="G131">
        <v>0</v>
      </c>
    </row>
    <row r="132" spans="1:8" ht="13.95" customHeight="1">
      <c r="A132" t="s">
        <v>6520</v>
      </c>
      <c r="B132">
        <v>4</v>
      </c>
      <c r="E132">
        <v>0</v>
      </c>
      <c r="H132">
        <v>0</v>
      </c>
    </row>
    <row r="133" spans="1:8" ht="13.95" customHeight="1">
      <c r="A133" t="s">
        <v>6520</v>
      </c>
      <c r="B133">
        <v>5</v>
      </c>
      <c r="C133">
        <v>0</v>
      </c>
      <c r="F133">
        <v>0</v>
      </c>
    </row>
    <row r="134" spans="1:8" ht="13.95" customHeight="1">
      <c r="A134" t="s">
        <v>6520</v>
      </c>
      <c r="B134">
        <v>6</v>
      </c>
      <c r="D134">
        <v>0</v>
      </c>
      <c r="G134">
        <v>0</v>
      </c>
    </row>
    <row r="135" spans="1:8" ht="13.95" customHeight="1">
      <c r="A135" t="s">
        <v>6520</v>
      </c>
      <c r="B135">
        <v>7</v>
      </c>
      <c r="E135">
        <v>0</v>
      </c>
      <c r="H135">
        <v>0</v>
      </c>
    </row>
    <row r="136" spans="1:8" ht="13.95" customHeight="1">
      <c r="A136" t="s">
        <v>6520</v>
      </c>
      <c r="B136">
        <v>8</v>
      </c>
      <c r="C136">
        <v>0</v>
      </c>
      <c r="F136">
        <v>0</v>
      </c>
    </row>
    <row r="137" spans="1:8" ht="13.95" customHeight="1">
      <c r="A137" t="s">
        <v>6520</v>
      </c>
      <c r="B137">
        <v>9</v>
      </c>
      <c r="D137">
        <v>0</v>
      </c>
      <c r="G137">
        <v>0</v>
      </c>
    </row>
    <row r="138" spans="1:8" ht="13.95" customHeight="1">
      <c r="A138" t="s">
        <v>6520</v>
      </c>
      <c r="B138">
        <v>10</v>
      </c>
      <c r="E138">
        <v>0</v>
      </c>
      <c r="H138">
        <v>0</v>
      </c>
    </row>
    <row r="139" spans="1:8" ht="13.95" customHeight="1">
      <c r="A139" t="s">
        <v>6520</v>
      </c>
      <c r="B139">
        <v>11</v>
      </c>
      <c r="C139">
        <v>0</v>
      </c>
      <c r="F139">
        <v>0</v>
      </c>
    </row>
    <row r="140" spans="1:8" ht="13.95" customHeight="1">
      <c r="A140" t="s">
        <v>6520</v>
      </c>
      <c r="B140">
        <v>12</v>
      </c>
      <c r="D140">
        <v>0</v>
      </c>
      <c r="G140">
        <v>0</v>
      </c>
    </row>
    <row r="141" spans="1:8" ht="13.95" customHeight="1">
      <c r="A141" t="s">
        <v>6520</v>
      </c>
      <c r="B141">
        <v>13</v>
      </c>
      <c r="E141">
        <v>0</v>
      </c>
      <c r="H141">
        <v>0</v>
      </c>
    </row>
    <row r="142" spans="1:8" ht="13.95" customHeight="1">
      <c r="A142" t="s">
        <v>6520</v>
      </c>
      <c r="B142">
        <v>14</v>
      </c>
      <c r="C142">
        <v>0</v>
      </c>
      <c r="F142">
        <v>0</v>
      </c>
    </row>
    <row r="143" spans="1:8" ht="13.95" customHeight="1">
      <c r="A143" t="s">
        <v>6520</v>
      </c>
      <c r="B143">
        <v>15</v>
      </c>
      <c r="D143">
        <v>0</v>
      </c>
      <c r="G143">
        <v>0</v>
      </c>
    </row>
    <row r="144" spans="1:8" ht="13.95" customHeight="1">
      <c r="A144" t="s">
        <v>6520</v>
      </c>
      <c r="B144">
        <v>16</v>
      </c>
      <c r="E144">
        <v>0</v>
      </c>
      <c r="H144">
        <v>0</v>
      </c>
    </row>
    <row r="145" spans="1:11" ht="13.95" customHeight="1">
      <c r="A145" t="s">
        <v>6520</v>
      </c>
      <c r="B145">
        <v>17</v>
      </c>
      <c r="C145">
        <v>0</v>
      </c>
      <c r="F145">
        <v>0</v>
      </c>
    </row>
    <row r="146" spans="1:11" ht="13.95" customHeight="1">
      <c r="A146" t="s">
        <v>6520</v>
      </c>
      <c r="B146">
        <v>18</v>
      </c>
      <c r="D146">
        <v>0</v>
      </c>
      <c r="G146">
        <v>0</v>
      </c>
    </row>
    <row r="147" spans="1:11" ht="13.95" customHeight="1">
      <c r="A147" t="s">
        <v>6520</v>
      </c>
      <c r="B147">
        <v>19</v>
      </c>
      <c r="E147">
        <v>0</v>
      </c>
      <c r="H147">
        <v>0</v>
      </c>
    </row>
    <row r="148" spans="1:11" ht="13.95" customHeight="1">
      <c r="A148" t="s">
        <v>6520</v>
      </c>
      <c r="B148">
        <v>20</v>
      </c>
      <c r="C148">
        <v>2.6</v>
      </c>
      <c r="F148">
        <v>4.4400000000000004</v>
      </c>
      <c r="I148">
        <v>3.2987515293294485</v>
      </c>
    </row>
    <row r="149" spans="1:11" ht="13.95" customHeight="1">
      <c r="A149" t="s">
        <v>6520</v>
      </c>
      <c r="B149">
        <v>21</v>
      </c>
      <c r="D149">
        <v>1.6600000000000001</v>
      </c>
      <c r="G149">
        <v>2.31</v>
      </c>
      <c r="J149">
        <v>1.8928419745593879</v>
      </c>
    </row>
    <row r="150" spans="1:11" ht="13.95" customHeight="1">
      <c r="A150" t="s">
        <v>6520</v>
      </c>
      <c r="B150">
        <v>22</v>
      </c>
      <c r="E150">
        <v>0</v>
      </c>
      <c r="H150">
        <v>0</v>
      </c>
    </row>
    <row r="151" spans="1:11" ht="13.95" customHeight="1">
      <c r="A151" t="s">
        <v>6520</v>
      </c>
      <c r="B151">
        <v>23</v>
      </c>
      <c r="C151">
        <v>2.17</v>
      </c>
      <c r="F151">
        <v>3.41</v>
      </c>
      <c r="I151">
        <v>2.3917238224454902</v>
      </c>
    </row>
    <row r="152" spans="1:11" ht="13.95" customHeight="1">
      <c r="A152" t="s">
        <v>6520</v>
      </c>
      <c r="B152">
        <v>24</v>
      </c>
      <c r="D152">
        <v>0</v>
      </c>
      <c r="G152">
        <v>0</v>
      </c>
    </row>
    <row r="153" spans="1:11" ht="13.95" customHeight="1">
      <c r="A153" t="s">
        <v>6520</v>
      </c>
      <c r="B153">
        <v>25</v>
      </c>
      <c r="E153">
        <v>3.95</v>
      </c>
      <c r="H153">
        <v>4.41</v>
      </c>
      <c r="K153">
        <v>4.0430487864291038</v>
      </c>
    </row>
    <row r="154" spans="1:11" ht="13.95" customHeight="1">
      <c r="A154" t="s">
        <v>6520</v>
      </c>
      <c r="B154">
        <v>26</v>
      </c>
      <c r="C154">
        <v>5.5600000000000005</v>
      </c>
      <c r="F154">
        <v>6.08</v>
      </c>
      <c r="I154">
        <v>5.7013612216774074</v>
      </c>
    </row>
    <row r="155" spans="1:11" ht="13.95" customHeight="1">
      <c r="A155" t="s">
        <v>6520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95" customHeight="1">
      <c r="A156" t="s">
        <v>6520</v>
      </c>
      <c r="B156">
        <v>56</v>
      </c>
      <c r="C156">
        <v>0</v>
      </c>
      <c r="F156">
        <v>0</v>
      </c>
    </row>
    <row r="157" spans="1:11" ht="13.95" customHeight="1">
      <c r="A157" t="s">
        <v>6520</v>
      </c>
      <c r="B157">
        <v>57</v>
      </c>
      <c r="D157">
        <v>0</v>
      </c>
      <c r="G157">
        <v>0</v>
      </c>
    </row>
    <row r="158" spans="1:11" ht="13.95" customHeight="1">
      <c r="A158" t="s">
        <v>6520</v>
      </c>
      <c r="B158">
        <v>58</v>
      </c>
      <c r="E158">
        <v>0.53</v>
      </c>
      <c r="H158">
        <v>0.85</v>
      </c>
      <c r="K158">
        <v>0.56954148656478276</v>
      </c>
    </row>
    <row r="159" spans="1:11" ht="13.95" customHeight="1">
      <c r="A159" t="s">
        <v>6520</v>
      </c>
      <c r="B159">
        <v>59</v>
      </c>
      <c r="C159">
        <v>1.26</v>
      </c>
      <c r="F159">
        <v>1.8199999999999998</v>
      </c>
      <c r="I159">
        <v>1.4420839736171336</v>
      </c>
    </row>
    <row r="160" spans="1:11" ht="13.95" customHeight="1">
      <c r="A160" t="s">
        <v>6520</v>
      </c>
      <c r="B160">
        <v>60</v>
      </c>
      <c r="D160">
        <v>2.04</v>
      </c>
      <c r="G160">
        <v>4.49</v>
      </c>
      <c r="J160">
        <v>3.5616843289395939</v>
      </c>
    </row>
    <row r="161" spans="1:11" ht="13.95" customHeight="1">
      <c r="A161" t="s">
        <v>6520</v>
      </c>
      <c r="B161">
        <v>61</v>
      </c>
      <c r="E161">
        <v>1.73</v>
      </c>
      <c r="H161">
        <v>2.08</v>
      </c>
      <c r="K161">
        <v>1.7726515321071188</v>
      </c>
    </row>
    <row r="162" spans="1:11" ht="13.95" customHeight="1">
      <c r="A162" t="s">
        <v>6520</v>
      </c>
      <c r="B162">
        <v>62</v>
      </c>
      <c r="C162">
        <v>0.34</v>
      </c>
      <c r="F162">
        <v>0.39</v>
      </c>
      <c r="I162">
        <v>0.35327930356234394</v>
      </c>
    </row>
    <row r="163" spans="1:11" ht="13.95" customHeight="1">
      <c r="A163" t="s">
        <v>6520</v>
      </c>
      <c r="B163">
        <v>63</v>
      </c>
      <c r="D163">
        <v>3.68</v>
      </c>
      <c r="G163">
        <v>4.42</v>
      </c>
      <c r="J163">
        <v>3.889354679219581</v>
      </c>
    </row>
    <row r="164" spans="1:11" ht="13.95" customHeight="1">
      <c r="A164" t="s">
        <v>6520</v>
      </c>
      <c r="B164">
        <v>64</v>
      </c>
      <c r="E164">
        <v>0.84</v>
      </c>
      <c r="H164">
        <v>0.86</v>
      </c>
      <c r="K164">
        <v>0.84997679531998849</v>
      </c>
    </row>
    <row r="165" spans="1:11" ht="13.95" customHeight="1">
      <c r="A165" t="s">
        <v>6520</v>
      </c>
      <c r="B165">
        <v>65</v>
      </c>
      <c r="C165">
        <v>2.79</v>
      </c>
      <c r="F165">
        <v>2.9699999999999998</v>
      </c>
      <c r="I165">
        <v>2.8358334802097156</v>
      </c>
    </row>
    <row r="166" spans="1:11" ht="13.95" customHeight="1">
      <c r="A166" t="s">
        <v>6520</v>
      </c>
      <c r="B166">
        <v>66</v>
      </c>
      <c r="D166">
        <v>2.93</v>
      </c>
      <c r="G166">
        <v>3.27</v>
      </c>
      <c r="J166">
        <v>3.0081968000988852</v>
      </c>
    </row>
    <row r="167" spans="1:11" ht="13.95" customHeight="1">
      <c r="A167" t="s">
        <v>6520</v>
      </c>
      <c r="B167">
        <v>67</v>
      </c>
      <c r="E167">
        <v>0</v>
      </c>
      <c r="H167">
        <v>0</v>
      </c>
    </row>
    <row r="168" spans="1:11" ht="13.95" customHeight="1">
      <c r="A168" t="s">
        <v>6520</v>
      </c>
      <c r="B168">
        <v>68</v>
      </c>
      <c r="C168">
        <v>0</v>
      </c>
      <c r="F168">
        <v>0</v>
      </c>
    </row>
    <row r="169" spans="1:11" ht="13.95" customHeight="1">
      <c r="A169" t="s">
        <v>6520</v>
      </c>
      <c r="B169">
        <v>69</v>
      </c>
      <c r="D169">
        <v>0</v>
      </c>
      <c r="G169">
        <v>0</v>
      </c>
    </row>
    <row r="170" spans="1:11" ht="13.95" customHeight="1">
      <c r="A170" t="s">
        <v>6520</v>
      </c>
      <c r="B170">
        <v>70</v>
      </c>
      <c r="E170">
        <v>0</v>
      </c>
      <c r="H170">
        <v>0</v>
      </c>
    </row>
    <row r="171" spans="1:11" ht="13.95" customHeight="1">
      <c r="A171" t="s">
        <v>6520</v>
      </c>
      <c r="B171">
        <v>71</v>
      </c>
      <c r="C171">
        <v>2.46</v>
      </c>
      <c r="F171">
        <v>2.54</v>
      </c>
      <c r="I171">
        <v>2.4835800426580157</v>
      </c>
    </row>
    <row r="172" spans="1:11" ht="13.95" customHeight="1">
      <c r="A172" t="s">
        <v>6520</v>
      </c>
      <c r="B172">
        <v>72</v>
      </c>
      <c r="D172">
        <v>2.14</v>
      </c>
      <c r="G172">
        <v>2.5</v>
      </c>
      <c r="J172">
        <v>2.2300600464748865</v>
      </c>
    </row>
    <row r="173" spans="1:11" ht="13.95" customHeight="1">
      <c r="A173" t="s">
        <v>6520</v>
      </c>
      <c r="B173">
        <v>73</v>
      </c>
      <c r="E173">
        <v>2.15</v>
      </c>
      <c r="H173">
        <v>2.2000000000000002</v>
      </c>
      <c r="K173">
        <v>2.169753754378025</v>
      </c>
    </row>
    <row r="174" spans="1:11" ht="13.95" customHeight="1">
      <c r="A174" t="s">
        <v>6520</v>
      </c>
      <c r="B174">
        <v>74</v>
      </c>
      <c r="C174">
        <v>2.31</v>
      </c>
      <c r="F174">
        <v>2.38</v>
      </c>
      <c r="I174">
        <v>2.3497612255741931</v>
      </c>
    </row>
    <row r="175" spans="1:11" ht="13.95" customHeight="1">
      <c r="A175" t="s">
        <v>6520</v>
      </c>
      <c r="B175">
        <v>75</v>
      </c>
      <c r="D175">
        <v>1.35</v>
      </c>
      <c r="G175">
        <v>1.3900000000000001</v>
      </c>
      <c r="J175">
        <v>1.3663275591561961</v>
      </c>
    </row>
    <row r="176" spans="1:11" ht="13.95" customHeight="1">
      <c r="A176" t="s">
        <v>6520</v>
      </c>
      <c r="B176">
        <v>76</v>
      </c>
      <c r="E176">
        <v>1.77</v>
      </c>
      <c r="H176">
        <v>1.83</v>
      </c>
      <c r="K176">
        <v>1.7864158903803427</v>
      </c>
    </row>
    <row r="177" spans="1:11" ht="13.95" customHeight="1">
      <c r="A177" t="s">
        <v>6520</v>
      </c>
      <c r="B177">
        <v>77</v>
      </c>
      <c r="C177">
        <v>2.83</v>
      </c>
      <c r="F177">
        <v>3.18</v>
      </c>
      <c r="I177">
        <v>2.9285989738663813</v>
      </c>
    </row>
    <row r="178" spans="1:11" ht="13.95" customHeight="1">
      <c r="A178" t="s">
        <v>6520</v>
      </c>
      <c r="B178">
        <v>78</v>
      </c>
      <c r="D178">
        <v>2.83</v>
      </c>
      <c r="G178">
        <v>3.09</v>
      </c>
      <c r="J178">
        <v>2.8975328741061479</v>
      </c>
    </row>
    <row r="179" spans="1:11" ht="13.95" customHeight="1">
      <c r="A179" t="s">
        <v>6520</v>
      </c>
      <c r="B179">
        <v>79</v>
      </c>
      <c r="E179">
        <v>3.29</v>
      </c>
      <c r="H179">
        <v>4.0599999999999996</v>
      </c>
      <c r="K179">
        <v>3.7016369794777977</v>
      </c>
    </row>
    <row r="180" spans="1:11" ht="13.95" customHeight="1">
      <c r="A180" t="s">
        <v>6520</v>
      </c>
      <c r="B180">
        <v>80</v>
      </c>
      <c r="C180">
        <v>3.82</v>
      </c>
      <c r="F180">
        <v>4.6399999999999997</v>
      </c>
      <c r="I180">
        <v>4.0925549543895912</v>
      </c>
    </row>
    <row r="181" spans="1:11" ht="13.95" customHeight="1">
      <c r="A181" t="s">
        <v>6521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95" customHeight="1">
      <c r="A182" t="s">
        <v>6521</v>
      </c>
      <c r="B182">
        <v>2</v>
      </c>
      <c r="C182">
        <v>0</v>
      </c>
      <c r="F182">
        <v>0</v>
      </c>
    </row>
    <row r="183" spans="1:11" ht="13.95" customHeight="1">
      <c r="A183" t="s">
        <v>6521</v>
      </c>
      <c r="B183">
        <v>3</v>
      </c>
      <c r="D183">
        <v>0</v>
      </c>
      <c r="G183">
        <v>0</v>
      </c>
    </row>
    <row r="184" spans="1:11" ht="13.95" customHeight="1">
      <c r="A184" t="s">
        <v>6521</v>
      </c>
      <c r="B184">
        <v>4</v>
      </c>
      <c r="E184">
        <v>0</v>
      </c>
      <c r="H184">
        <v>0</v>
      </c>
    </row>
    <row r="185" spans="1:11" ht="13.95" customHeight="1">
      <c r="A185" t="s">
        <v>6521</v>
      </c>
      <c r="B185">
        <v>5</v>
      </c>
      <c r="C185">
        <v>0</v>
      </c>
      <c r="F185">
        <v>0</v>
      </c>
    </row>
    <row r="186" spans="1:11" ht="13.95" customHeight="1">
      <c r="A186" t="s">
        <v>6521</v>
      </c>
      <c r="B186">
        <v>6</v>
      </c>
      <c r="D186">
        <v>0</v>
      </c>
      <c r="G186">
        <v>0</v>
      </c>
    </row>
    <row r="187" spans="1:11" ht="13.95" customHeight="1">
      <c r="A187" t="s">
        <v>6521</v>
      </c>
      <c r="B187">
        <v>7</v>
      </c>
      <c r="E187">
        <v>0</v>
      </c>
      <c r="H187">
        <v>0</v>
      </c>
    </row>
    <row r="188" spans="1:11" ht="13.95" customHeight="1">
      <c r="A188" t="s">
        <v>6521</v>
      </c>
      <c r="B188">
        <v>8</v>
      </c>
      <c r="C188">
        <v>0</v>
      </c>
      <c r="F188">
        <v>0</v>
      </c>
    </row>
    <row r="189" spans="1:11" ht="13.95" customHeight="1">
      <c r="A189" t="s">
        <v>6521</v>
      </c>
      <c r="B189">
        <v>9</v>
      </c>
      <c r="D189">
        <v>0</v>
      </c>
      <c r="G189">
        <v>0</v>
      </c>
    </row>
    <row r="190" spans="1:11" ht="13.95" customHeight="1">
      <c r="A190" t="s">
        <v>6521</v>
      </c>
      <c r="B190">
        <v>10</v>
      </c>
      <c r="E190">
        <v>0</v>
      </c>
      <c r="H190">
        <v>0</v>
      </c>
    </row>
    <row r="191" spans="1:11" ht="13.95" customHeight="1">
      <c r="A191" t="s">
        <v>6521</v>
      </c>
      <c r="B191">
        <v>11</v>
      </c>
      <c r="C191">
        <v>0</v>
      </c>
      <c r="F191">
        <v>0</v>
      </c>
    </row>
    <row r="192" spans="1:11" ht="13.95" customHeight="1">
      <c r="A192" t="s">
        <v>6521</v>
      </c>
      <c r="B192">
        <v>12</v>
      </c>
      <c r="D192">
        <v>0</v>
      </c>
      <c r="G192">
        <v>0</v>
      </c>
    </row>
    <row r="193" spans="1:11" ht="13.95" customHeight="1">
      <c r="A193" t="s">
        <v>6521</v>
      </c>
      <c r="B193">
        <v>13</v>
      </c>
      <c r="E193">
        <v>0</v>
      </c>
      <c r="H193">
        <v>0</v>
      </c>
    </row>
    <row r="194" spans="1:11" ht="13.95" customHeight="1">
      <c r="A194" t="s">
        <v>6521</v>
      </c>
      <c r="B194">
        <v>14</v>
      </c>
      <c r="C194">
        <v>0</v>
      </c>
      <c r="F194">
        <v>0</v>
      </c>
    </row>
    <row r="195" spans="1:11" ht="13.95" customHeight="1">
      <c r="A195" t="s">
        <v>6521</v>
      </c>
      <c r="B195">
        <v>15</v>
      </c>
      <c r="D195">
        <v>0</v>
      </c>
      <c r="G195">
        <v>0</v>
      </c>
    </row>
    <row r="196" spans="1:11" ht="13.95" customHeight="1">
      <c r="A196" t="s">
        <v>6521</v>
      </c>
      <c r="B196">
        <v>16</v>
      </c>
      <c r="E196">
        <v>0</v>
      </c>
      <c r="H196">
        <v>0</v>
      </c>
    </row>
    <row r="197" spans="1:11" ht="13.95" customHeight="1">
      <c r="A197" t="s">
        <v>6521</v>
      </c>
      <c r="B197">
        <v>17</v>
      </c>
      <c r="C197">
        <v>0</v>
      </c>
      <c r="F197">
        <v>0</v>
      </c>
    </row>
    <row r="198" spans="1:11" ht="13.95" customHeight="1">
      <c r="A198" t="s">
        <v>6521</v>
      </c>
      <c r="B198">
        <v>18</v>
      </c>
      <c r="D198">
        <v>0</v>
      </c>
      <c r="G198">
        <v>0</v>
      </c>
    </row>
    <row r="199" spans="1:11" ht="13.95" customHeight="1">
      <c r="A199" t="s">
        <v>6521</v>
      </c>
      <c r="B199">
        <v>19</v>
      </c>
      <c r="E199">
        <v>0</v>
      </c>
      <c r="H199">
        <v>0</v>
      </c>
    </row>
    <row r="200" spans="1:11" ht="13.95" customHeight="1">
      <c r="A200" t="s">
        <v>6521</v>
      </c>
      <c r="B200">
        <v>20</v>
      </c>
      <c r="C200">
        <v>3.24</v>
      </c>
      <c r="F200">
        <v>4.96</v>
      </c>
      <c r="I200">
        <v>3.9102325568625713</v>
      </c>
    </row>
    <row r="201" spans="1:11" ht="13.95" customHeight="1">
      <c r="A201" t="s">
        <v>6521</v>
      </c>
      <c r="B201">
        <v>21</v>
      </c>
      <c r="D201">
        <v>1.1100000000000001</v>
      </c>
      <c r="G201">
        <v>1.79</v>
      </c>
      <c r="J201">
        <v>1.3027793271444812</v>
      </c>
    </row>
    <row r="202" spans="1:11" ht="13.95" customHeight="1">
      <c r="A202" t="s">
        <v>6521</v>
      </c>
      <c r="B202">
        <v>22</v>
      </c>
      <c r="E202">
        <v>0</v>
      </c>
      <c r="H202">
        <v>0</v>
      </c>
    </row>
    <row r="203" spans="1:11" ht="13.95" customHeight="1">
      <c r="A203" t="s">
        <v>6521</v>
      </c>
      <c r="B203">
        <v>23</v>
      </c>
      <c r="C203">
        <v>2.2599999999999998</v>
      </c>
      <c r="F203">
        <v>3.39</v>
      </c>
      <c r="I203">
        <v>2.4671058576385083</v>
      </c>
    </row>
    <row r="204" spans="1:11" ht="13.95" customHeight="1">
      <c r="A204" t="s">
        <v>6521</v>
      </c>
      <c r="B204">
        <v>24</v>
      </c>
      <c r="D204">
        <v>0</v>
      </c>
      <c r="G204">
        <v>0</v>
      </c>
    </row>
    <row r="205" spans="1:11" ht="13.95" customHeight="1">
      <c r="A205" t="s">
        <v>6521</v>
      </c>
      <c r="B205">
        <v>25</v>
      </c>
      <c r="E205">
        <v>4.3</v>
      </c>
      <c r="H205">
        <v>4.7699999999999996</v>
      </c>
      <c r="K205">
        <v>4.3931848767981521</v>
      </c>
    </row>
    <row r="206" spans="1:11" ht="13.95" customHeight="1">
      <c r="A206" t="s">
        <v>6521</v>
      </c>
      <c r="B206">
        <v>26</v>
      </c>
      <c r="C206">
        <v>5.28</v>
      </c>
      <c r="F206">
        <v>5.77</v>
      </c>
      <c r="I206">
        <v>5.4150097410050355</v>
      </c>
    </row>
    <row r="207" spans="1:11" ht="13.95" customHeight="1">
      <c r="A207" t="s">
        <v>6521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95" customHeight="1">
      <c r="A208" t="s">
        <v>6521</v>
      </c>
      <c r="B208">
        <v>56</v>
      </c>
      <c r="C208">
        <v>0</v>
      </c>
      <c r="F208">
        <v>0</v>
      </c>
    </row>
    <row r="209" spans="1:11" ht="13.95" customHeight="1">
      <c r="A209" t="s">
        <v>6521</v>
      </c>
      <c r="B209">
        <v>57</v>
      </c>
      <c r="D209">
        <v>0</v>
      </c>
      <c r="G209">
        <v>0</v>
      </c>
    </row>
    <row r="210" spans="1:11" ht="13.95" customHeight="1">
      <c r="A210" t="s">
        <v>6521</v>
      </c>
      <c r="B210">
        <v>58</v>
      </c>
      <c r="E210">
        <v>0.53</v>
      </c>
      <c r="H210">
        <v>0.84</v>
      </c>
      <c r="K210">
        <v>0.57017690296085766</v>
      </c>
    </row>
    <row r="211" spans="1:11" ht="13.95" customHeight="1">
      <c r="A211" t="s">
        <v>6521</v>
      </c>
      <c r="B211">
        <v>59</v>
      </c>
      <c r="C211">
        <v>1.5699999999999998</v>
      </c>
      <c r="F211">
        <v>2.12</v>
      </c>
      <c r="I211">
        <v>1.7480598206689908</v>
      </c>
    </row>
    <row r="212" spans="1:11" ht="13.95" customHeight="1">
      <c r="A212" t="s">
        <v>6521</v>
      </c>
      <c r="B212">
        <v>60</v>
      </c>
      <c r="D212">
        <v>1.96</v>
      </c>
      <c r="G212">
        <v>4.46</v>
      </c>
      <c r="J212">
        <v>3.5397931238741522</v>
      </c>
    </row>
    <row r="213" spans="1:11" ht="13.95" customHeight="1">
      <c r="A213" t="s">
        <v>6521</v>
      </c>
      <c r="B213">
        <v>61</v>
      </c>
      <c r="E213">
        <v>1.78</v>
      </c>
      <c r="H213">
        <v>2.06</v>
      </c>
      <c r="K213">
        <v>1.8130438649886913</v>
      </c>
    </row>
    <row r="214" spans="1:11" ht="13.95" customHeight="1">
      <c r="A214" t="s">
        <v>6521</v>
      </c>
      <c r="B214">
        <v>62</v>
      </c>
      <c r="C214">
        <v>0.71</v>
      </c>
      <c r="F214">
        <v>1.35</v>
      </c>
      <c r="I214">
        <v>0.93726269126214068</v>
      </c>
    </row>
    <row r="215" spans="1:11" ht="13.95" customHeight="1">
      <c r="A215" t="s">
        <v>6521</v>
      </c>
      <c r="B215">
        <v>63</v>
      </c>
      <c r="D215">
        <v>3.7</v>
      </c>
      <c r="G215">
        <v>4.42</v>
      </c>
      <c r="J215">
        <v>3.8761523265648785</v>
      </c>
    </row>
    <row r="216" spans="1:11" ht="13.95" customHeight="1">
      <c r="A216" t="s">
        <v>6521</v>
      </c>
      <c r="B216">
        <v>64</v>
      </c>
      <c r="E216">
        <v>0.85</v>
      </c>
      <c r="H216">
        <v>0.93</v>
      </c>
      <c r="K216">
        <v>0.85031646412686934</v>
      </c>
    </row>
    <row r="217" spans="1:11" ht="13.95" customHeight="1">
      <c r="A217" t="s">
        <v>6521</v>
      </c>
      <c r="B217">
        <v>65</v>
      </c>
      <c r="C217">
        <v>1.8</v>
      </c>
      <c r="F217">
        <v>1.9</v>
      </c>
      <c r="I217">
        <v>1.8381848661446427</v>
      </c>
    </row>
    <row r="218" spans="1:11" ht="13.95" customHeight="1">
      <c r="A218" t="s">
        <v>6521</v>
      </c>
      <c r="B218">
        <v>66</v>
      </c>
      <c r="D218">
        <v>3.07</v>
      </c>
      <c r="G218">
        <v>4.8</v>
      </c>
      <c r="J218">
        <v>3.4431537094775968</v>
      </c>
    </row>
    <row r="219" spans="1:11" ht="13.95" customHeight="1">
      <c r="A219" t="s">
        <v>6521</v>
      </c>
      <c r="B219">
        <v>67</v>
      </c>
      <c r="E219">
        <v>0</v>
      </c>
      <c r="H219">
        <v>0</v>
      </c>
    </row>
    <row r="220" spans="1:11" ht="13.95" customHeight="1">
      <c r="A220" t="s">
        <v>6521</v>
      </c>
      <c r="B220">
        <v>68</v>
      </c>
      <c r="C220">
        <v>0</v>
      </c>
      <c r="F220">
        <v>0</v>
      </c>
    </row>
    <row r="221" spans="1:11" ht="13.95" customHeight="1">
      <c r="A221" t="s">
        <v>6521</v>
      </c>
      <c r="B221">
        <v>69</v>
      </c>
      <c r="D221">
        <v>0</v>
      </c>
      <c r="G221">
        <v>0</v>
      </c>
    </row>
    <row r="222" spans="1:11" ht="13.95" customHeight="1">
      <c r="A222" t="s">
        <v>6521</v>
      </c>
      <c r="B222">
        <v>70</v>
      </c>
      <c r="E222">
        <v>0</v>
      </c>
      <c r="H222">
        <v>0</v>
      </c>
    </row>
    <row r="223" spans="1:11" ht="13.95" customHeight="1">
      <c r="A223" t="s">
        <v>6521</v>
      </c>
      <c r="B223">
        <v>71</v>
      </c>
      <c r="C223">
        <v>0.26</v>
      </c>
      <c r="F223">
        <v>0.64</v>
      </c>
      <c r="I223">
        <v>0.27016486416878249</v>
      </c>
    </row>
    <row r="224" spans="1:11" ht="13.95" customHeight="1">
      <c r="A224" t="s">
        <v>6521</v>
      </c>
      <c r="B224">
        <v>72</v>
      </c>
      <c r="D224">
        <v>0.28000000000000003</v>
      </c>
      <c r="G224">
        <v>0.3</v>
      </c>
      <c r="J224">
        <v>0.28993658493597502</v>
      </c>
    </row>
    <row r="225" spans="1:11" ht="13.95" customHeight="1">
      <c r="A225" t="s">
        <v>6521</v>
      </c>
      <c r="B225">
        <v>73</v>
      </c>
      <c r="E225">
        <v>2.27</v>
      </c>
      <c r="H225">
        <v>2.3199999999999998</v>
      </c>
      <c r="K225">
        <v>2.2881298072334189</v>
      </c>
    </row>
    <row r="226" spans="1:11" ht="13.95" customHeight="1">
      <c r="A226" t="s">
        <v>6521</v>
      </c>
      <c r="B226">
        <v>74</v>
      </c>
      <c r="C226">
        <v>2.46</v>
      </c>
      <c r="F226">
        <v>2.5300000000000002</v>
      </c>
      <c r="I226">
        <v>2.4815305140040516</v>
      </c>
    </row>
    <row r="227" spans="1:11" ht="13.95" customHeight="1">
      <c r="A227" t="s">
        <v>6521</v>
      </c>
      <c r="B227">
        <v>75</v>
      </c>
      <c r="D227">
        <v>1.43</v>
      </c>
      <c r="G227">
        <v>1.48</v>
      </c>
      <c r="J227">
        <v>1.4536357579162333</v>
      </c>
    </row>
    <row r="228" spans="1:11" ht="13.95" customHeight="1">
      <c r="A228" t="s">
        <v>6521</v>
      </c>
      <c r="B228">
        <v>76</v>
      </c>
      <c r="E228">
        <v>1.5699999999999998</v>
      </c>
      <c r="H228">
        <v>1.6099999999999999</v>
      </c>
      <c r="K228">
        <v>1.5837082486723026</v>
      </c>
    </row>
    <row r="229" spans="1:11" ht="13.95" customHeight="1">
      <c r="A229" t="s">
        <v>6521</v>
      </c>
      <c r="B229">
        <v>77</v>
      </c>
      <c r="C229">
        <v>2.25</v>
      </c>
      <c r="F229">
        <v>2.5</v>
      </c>
      <c r="I229">
        <v>2.3164287076763221</v>
      </c>
    </row>
    <row r="230" spans="1:11" ht="13.95" customHeight="1">
      <c r="A230" t="s">
        <v>6521</v>
      </c>
      <c r="B230">
        <v>78</v>
      </c>
      <c r="D230">
        <v>2.2999999999999998</v>
      </c>
      <c r="G230">
        <v>2.5099999999999998</v>
      </c>
      <c r="J230">
        <v>2.3506067792556653</v>
      </c>
    </row>
    <row r="231" spans="1:11" ht="13.95" customHeight="1">
      <c r="A231" t="s">
        <v>6521</v>
      </c>
      <c r="B231">
        <v>79</v>
      </c>
      <c r="E231">
        <v>2.93</v>
      </c>
      <c r="H231">
        <v>3.54</v>
      </c>
      <c r="K231">
        <v>3.1745623881315059</v>
      </c>
    </row>
    <row r="232" spans="1:11" ht="13.95" customHeight="1">
      <c r="A232" t="s">
        <v>6521</v>
      </c>
      <c r="B232">
        <v>80</v>
      </c>
      <c r="C232">
        <v>3.63</v>
      </c>
      <c r="F232">
        <v>4.4800000000000004</v>
      </c>
      <c r="I232">
        <v>3.9531319140936039</v>
      </c>
    </row>
    <row r="233" spans="1:11" ht="13.95" customHeight="1">
      <c r="A233" t="s">
        <v>6522</v>
      </c>
      <c r="B233">
        <v>1</v>
      </c>
      <c r="E233">
        <v>0</v>
      </c>
      <c r="H233">
        <v>0</v>
      </c>
    </row>
    <row r="234" spans="1:11" ht="13.95" customHeight="1">
      <c r="A234" t="s">
        <v>6522</v>
      </c>
      <c r="B234">
        <v>2</v>
      </c>
      <c r="E234">
        <v>0</v>
      </c>
      <c r="H234">
        <v>0</v>
      </c>
    </row>
    <row r="235" spans="1:11" ht="13.95" customHeight="1">
      <c r="A235" t="s">
        <v>6522</v>
      </c>
      <c r="B235">
        <v>3</v>
      </c>
      <c r="C235">
        <v>0</v>
      </c>
      <c r="F235">
        <v>0</v>
      </c>
    </row>
    <row r="236" spans="1:11" ht="13.95" customHeight="1">
      <c r="A236" t="s">
        <v>6522</v>
      </c>
      <c r="B236">
        <v>4</v>
      </c>
      <c r="C236">
        <v>0</v>
      </c>
      <c r="F236">
        <v>0</v>
      </c>
    </row>
    <row r="237" spans="1:11" ht="13.95" customHeight="1">
      <c r="A237" t="s">
        <v>6522</v>
      </c>
      <c r="B237">
        <v>5</v>
      </c>
      <c r="D237">
        <v>0</v>
      </c>
      <c r="G237">
        <v>0</v>
      </c>
    </row>
    <row r="238" spans="1:11" ht="13.95" customHeight="1">
      <c r="A238" t="s">
        <v>6522</v>
      </c>
      <c r="B238">
        <v>6</v>
      </c>
      <c r="D238">
        <v>0</v>
      </c>
      <c r="G238">
        <v>0</v>
      </c>
    </row>
    <row r="239" spans="1:11" ht="13.95" customHeight="1">
      <c r="A239" t="s">
        <v>6522</v>
      </c>
      <c r="B239">
        <v>7</v>
      </c>
      <c r="E239">
        <v>0</v>
      </c>
      <c r="H239">
        <v>0</v>
      </c>
    </row>
    <row r="240" spans="1:11" ht="13.95" customHeight="1">
      <c r="A240" t="s">
        <v>6522</v>
      </c>
      <c r="B240">
        <v>8</v>
      </c>
      <c r="E240">
        <v>0</v>
      </c>
      <c r="H240">
        <v>0</v>
      </c>
    </row>
    <row r="241" spans="1:8" ht="13.95" customHeight="1">
      <c r="A241" t="s">
        <v>6522</v>
      </c>
      <c r="B241">
        <v>9</v>
      </c>
      <c r="C241">
        <v>0</v>
      </c>
      <c r="F241">
        <v>0</v>
      </c>
    </row>
    <row r="242" spans="1:8" ht="13.95" customHeight="1">
      <c r="A242" t="s">
        <v>6522</v>
      </c>
      <c r="B242">
        <v>10</v>
      </c>
      <c r="C242">
        <v>0</v>
      </c>
      <c r="F242">
        <v>0</v>
      </c>
    </row>
    <row r="243" spans="1:8" ht="13.95" customHeight="1">
      <c r="A243" t="s">
        <v>6522</v>
      </c>
      <c r="B243">
        <v>11</v>
      </c>
      <c r="D243">
        <v>0</v>
      </c>
      <c r="G243">
        <v>0</v>
      </c>
    </row>
    <row r="244" spans="1:8" ht="13.95" customHeight="1">
      <c r="A244" t="s">
        <v>6522</v>
      </c>
      <c r="B244">
        <v>12</v>
      </c>
      <c r="D244">
        <v>0</v>
      </c>
      <c r="G244">
        <v>0</v>
      </c>
    </row>
    <row r="245" spans="1:8" ht="13.95" customHeight="1">
      <c r="A245" t="s">
        <v>6522</v>
      </c>
      <c r="B245">
        <v>13</v>
      </c>
      <c r="E245">
        <v>0</v>
      </c>
      <c r="H245">
        <v>0</v>
      </c>
    </row>
    <row r="246" spans="1:8" ht="13.95" customHeight="1">
      <c r="A246" t="s">
        <v>6522</v>
      </c>
      <c r="B246">
        <v>14</v>
      </c>
      <c r="E246">
        <v>0</v>
      </c>
      <c r="H246">
        <v>0</v>
      </c>
    </row>
    <row r="247" spans="1:8" ht="13.95" customHeight="1">
      <c r="A247" t="s">
        <v>6522</v>
      </c>
      <c r="B247">
        <v>15</v>
      </c>
      <c r="C247">
        <v>0</v>
      </c>
      <c r="F247">
        <v>0</v>
      </c>
    </row>
    <row r="248" spans="1:8" ht="13.95" customHeight="1">
      <c r="A248" t="s">
        <v>6522</v>
      </c>
      <c r="B248">
        <v>16</v>
      </c>
      <c r="C248">
        <v>0</v>
      </c>
      <c r="F248">
        <v>0</v>
      </c>
    </row>
    <row r="249" spans="1:8" ht="13.95" customHeight="1">
      <c r="A249" t="s">
        <v>6522</v>
      </c>
      <c r="B249">
        <v>17</v>
      </c>
      <c r="D249">
        <v>0</v>
      </c>
      <c r="G249">
        <v>0</v>
      </c>
    </row>
    <row r="250" spans="1:8" ht="13.95" customHeight="1">
      <c r="A250" t="s">
        <v>6522</v>
      </c>
      <c r="B250">
        <v>18</v>
      </c>
      <c r="D250">
        <v>0</v>
      </c>
      <c r="G250">
        <v>0</v>
      </c>
    </row>
    <row r="251" spans="1:8" ht="13.95" customHeight="1">
      <c r="A251" t="s">
        <v>6522</v>
      </c>
      <c r="B251">
        <v>19</v>
      </c>
      <c r="E251">
        <v>0</v>
      </c>
      <c r="H251">
        <v>0</v>
      </c>
    </row>
    <row r="252" spans="1:8" ht="13.95" customHeight="1">
      <c r="A252" t="s">
        <v>6522</v>
      </c>
      <c r="B252">
        <v>20</v>
      </c>
      <c r="E252">
        <v>0</v>
      </c>
      <c r="H252">
        <v>0</v>
      </c>
    </row>
    <row r="253" spans="1:8" ht="13.95" customHeight="1">
      <c r="A253" t="s">
        <v>6522</v>
      </c>
      <c r="B253">
        <v>21</v>
      </c>
      <c r="C253">
        <v>0</v>
      </c>
      <c r="F253">
        <v>0</v>
      </c>
    </row>
    <row r="254" spans="1:8" ht="13.95" customHeight="1">
      <c r="A254" t="s">
        <v>6522</v>
      </c>
      <c r="B254">
        <v>22</v>
      </c>
      <c r="C254">
        <v>0</v>
      </c>
      <c r="F254">
        <v>0</v>
      </c>
    </row>
    <row r="255" spans="1:8" ht="13.95" customHeight="1">
      <c r="A255" t="s">
        <v>6522</v>
      </c>
      <c r="B255">
        <v>23</v>
      </c>
      <c r="D255">
        <v>0</v>
      </c>
      <c r="G255">
        <v>0</v>
      </c>
    </row>
    <row r="256" spans="1:8" ht="13.95" customHeight="1">
      <c r="A256" t="s">
        <v>6522</v>
      </c>
      <c r="B256">
        <v>24</v>
      </c>
      <c r="D256">
        <v>0</v>
      </c>
      <c r="G256">
        <v>0</v>
      </c>
    </row>
    <row r="257" spans="1:8" ht="13.95" customHeight="1">
      <c r="A257" t="s">
        <v>6522</v>
      </c>
      <c r="B257">
        <v>25</v>
      </c>
      <c r="E257">
        <v>0</v>
      </c>
      <c r="H257">
        <v>0</v>
      </c>
    </row>
    <row r="258" spans="1:8" ht="13.95" customHeight="1">
      <c r="A258" t="s">
        <v>6522</v>
      </c>
      <c r="B258">
        <v>26</v>
      </c>
      <c r="E258">
        <v>0</v>
      </c>
      <c r="H258">
        <v>0</v>
      </c>
    </row>
    <row r="259" spans="1:8" ht="13.95" customHeight="1">
      <c r="A259" t="s">
        <v>6522</v>
      </c>
      <c r="B259">
        <v>27</v>
      </c>
      <c r="C259">
        <v>0</v>
      </c>
      <c r="F259">
        <v>0</v>
      </c>
    </row>
    <row r="260" spans="1:8" ht="13.95" customHeight="1">
      <c r="A260" t="s">
        <v>6522</v>
      </c>
      <c r="B260">
        <v>28</v>
      </c>
      <c r="C260">
        <v>0</v>
      </c>
      <c r="F260">
        <v>0</v>
      </c>
    </row>
    <row r="261" spans="1:8" ht="13.95" customHeight="1">
      <c r="A261" t="s">
        <v>6522</v>
      </c>
      <c r="B261">
        <v>29</v>
      </c>
      <c r="D261">
        <v>0</v>
      </c>
      <c r="G261">
        <v>0</v>
      </c>
    </row>
    <row r="262" spans="1:8" ht="13.95" customHeight="1">
      <c r="A262" t="s">
        <v>6522</v>
      </c>
      <c r="B262">
        <v>30</v>
      </c>
      <c r="D262">
        <v>0</v>
      </c>
      <c r="G262">
        <v>0</v>
      </c>
    </row>
    <row r="263" spans="1:8" ht="13.95" customHeight="1">
      <c r="A263" t="s">
        <v>6522</v>
      </c>
      <c r="B263">
        <v>31</v>
      </c>
      <c r="E263">
        <v>0</v>
      </c>
      <c r="H263">
        <v>0</v>
      </c>
    </row>
    <row r="264" spans="1:8" ht="13.95" customHeight="1">
      <c r="A264" t="s">
        <v>6522</v>
      </c>
      <c r="B264">
        <v>32</v>
      </c>
      <c r="E264">
        <v>0</v>
      </c>
      <c r="H264">
        <v>0</v>
      </c>
    </row>
    <row r="265" spans="1:8" ht="13.95" customHeight="1">
      <c r="A265" t="s">
        <v>6522</v>
      </c>
      <c r="B265">
        <v>33</v>
      </c>
      <c r="C265">
        <v>0</v>
      </c>
      <c r="F265">
        <v>0</v>
      </c>
    </row>
    <row r="266" spans="1:8" ht="13.95" customHeight="1">
      <c r="A266" t="s">
        <v>6522</v>
      </c>
      <c r="B266">
        <v>34</v>
      </c>
      <c r="C266">
        <v>0</v>
      </c>
      <c r="F266">
        <v>0</v>
      </c>
    </row>
    <row r="267" spans="1:8" ht="13.95" customHeight="1">
      <c r="A267" t="s">
        <v>6522</v>
      </c>
      <c r="B267">
        <v>35</v>
      </c>
      <c r="D267">
        <v>0</v>
      </c>
      <c r="G267">
        <v>0</v>
      </c>
    </row>
    <row r="268" spans="1:8" ht="13.95" customHeight="1">
      <c r="A268" t="s">
        <v>6522</v>
      </c>
      <c r="B268">
        <v>36</v>
      </c>
      <c r="D268">
        <v>0</v>
      </c>
      <c r="G268">
        <v>0</v>
      </c>
    </row>
    <row r="269" spans="1:8" ht="13.95" customHeight="1">
      <c r="A269" t="s">
        <v>6522</v>
      </c>
      <c r="B269">
        <v>37</v>
      </c>
      <c r="E269">
        <v>0</v>
      </c>
      <c r="H269">
        <v>0</v>
      </c>
    </row>
    <row r="270" spans="1:8" ht="13.95" customHeight="1">
      <c r="A270" t="s">
        <v>6522</v>
      </c>
      <c r="B270">
        <v>38</v>
      </c>
      <c r="E270">
        <v>0</v>
      </c>
      <c r="H270">
        <v>0</v>
      </c>
    </row>
    <row r="271" spans="1:8" ht="13.95" customHeight="1">
      <c r="A271" t="s">
        <v>6522</v>
      </c>
      <c r="B271">
        <v>39</v>
      </c>
      <c r="C271">
        <v>0</v>
      </c>
      <c r="F271">
        <v>0</v>
      </c>
    </row>
    <row r="272" spans="1:8" ht="13.95" customHeight="1">
      <c r="A272" t="s">
        <v>6522</v>
      </c>
      <c r="B272">
        <v>40</v>
      </c>
      <c r="C272">
        <v>0</v>
      </c>
      <c r="F272">
        <v>0</v>
      </c>
    </row>
    <row r="273" spans="1:8" ht="13.95" customHeight="1">
      <c r="A273" t="s">
        <v>6522</v>
      </c>
      <c r="B273">
        <v>41</v>
      </c>
      <c r="D273">
        <v>0</v>
      </c>
      <c r="G273">
        <v>0</v>
      </c>
    </row>
    <row r="274" spans="1:8" ht="13.95" customHeight="1">
      <c r="A274" t="s">
        <v>6522</v>
      </c>
      <c r="B274">
        <v>42</v>
      </c>
      <c r="D274">
        <v>0</v>
      </c>
      <c r="G274">
        <v>0</v>
      </c>
    </row>
    <row r="275" spans="1:8" ht="13.95" customHeight="1">
      <c r="A275" t="s">
        <v>6522</v>
      </c>
      <c r="B275">
        <v>43</v>
      </c>
      <c r="E275">
        <v>0</v>
      </c>
      <c r="H275">
        <v>0</v>
      </c>
    </row>
    <row r="276" spans="1:8" ht="13.95" customHeight="1">
      <c r="A276" t="s">
        <v>6522</v>
      </c>
      <c r="B276">
        <v>44</v>
      </c>
      <c r="E276">
        <v>0</v>
      </c>
      <c r="H276">
        <v>0</v>
      </c>
    </row>
    <row r="277" spans="1:8" ht="13.95" customHeight="1">
      <c r="A277" t="s">
        <v>6522</v>
      </c>
      <c r="B277">
        <v>45</v>
      </c>
      <c r="C277">
        <v>0</v>
      </c>
      <c r="F277">
        <v>0</v>
      </c>
    </row>
    <row r="278" spans="1:8" ht="13.95" customHeight="1">
      <c r="A278" t="s">
        <v>6522</v>
      </c>
      <c r="B278">
        <v>46</v>
      </c>
      <c r="C278">
        <v>0</v>
      </c>
      <c r="F278">
        <v>0</v>
      </c>
    </row>
    <row r="279" spans="1:8" ht="13.95" customHeight="1">
      <c r="A279" t="s">
        <v>6522</v>
      </c>
      <c r="B279">
        <v>47</v>
      </c>
      <c r="D279">
        <v>0</v>
      </c>
      <c r="G279">
        <v>0</v>
      </c>
    </row>
    <row r="280" spans="1:8" ht="13.95" customHeight="1">
      <c r="A280" t="s">
        <v>6522</v>
      </c>
      <c r="B280">
        <v>48</v>
      </c>
      <c r="D280">
        <v>0</v>
      </c>
      <c r="G280">
        <v>0</v>
      </c>
    </row>
    <row r="281" spans="1:8" ht="13.95" customHeight="1">
      <c r="A281" t="s">
        <v>6522</v>
      </c>
      <c r="B281">
        <v>49</v>
      </c>
      <c r="E281">
        <v>0</v>
      </c>
      <c r="H281">
        <v>0</v>
      </c>
    </row>
    <row r="282" spans="1:8" ht="13.95" customHeight="1">
      <c r="A282" t="s">
        <v>6522</v>
      </c>
      <c r="B282">
        <v>50</v>
      </c>
      <c r="E282">
        <v>0</v>
      </c>
      <c r="H282">
        <v>0</v>
      </c>
    </row>
    <row r="283" spans="1:8" ht="13.95" customHeight="1">
      <c r="A283" t="s">
        <v>6522</v>
      </c>
      <c r="B283">
        <v>51</v>
      </c>
      <c r="C283">
        <v>0</v>
      </c>
      <c r="F283">
        <v>0</v>
      </c>
    </row>
    <row r="284" spans="1:8" ht="13.95" customHeight="1">
      <c r="A284" t="s">
        <v>6522</v>
      </c>
      <c r="B284">
        <v>52</v>
      </c>
      <c r="C284">
        <v>0</v>
      </c>
      <c r="F284">
        <v>0</v>
      </c>
    </row>
    <row r="285" spans="1:8" ht="13.95" customHeight="1">
      <c r="A285" t="s">
        <v>6522</v>
      </c>
      <c r="B285">
        <v>53</v>
      </c>
      <c r="D285">
        <v>0</v>
      </c>
      <c r="G285">
        <v>0</v>
      </c>
    </row>
    <row r="286" spans="1:8" ht="13.95" customHeight="1">
      <c r="A286" t="s">
        <v>6522</v>
      </c>
      <c r="B286">
        <v>54</v>
      </c>
      <c r="D286">
        <v>0</v>
      </c>
      <c r="G286">
        <v>0</v>
      </c>
    </row>
    <row r="287" spans="1:8" ht="13.95" customHeight="1">
      <c r="A287" t="s">
        <v>6523</v>
      </c>
      <c r="B287">
        <v>1</v>
      </c>
      <c r="E287">
        <v>0</v>
      </c>
      <c r="H287">
        <v>0</v>
      </c>
    </row>
    <row r="288" spans="1:8" ht="13.95" customHeight="1">
      <c r="A288" t="s">
        <v>6523</v>
      </c>
      <c r="B288">
        <v>2</v>
      </c>
      <c r="E288">
        <v>0</v>
      </c>
      <c r="H288">
        <v>0</v>
      </c>
    </row>
    <row r="289" spans="1:8" ht="13.95" customHeight="1">
      <c r="A289" t="s">
        <v>6523</v>
      </c>
      <c r="B289">
        <v>3</v>
      </c>
      <c r="C289">
        <v>0</v>
      </c>
      <c r="F289">
        <v>0</v>
      </c>
    </row>
    <row r="290" spans="1:8" ht="13.95" customHeight="1">
      <c r="A290" t="s">
        <v>6523</v>
      </c>
      <c r="B290">
        <v>4</v>
      </c>
      <c r="C290">
        <v>0</v>
      </c>
      <c r="F290">
        <v>0</v>
      </c>
    </row>
    <row r="291" spans="1:8" ht="13.95" customHeight="1">
      <c r="A291" t="s">
        <v>6523</v>
      </c>
      <c r="B291">
        <v>5</v>
      </c>
      <c r="D291">
        <v>0</v>
      </c>
      <c r="G291">
        <v>0</v>
      </c>
    </row>
    <row r="292" spans="1:8" ht="13.95" customHeight="1">
      <c r="A292" t="s">
        <v>6523</v>
      </c>
      <c r="B292">
        <v>6</v>
      </c>
      <c r="D292">
        <v>0</v>
      </c>
      <c r="G292">
        <v>0</v>
      </c>
    </row>
    <row r="293" spans="1:8" ht="13.95" customHeight="1">
      <c r="A293" t="s">
        <v>6523</v>
      </c>
      <c r="B293">
        <v>7</v>
      </c>
      <c r="E293">
        <v>0</v>
      </c>
      <c r="H293">
        <v>0</v>
      </c>
    </row>
    <row r="294" spans="1:8" ht="13.95" customHeight="1">
      <c r="A294" t="s">
        <v>6523</v>
      </c>
      <c r="B294">
        <v>8</v>
      </c>
      <c r="E294">
        <v>0</v>
      </c>
      <c r="H294">
        <v>0</v>
      </c>
    </row>
    <row r="295" spans="1:8" ht="13.95" customHeight="1">
      <c r="A295" t="s">
        <v>6523</v>
      </c>
      <c r="B295">
        <v>9</v>
      </c>
      <c r="C295">
        <v>0</v>
      </c>
      <c r="F295">
        <v>0</v>
      </c>
    </row>
    <row r="296" spans="1:8" ht="13.95" customHeight="1">
      <c r="A296" t="s">
        <v>6523</v>
      </c>
      <c r="B296">
        <v>10</v>
      </c>
      <c r="C296">
        <v>0</v>
      </c>
      <c r="F296">
        <v>0</v>
      </c>
    </row>
    <row r="297" spans="1:8" ht="13.95" customHeight="1">
      <c r="A297" t="s">
        <v>6523</v>
      </c>
      <c r="B297">
        <v>11</v>
      </c>
      <c r="D297">
        <v>0</v>
      </c>
      <c r="G297">
        <v>0</v>
      </c>
    </row>
    <row r="298" spans="1:8" ht="13.95" customHeight="1">
      <c r="A298" t="s">
        <v>6523</v>
      </c>
      <c r="B298">
        <v>12</v>
      </c>
      <c r="D298">
        <v>0</v>
      </c>
      <c r="G298">
        <v>0</v>
      </c>
    </row>
    <row r="299" spans="1:8" ht="13.95" customHeight="1">
      <c r="A299" t="s">
        <v>6523</v>
      </c>
      <c r="B299">
        <v>13</v>
      </c>
      <c r="E299">
        <v>0</v>
      </c>
      <c r="H299">
        <v>0</v>
      </c>
    </row>
    <row r="300" spans="1:8" ht="13.95" customHeight="1">
      <c r="A300" t="s">
        <v>6523</v>
      </c>
      <c r="B300">
        <v>14</v>
      </c>
      <c r="E300">
        <v>0</v>
      </c>
      <c r="H300">
        <v>0</v>
      </c>
    </row>
    <row r="301" spans="1:8" ht="13.95" customHeight="1">
      <c r="A301" t="s">
        <v>6523</v>
      </c>
      <c r="B301">
        <v>15</v>
      </c>
      <c r="C301">
        <v>0</v>
      </c>
      <c r="F301">
        <v>0</v>
      </c>
    </row>
    <row r="302" spans="1:8" ht="13.95" customHeight="1">
      <c r="A302" t="s">
        <v>6523</v>
      </c>
      <c r="B302">
        <v>16</v>
      </c>
      <c r="C302">
        <v>0</v>
      </c>
      <c r="F302">
        <v>0</v>
      </c>
    </row>
    <row r="303" spans="1:8" ht="13.95" customHeight="1">
      <c r="A303" t="s">
        <v>6523</v>
      </c>
      <c r="B303">
        <v>17</v>
      </c>
      <c r="D303">
        <v>0</v>
      </c>
      <c r="G303">
        <v>0</v>
      </c>
    </row>
    <row r="304" spans="1:8" ht="13.95" customHeight="1">
      <c r="A304" t="s">
        <v>6523</v>
      </c>
      <c r="B304">
        <v>18</v>
      </c>
      <c r="D304">
        <v>0</v>
      </c>
      <c r="G304">
        <v>0</v>
      </c>
    </row>
    <row r="305" spans="1:8" ht="13.95" customHeight="1">
      <c r="A305" t="s">
        <v>6523</v>
      </c>
      <c r="B305">
        <v>19</v>
      </c>
      <c r="E305">
        <v>0</v>
      </c>
      <c r="H305">
        <v>0</v>
      </c>
    </row>
    <row r="306" spans="1:8" ht="13.95" customHeight="1">
      <c r="A306" t="s">
        <v>6523</v>
      </c>
      <c r="B306">
        <v>20</v>
      </c>
      <c r="E306">
        <v>0</v>
      </c>
      <c r="H306">
        <v>0</v>
      </c>
    </row>
    <row r="307" spans="1:8" ht="13.95" customHeight="1">
      <c r="A307" t="s">
        <v>6523</v>
      </c>
      <c r="B307">
        <v>21</v>
      </c>
      <c r="C307">
        <v>0</v>
      </c>
      <c r="F307">
        <v>0</v>
      </c>
    </row>
    <row r="308" spans="1:8" ht="13.95" customHeight="1">
      <c r="A308" t="s">
        <v>6523</v>
      </c>
      <c r="B308">
        <v>22</v>
      </c>
      <c r="C308">
        <v>0</v>
      </c>
      <c r="F308">
        <v>0</v>
      </c>
    </row>
    <row r="309" spans="1:8" ht="13.95" customHeight="1">
      <c r="A309" t="s">
        <v>6523</v>
      </c>
      <c r="B309">
        <v>23</v>
      </c>
      <c r="D309">
        <v>0</v>
      </c>
      <c r="G309">
        <v>0</v>
      </c>
    </row>
    <row r="310" spans="1:8" ht="13.95" customHeight="1">
      <c r="A310" t="s">
        <v>6523</v>
      </c>
      <c r="B310">
        <v>24</v>
      </c>
      <c r="D310">
        <v>0</v>
      </c>
      <c r="G310">
        <v>0</v>
      </c>
    </row>
    <row r="311" spans="1:8" ht="13.95" customHeight="1">
      <c r="A311" t="s">
        <v>6523</v>
      </c>
      <c r="B311">
        <v>25</v>
      </c>
      <c r="E311">
        <v>0</v>
      </c>
      <c r="H311">
        <v>0</v>
      </c>
    </row>
    <row r="312" spans="1:8" ht="13.95" customHeight="1">
      <c r="A312" t="s">
        <v>6523</v>
      </c>
      <c r="B312">
        <v>26</v>
      </c>
      <c r="E312">
        <v>0</v>
      </c>
      <c r="H312">
        <v>0</v>
      </c>
    </row>
    <row r="313" spans="1:8" ht="13.95" customHeight="1">
      <c r="A313" t="s">
        <v>6523</v>
      </c>
      <c r="B313">
        <v>27</v>
      </c>
      <c r="C313">
        <v>0</v>
      </c>
      <c r="F313">
        <v>0</v>
      </c>
    </row>
    <row r="314" spans="1:8" ht="13.95" customHeight="1">
      <c r="A314" t="s">
        <v>6523</v>
      </c>
      <c r="B314">
        <v>28</v>
      </c>
      <c r="C314">
        <v>0</v>
      </c>
      <c r="F314">
        <v>0</v>
      </c>
    </row>
    <row r="315" spans="1:8" ht="13.95" customHeight="1">
      <c r="A315" t="s">
        <v>6523</v>
      </c>
      <c r="B315">
        <v>29</v>
      </c>
      <c r="D315">
        <v>0</v>
      </c>
      <c r="G315">
        <v>0</v>
      </c>
    </row>
    <row r="316" spans="1:8" ht="13.95" customHeight="1">
      <c r="A316" t="s">
        <v>6523</v>
      </c>
      <c r="B316">
        <v>30</v>
      </c>
      <c r="D316">
        <v>0</v>
      </c>
      <c r="G316">
        <v>0</v>
      </c>
    </row>
    <row r="317" spans="1:8" ht="13.95" customHeight="1">
      <c r="A317" t="s">
        <v>6523</v>
      </c>
      <c r="B317">
        <v>31</v>
      </c>
      <c r="E317">
        <v>0</v>
      </c>
      <c r="H317">
        <v>0</v>
      </c>
    </row>
    <row r="318" spans="1:8" ht="13.95" customHeight="1">
      <c r="A318" t="s">
        <v>6523</v>
      </c>
      <c r="B318">
        <v>32</v>
      </c>
      <c r="E318">
        <v>0</v>
      </c>
      <c r="H318">
        <v>0</v>
      </c>
    </row>
    <row r="319" spans="1:8" ht="13.95" customHeight="1">
      <c r="A319" t="s">
        <v>6523</v>
      </c>
      <c r="B319">
        <v>33</v>
      </c>
      <c r="C319">
        <v>0</v>
      </c>
      <c r="F319">
        <v>0</v>
      </c>
    </row>
    <row r="320" spans="1:8" ht="13.95" customHeight="1">
      <c r="A320" t="s">
        <v>6523</v>
      </c>
      <c r="B320">
        <v>34</v>
      </c>
      <c r="C320">
        <v>0</v>
      </c>
      <c r="F320">
        <v>0</v>
      </c>
    </row>
    <row r="321" spans="1:8" ht="13.95" customHeight="1">
      <c r="A321" t="s">
        <v>6523</v>
      </c>
      <c r="B321">
        <v>35</v>
      </c>
      <c r="D321">
        <v>0</v>
      </c>
      <c r="G321">
        <v>0</v>
      </c>
    </row>
    <row r="322" spans="1:8" ht="13.95" customHeight="1">
      <c r="A322" t="s">
        <v>6523</v>
      </c>
      <c r="B322">
        <v>36</v>
      </c>
      <c r="D322">
        <v>0</v>
      </c>
      <c r="G322">
        <v>0</v>
      </c>
    </row>
    <row r="323" spans="1:8" ht="13.95" customHeight="1">
      <c r="A323" t="s">
        <v>6523</v>
      </c>
      <c r="B323">
        <v>37</v>
      </c>
      <c r="E323">
        <v>0</v>
      </c>
      <c r="H323">
        <v>0</v>
      </c>
    </row>
    <row r="324" spans="1:8" ht="13.95" customHeight="1">
      <c r="A324" t="s">
        <v>6523</v>
      </c>
      <c r="B324">
        <v>38</v>
      </c>
      <c r="E324">
        <v>0</v>
      </c>
      <c r="H324">
        <v>0</v>
      </c>
    </row>
    <row r="325" spans="1:8" ht="13.95" customHeight="1">
      <c r="A325" t="s">
        <v>6523</v>
      </c>
      <c r="B325">
        <v>39</v>
      </c>
      <c r="C325">
        <v>0</v>
      </c>
      <c r="F325">
        <v>0</v>
      </c>
    </row>
    <row r="326" spans="1:8" ht="13.95" customHeight="1">
      <c r="A326" t="s">
        <v>6523</v>
      </c>
      <c r="B326">
        <v>40</v>
      </c>
      <c r="C326">
        <v>0</v>
      </c>
      <c r="F326">
        <v>0</v>
      </c>
    </row>
    <row r="327" spans="1:8" ht="13.95" customHeight="1">
      <c r="A327" t="s">
        <v>6523</v>
      </c>
      <c r="B327">
        <v>41</v>
      </c>
      <c r="D327">
        <v>0</v>
      </c>
      <c r="G327">
        <v>0</v>
      </c>
    </row>
    <row r="328" spans="1:8" ht="13.95" customHeight="1">
      <c r="A328" t="s">
        <v>6523</v>
      </c>
      <c r="B328">
        <v>42</v>
      </c>
      <c r="D328">
        <v>0</v>
      </c>
      <c r="G328">
        <v>0</v>
      </c>
    </row>
    <row r="329" spans="1:8" ht="13.95" customHeight="1">
      <c r="A329" t="s">
        <v>6523</v>
      </c>
      <c r="B329">
        <v>43</v>
      </c>
      <c r="E329">
        <v>0</v>
      </c>
      <c r="H329">
        <v>0</v>
      </c>
    </row>
    <row r="330" spans="1:8" ht="13.95" customHeight="1">
      <c r="A330" t="s">
        <v>6523</v>
      </c>
      <c r="B330">
        <v>44</v>
      </c>
      <c r="E330">
        <v>0</v>
      </c>
      <c r="H330">
        <v>0</v>
      </c>
    </row>
    <row r="331" spans="1:8" ht="13.95" customHeight="1">
      <c r="A331" t="s">
        <v>6523</v>
      </c>
      <c r="B331">
        <v>45</v>
      </c>
      <c r="C331">
        <v>0</v>
      </c>
      <c r="F331">
        <v>0</v>
      </c>
    </row>
    <row r="332" spans="1:8" ht="13.95" customHeight="1">
      <c r="A332" t="s">
        <v>6523</v>
      </c>
      <c r="B332">
        <v>46</v>
      </c>
      <c r="C332">
        <v>0</v>
      </c>
      <c r="F332">
        <v>0</v>
      </c>
    </row>
    <row r="333" spans="1:8" ht="13.95" customHeight="1">
      <c r="A333" t="s">
        <v>6523</v>
      </c>
      <c r="B333">
        <v>47</v>
      </c>
      <c r="D333">
        <v>0</v>
      </c>
      <c r="G333">
        <v>0</v>
      </c>
    </row>
    <row r="334" spans="1:8" ht="13.95" customHeight="1">
      <c r="A334" t="s">
        <v>6523</v>
      </c>
      <c r="B334">
        <v>48</v>
      </c>
      <c r="D334">
        <v>0</v>
      </c>
      <c r="G334">
        <v>0</v>
      </c>
    </row>
    <row r="335" spans="1:8" ht="13.95" customHeight="1">
      <c r="A335" t="s">
        <v>6523</v>
      </c>
      <c r="B335">
        <v>49</v>
      </c>
      <c r="E335">
        <v>0</v>
      </c>
      <c r="H335">
        <v>0</v>
      </c>
    </row>
    <row r="336" spans="1:8" ht="13.95" customHeight="1">
      <c r="A336" t="s">
        <v>6523</v>
      </c>
      <c r="B336">
        <v>50</v>
      </c>
      <c r="E336">
        <v>0</v>
      </c>
      <c r="H336">
        <v>0</v>
      </c>
    </row>
    <row r="337" spans="1:11" ht="13.95" customHeight="1">
      <c r="A337" t="s">
        <v>6523</v>
      </c>
      <c r="B337">
        <v>51</v>
      </c>
      <c r="C337">
        <v>0</v>
      </c>
      <c r="F337">
        <v>0</v>
      </c>
    </row>
    <row r="338" spans="1:11" ht="13.95" customHeight="1">
      <c r="A338" t="s">
        <v>6523</v>
      </c>
      <c r="B338">
        <v>52</v>
      </c>
      <c r="C338">
        <v>0</v>
      </c>
      <c r="F338">
        <v>0</v>
      </c>
    </row>
    <row r="339" spans="1:11" ht="13.95" customHeight="1">
      <c r="A339" t="s">
        <v>6523</v>
      </c>
      <c r="B339">
        <v>53</v>
      </c>
      <c r="D339">
        <v>0</v>
      </c>
      <c r="G339">
        <v>0</v>
      </c>
    </row>
    <row r="340" spans="1:11" ht="13.95" customHeight="1">
      <c r="A340" t="s">
        <v>6523</v>
      </c>
      <c r="B340">
        <v>54</v>
      </c>
      <c r="D340">
        <v>0</v>
      </c>
      <c r="G340">
        <v>0</v>
      </c>
    </row>
    <row r="341" spans="1:11" ht="13.95" customHeight="1">
      <c r="A341" t="s">
        <v>6524</v>
      </c>
      <c r="B341">
        <v>1</v>
      </c>
      <c r="C341">
        <v>7.65</v>
      </c>
      <c r="F341">
        <v>7.9</v>
      </c>
      <c r="I341">
        <v>7.7299224353135179</v>
      </c>
    </row>
    <row r="342" spans="1:11" ht="13.95" customHeight="1">
      <c r="A342" t="s">
        <v>6524</v>
      </c>
      <c r="B342">
        <v>2</v>
      </c>
      <c r="C342">
        <v>0.99</v>
      </c>
      <c r="F342">
        <v>1.07</v>
      </c>
      <c r="I342">
        <v>1.0017553331575562</v>
      </c>
    </row>
    <row r="343" spans="1:11" ht="13.95" customHeight="1">
      <c r="A343" t="s">
        <v>6524</v>
      </c>
      <c r="B343">
        <v>3</v>
      </c>
      <c r="D343">
        <v>1.19</v>
      </c>
      <c r="G343">
        <v>1.45</v>
      </c>
      <c r="J343">
        <v>1.2904128077737169</v>
      </c>
    </row>
    <row r="344" spans="1:11" ht="13.95" customHeight="1">
      <c r="A344" t="s">
        <v>6524</v>
      </c>
      <c r="B344">
        <v>4</v>
      </c>
      <c r="D344">
        <v>0</v>
      </c>
      <c r="G344">
        <v>0</v>
      </c>
    </row>
    <row r="345" spans="1:11" ht="13.95" customHeight="1">
      <c r="A345" t="s">
        <v>6524</v>
      </c>
      <c r="B345">
        <v>5</v>
      </c>
      <c r="E345">
        <v>0.4</v>
      </c>
      <c r="H345">
        <v>0.4</v>
      </c>
      <c r="K345">
        <v>0.40000000000000019</v>
      </c>
    </row>
    <row r="346" spans="1:11" ht="13.95" customHeight="1">
      <c r="A346" t="s">
        <v>6524</v>
      </c>
      <c r="B346">
        <v>6</v>
      </c>
      <c r="E346">
        <v>0.35</v>
      </c>
      <c r="H346">
        <v>0.4</v>
      </c>
      <c r="K346">
        <v>0.37584276397951122</v>
      </c>
    </row>
    <row r="347" spans="1:11" ht="13.95" customHeight="1">
      <c r="A347" t="s">
        <v>6524</v>
      </c>
      <c r="B347">
        <v>7</v>
      </c>
      <c r="C347">
        <v>0</v>
      </c>
      <c r="F347">
        <v>0</v>
      </c>
    </row>
    <row r="348" spans="1:11" ht="13.95" customHeight="1">
      <c r="A348" t="s">
        <v>6524</v>
      </c>
      <c r="B348">
        <v>8</v>
      </c>
      <c r="C348">
        <v>0</v>
      </c>
      <c r="F348">
        <v>0</v>
      </c>
    </row>
    <row r="349" spans="1:11" ht="13.95" customHeight="1">
      <c r="A349" t="s">
        <v>6524</v>
      </c>
      <c r="B349">
        <v>9</v>
      </c>
      <c r="D349">
        <v>0</v>
      </c>
      <c r="G349">
        <v>0</v>
      </c>
    </row>
    <row r="350" spans="1:11" ht="13.95" customHeight="1">
      <c r="A350" t="s">
        <v>6524</v>
      </c>
      <c r="B350">
        <v>10</v>
      </c>
      <c r="D350">
        <v>0</v>
      </c>
      <c r="G350">
        <v>0</v>
      </c>
    </row>
    <row r="351" spans="1:11" ht="13.95" customHeight="1">
      <c r="A351" t="s">
        <v>6524</v>
      </c>
      <c r="B351">
        <v>11</v>
      </c>
      <c r="E351">
        <v>0</v>
      </c>
      <c r="H351">
        <v>0</v>
      </c>
    </row>
    <row r="352" spans="1:11" ht="13.95" customHeight="1">
      <c r="A352" t="s">
        <v>6524</v>
      </c>
      <c r="B352">
        <v>12</v>
      </c>
      <c r="E352">
        <v>0</v>
      </c>
      <c r="H352">
        <v>0</v>
      </c>
    </row>
    <row r="353" spans="1:8" ht="13.95" customHeight="1">
      <c r="A353" t="s">
        <v>6524</v>
      </c>
      <c r="B353">
        <v>13</v>
      </c>
      <c r="C353">
        <v>0</v>
      </c>
      <c r="F353">
        <v>0</v>
      </c>
    </row>
    <row r="354" spans="1:8" ht="13.95" customHeight="1">
      <c r="A354" t="s">
        <v>6524</v>
      </c>
      <c r="B354">
        <v>14</v>
      </c>
      <c r="C354">
        <v>0</v>
      </c>
      <c r="F354">
        <v>0</v>
      </c>
    </row>
    <row r="355" spans="1:8" ht="13.95" customHeight="1">
      <c r="A355" t="s">
        <v>6524</v>
      </c>
      <c r="B355">
        <v>15</v>
      </c>
      <c r="D355">
        <v>0</v>
      </c>
      <c r="G355">
        <v>0</v>
      </c>
    </row>
    <row r="356" spans="1:8" ht="13.95" customHeight="1">
      <c r="A356" t="s">
        <v>6524</v>
      </c>
      <c r="B356">
        <v>16</v>
      </c>
      <c r="D356">
        <v>0</v>
      </c>
      <c r="G356">
        <v>0</v>
      </c>
    </row>
    <row r="357" spans="1:8" ht="13.95" customHeight="1">
      <c r="A357" t="s">
        <v>6524</v>
      </c>
      <c r="B357">
        <v>17</v>
      </c>
      <c r="E357">
        <v>0</v>
      </c>
      <c r="H357">
        <v>0</v>
      </c>
    </row>
    <row r="358" spans="1:8" ht="13.95" customHeight="1">
      <c r="A358" t="s">
        <v>6524</v>
      </c>
      <c r="B358">
        <v>18</v>
      </c>
      <c r="E358">
        <v>0</v>
      </c>
      <c r="H358">
        <v>0</v>
      </c>
    </row>
    <row r="359" spans="1:8" ht="13.95" customHeight="1">
      <c r="A359" t="s">
        <v>6524</v>
      </c>
      <c r="B359">
        <v>19</v>
      </c>
      <c r="C359">
        <v>0</v>
      </c>
      <c r="F359">
        <v>0</v>
      </c>
    </row>
    <row r="360" spans="1:8" ht="13.95" customHeight="1">
      <c r="A360" t="s">
        <v>6524</v>
      </c>
      <c r="B360">
        <v>20</v>
      </c>
      <c r="C360">
        <v>0</v>
      </c>
      <c r="F360">
        <v>0</v>
      </c>
    </row>
    <row r="361" spans="1:8" ht="13.95" customHeight="1">
      <c r="A361" t="s">
        <v>6524</v>
      </c>
      <c r="B361">
        <v>21</v>
      </c>
      <c r="D361">
        <v>0</v>
      </c>
      <c r="G361">
        <v>0</v>
      </c>
    </row>
    <row r="362" spans="1:8" ht="13.95" customHeight="1">
      <c r="A362" t="s">
        <v>6524</v>
      </c>
      <c r="B362">
        <v>22</v>
      </c>
      <c r="D362">
        <v>0</v>
      </c>
      <c r="G362">
        <v>0</v>
      </c>
    </row>
    <row r="363" spans="1:8" ht="13.95" customHeight="1">
      <c r="A363" t="s">
        <v>6524</v>
      </c>
      <c r="B363">
        <v>23</v>
      </c>
      <c r="E363">
        <v>0</v>
      </c>
      <c r="H363">
        <v>0</v>
      </c>
    </row>
    <row r="364" spans="1:8" ht="13.95" customHeight="1">
      <c r="A364" t="s">
        <v>6524</v>
      </c>
      <c r="B364">
        <v>24</v>
      </c>
      <c r="E364">
        <v>0</v>
      </c>
      <c r="H364">
        <v>0</v>
      </c>
    </row>
    <row r="365" spans="1:8" ht="13.95" customHeight="1">
      <c r="A365" t="s">
        <v>6524</v>
      </c>
      <c r="B365">
        <v>25</v>
      </c>
      <c r="C365">
        <v>0</v>
      </c>
      <c r="F365">
        <v>0</v>
      </c>
    </row>
    <row r="366" spans="1:8" ht="13.95" customHeight="1">
      <c r="A366" t="s">
        <v>6524</v>
      </c>
      <c r="B366">
        <v>26</v>
      </c>
      <c r="C366">
        <v>0</v>
      </c>
      <c r="F366">
        <v>0</v>
      </c>
    </row>
    <row r="367" spans="1:8" ht="13.95" customHeight="1">
      <c r="A367" t="s">
        <v>6524</v>
      </c>
      <c r="B367">
        <v>27</v>
      </c>
      <c r="D367">
        <v>0</v>
      </c>
      <c r="G367">
        <v>0</v>
      </c>
    </row>
    <row r="368" spans="1:8" ht="13.95" customHeight="1">
      <c r="A368" t="s">
        <v>6524</v>
      </c>
      <c r="B368">
        <v>28</v>
      </c>
      <c r="D368">
        <v>0</v>
      </c>
      <c r="G368">
        <v>0</v>
      </c>
    </row>
    <row r="369" spans="1:8" ht="13.95" customHeight="1">
      <c r="A369" t="s">
        <v>6524</v>
      </c>
      <c r="B369">
        <v>29</v>
      </c>
      <c r="E369">
        <v>0</v>
      </c>
      <c r="H369">
        <v>0</v>
      </c>
    </row>
    <row r="370" spans="1:8" ht="13.95" customHeight="1">
      <c r="A370" t="s">
        <v>6524</v>
      </c>
      <c r="B370">
        <v>30</v>
      </c>
      <c r="E370">
        <v>0</v>
      </c>
      <c r="H370">
        <v>0</v>
      </c>
    </row>
    <row r="371" spans="1:8" ht="13.95" customHeight="1">
      <c r="A371" t="s">
        <v>6524</v>
      </c>
      <c r="B371">
        <v>31</v>
      </c>
      <c r="C371">
        <v>0</v>
      </c>
      <c r="F371">
        <v>0</v>
      </c>
    </row>
    <row r="372" spans="1:8" ht="13.95" customHeight="1">
      <c r="A372" t="s">
        <v>6524</v>
      </c>
      <c r="B372">
        <v>32</v>
      </c>
      <c r="C372">
        <v>0</v>
      </c>
      <c r="F372">
        <v>0</v>
      </c>
    </row>
    <row r="373" spans="1:8" ht="13.95" customHeight="1">
      <c r="A373" t="s">
        <v>6524</v>
      </c>
      <c r="B373">
        <v>33</v>
      </c>
      <c r="D373">
        <v>0</v>
      </c>
      <c r="G373">
        <v>0</v>
      </c>
    </row>
    <row r="374" spans="1:8" ht="13.95" customHeight="1">
      <c r="A374" t="s">
        <v>6524</v>
      </c>
      <c r="B374">
        <v>34</v>
      </c>
      <c r="D374">
        <v>0</v>
      </c>
      <c r="G374">
        <v>0</v>
      </c>
    </row>
    <row r="375" spans="1:8" ht="13.95" customHeight="1">
      <c r="A375" t="s">
        <v>6524</v>
      </c>
      <c r="B375">
        <v>35</v>
      </c>
      <c r="E375">
        <v>0</v>
      </c>
      <c r="H375">
        <v>0</v>
      </c>
    </row>
    <row r="376" spans="1:8" ht="13.95" customHeight="1">
      <c r="A376" t="s">
        <v>6524</v>
      </c>
      <c r="B376">
        <v>36</v>
      </c>
      <c r="E376">
        <v>0</v>
      </c>
      <c r="H376">
        <v>0</v>
      </c>
    </row>
    <row r="377" spans="1:8" ht="13.95" customHeight="1">
      <c r="A377" t="s">
        <v>6525</v>
      </c>
      <c r="B377">
        <v>1</v>
      </c>
    </row>
    <row r="378" spans="1:8" ht="13.95" customHeight="1">
      <c r="A378" t="s">
        <v>6525</v>
      </c>
      <c r="B378">
        <v>2</v>
      </c>
    </row>
    <row r="379" spans="1:8" ht="13.95" customHeight="1">
      <c r="A379" t="s">
        <v>6525</v>
      </c>
      <c r="B379">
        <v>3</v>
      </c>
    </row>
    <row r="380" spans="1:8" ht="13.95" customHeight="1">
      <c r="A380" t="s">
        <v>6525</v>
      </c>
      <c r="B380">
        <v>4</v>
      </c>
    </row>
    <row r="381" spans="1:8" ht="13.95" customHeight="1">
      <c r="A381" t="s">
        <v>6525</v>
      </c>
      <c r="B381">
        <v>5</v>
      </c>
    </row>
    <row r="382" spans="1:8" ht="13.95" customHeight="1">
      <c r="A382" t="s">
        <v>6525</v>
      </c>
      <c r="B382">
        <v>6</v>
      </c>
    </row>
    <row r="383" spans="1:8" ht="13.95" customHeight="1">
      <c r="A383" t="s">
        <v>6525</v>
      </c>
      <c r="B383">
        <v>7</v>
      </c>
    </row>
    <row r="384" spans="1:8" ht="13.95" customHeight="1">
      <c r="A384" t="s">
        <v>6525</v>
      </c>
      <c r="B384">
        <v>8</v>
      </c>
    </row>
    <row r="385" spans="1:2" ht="13.95" customHeight="1">
      <c r="A385" t="s">
        <v>6525</v>
      </c>
      <c r="B385">
        <v>9</v>
      </c>
    </row>
    <row r="386" spans="1:2" ht="13.95" customHeight="1">
      <c r="A386" t="s">
        <v>6525</v>
      </c>
      <c r="B386">
        <v>10</v>
      </c>
    </row>
    <row r="387" spans="1:2" ht="13.95" customHeight="1">
      <c r="A387" t="s">
        <v>6525</v>
      </c>
      <c r="B387">
        <v>11</v>
      </c>
    </row>
    <row r="388" spans="1:2" ht="13.95" customHeight="1">
      <c r="A388" t="s">
        <v>6525</v>
      </c>
      <c r="B388">
        <v>12</v>
      </c>
    </row>
    <row r="389" spans="1:2" ht="13.95" customHeight="1">
      <c r="A389" t="s">
        <v>6525</v>
      </c>
      <c r="B389">
        <v>13</v>
      </c>
    </row>
    <row r="390" spans="1:2" ht="13.95" customHeight="1">
      <c r="A390" t="s">
        <v>6525</v>
      </c>
      <c r="B390">
        <v>14</v>
      </c>
    </row>
    <row r="391" spans="1:2" ht="13.95" customHeight="1">
      <c r="A391" t="s">
        <v>6525</v>
      </c>
      <c r="B391">
        <v>15</v>
      </c>
    </row>
    <row r="392" spans="1:2" ht="13.95" customHeight="1">
      <c r="A392" t="s">
        <v>6525</v>
      </c>
      <c r="B392">
        <v>16</v>
      </c>
    </row>
    <row r="393" spans="1:2" ht="13.95" customHeight="1">
      <c r="A393" t="s">
        <v>6525</v>
      </c>
      <c r="B393">
        <v>17</v>
      </c>
    </row>
    <row r="394" spans="1:2" ht="13.95" customHeight="1">
      <c r="A394" t="s">
        <v>6525</v>
      </c>
      <c r="B394">
        <v>18</v>
      </c>
    </row>
    <row r="395" spans="1:2" ht="13.95" customHeight="1">
      <c r="A395" t="s">
        <v>6525</v>
      </c>
      <c r="B395">
        <v>19</v>
      </c>
    </row>
    <row r="396" spans="1:2" ht="13.95" customHeight="1">
      <c r="A396" t="s">
        <v>6525</v>
      </c>
      <c r="B396">
        <v>20</v>
      </c>
    </row>
    <row r="397" spans="1:2" ht="13.95" customHeight="1">
      <c r="A397" t="s">
        <v>6525</v>
      </c>
      <c r="B397">
        <v>21</v>
      </c>
    </row>
    <row r="398" spans="1:2" ht="13.95" customHeight="1">
      <c r="A398" t="s">
        <v>6525</v>
      </c>
      <c r="B398">
        <v>22</v>
      </c>
    </row>
    <row r="399" spans="1:2" ht="13.95" customHeight="1">
      <c r="A399" t="s">
        <v>6525</v>
      </c>
      <c r="B399">
        <v>23</v>
      </c>
    </row>
    <row r="400" spans="1:2" ht="13.95" customHeight="1">
      <c r="A400" t="s">
        <v>6525</v>
      </c>
      <c r="B400">
        <v>24</v>
      </c>
    </row>
    <row r="401" spans="1:9" ht="13.95" customHeight="1">
      <c r="A401" t="s">
        <v>6525</v>
      </c>
      <c r="B401">
        <v>25</v>
      </c>
    </row>
    <row r="402" spans="1:9" ht="13.95" customHeight="1">
      <c r="A402" t="s">
        <v>6525</v>
      </c>
      <c r="B402">
        <v>26</v>
      </c>
    </row>
    <row r="403" spans="1:9" ht="13.95" customHeight="1">
      <c r="A403" t="s">
        <v>6525</v>
      </c>
      <c r="B403">
        <v>27</v>
      </c>
    </row>
    <row r="404" spans="1:9" ht="13.95" customHeight="1">
      <c r="A404" t="s">
        <v>6525</v>
      </c>
      <c r="B404">
        <v>28</v>
      </c>
    </row>
    <row r="405" spans="1:9" ht="13.95" customHeight="1">
      <c r="A405" t="s">
        <v>6525</v>
      </c>
      <c r="B405">
        <v>29</v>
      </c>
    </row>
    <row r="406" spans="1:9" ht="13.95" customHeight="1">
      <c r="A406" t="s">
        <v>6525</v>
      </c>
      <c r="B406">
        <v>30</v>
      </c>
    </row>
    <row r="407" spans="1:9" ht="13.95" customHeight="1">
      <c r="A407" t="s">
        <v>6525</v>
      </c>
      <c r="B407">
        <v>31</v>
      </c>
    </row>
    <row r="408" spans="1:9" ht="13.95" customHeight="1">
      <c r="A408" t="s">
        <v>6525</v>
      </c>
      <c r="B408">
        <v>32</v>
      </c>
    </row>
    <row r="409" spans="1:9" ht="13.95" customHeight="1">
      <c r="A409" t="s">
        <v>6525</v>
      </c>
      <c r="B409">
        <v>33</v>
      </c>
    </row>
    <row r="410" spans="1:9" ht="13.95" customHeight="1">
      <c r="A410" t="s">
        <v>6525</v>
      </c>
      <c r="B410">
        <v>34</v>
      </c>
    </row>
    <row r="411" spans="1:9" ht="13.95" customHeight="1">
      <c r="A411" t="s">
        <v>6525</v>
      </c>
      <c r="B411">
        <v>35</v>
      </c>
    </row>
    <row r="412" spans="1:9" ht="13.95" customHeight="1">
      <c r="A412" t="s">
        <v>6525</v>
      </c>
      <c r="B412">
        <v>36</v>
      </c>
    </row>
    <row r="413" spans="1:9" ht="13.95" customHeight="1">
      <c r="A413" t="s">
        <v>6525</v>
      </c>
      <c r="B413">
        <v>37</v>
      </c>
    </row>
    <row r="414" spans="1:9" ht="13.95" customHeight="1">
      <c r="A414" t="s">
        <v>6525</v>
      </c>
      <c r="B414">
        <v>38</v>
      </c>
    </row>
    <row r="415" spans="1:9" ht="13.95" customHeight="1">
      <c r="A415" t="s">
        <v>6526</v>
      </c>
      <c r="B415">
        <v>1</v>
      </c>
      <c r="C415">
        <v>0</v>
      </c>
      <c r="F415">
        <v>0</v>
      </c>
    </row>
    <row r="416" spans="1:9" ht="13.95" customHeight="1">
      <c r="A416" t="s">
        <v>6526</v>
      </c>
      <c r="B416">
        <v>2</v>
      </c>
      <c r="C416">
        <v>1.1599999999999999</v>
      </c>
      <c r="F416">
        <v>1.24</v>
      </c>
      <c r="I416">
        <v>1.1724297861971957</v>
      </c>
    </row>
    <row r="417" spans="1:11" ht="13.95" customHeight="1">
      <c r="A417" t="s">
        <v>6526</v>
      </c>
      <c r="B417">
        <v>3</v>
      </c>
      <c r="D417">
        <v>1.25</v>
      </c>
      <c r="G417">
        <v>1.48</v>
      </c>
      <c r="J417">
        <v>1.3953580245916024</v>
      </c>
    </row>
    <row r="418" spans="1:11" ht="13.95" customHeight="1">
      <c r="A418" t="s">
        <v>6526</v>
      </c>
      <c r="B418">
        <v>4</v>
      </c>
      <c r="D418">
        <v>0</v>
      </c>
      <c r="G418">
        <v>0</v>
      </c>
    </row>
    <row r="419" spans="1:11" ht="13.95" customHeight="1">
      <c r="A419" t="s">
        <v>6526</v>
      </c>
      <c r="B419">
        <v>5</v>
      </c>
      <c r="E419">
        <v>0</v>
      </c>
      <c r="H419">
        <v>0</v>
      </c>
    </row>
    <row r="420" spans="1:11" ht="13.95" customHeight="1">
      <c r="A420" t="s">
        <v>6526</v>
      </c>
      <c r="B420">
        <v>6</v>
      </c>
      <c r="E420">
        <v>1.34</v>
      </c>
      <c r="H420">
        <v>1.3900000000000001</v>
      </c>
      <c r="K420">
        <v>1.3557560528233588</v>
      </c>
    </row>
    <row r="421" spans="1:11" ht="13.95" customHeight="1">
      <c r="A421" t="s">
        <v>6526</v>
      </c>
      <c r="B421">
        <v>7</v>
      </c>
      <c r="C421">
        <v>5.3</v>
      </c>
      <c r="F421">
        <v>5.45</v>
      </c>
      <c r="I421">
        <v>5.3868240610107865</v>
      </c>
    </row>
    <row r="422" spans="1:11" ht="13.95" customHeight="1">
      <c r="A422" t="s">
        <v>6526</v>
      </c>
      <c r="B422">
        <v>8</v>
      </c>
      <c r="C422">
        <v>0</v>
      </c>
      <c r="F422">
        <v>0</v>
      </c>
    </row>
    <row r="423" spans="1:11" ht="13.95" customHeight="1">
      <c r="A423" t="s">
        <v>6526</v>
      </c>
      <c r="B423">
        <v>9</v>
      </c>
      <c r="D423">
        <v>0</v>
      </c>
      <c r="G423">
        <v>0</v>
      </c>
    </row>
    <row r="424" spans="1:11" ht="13.95" customHeight="1">
      <c r="A424" t="s">
        <v>6526</v>
      </c>
      <c r="B424">
        <v>10</v>
      </c>
      <c r="D424">
        <v>0</v>
      </c>
      <c r="G424">
        <v>0</v>
      </c>
    </row>
    <row r="425" spans="1:11" ht="13.95" customHeight="1">
      <c r="A425" t="s">
        <v>6526</v>
      </c>
      <c r="B425">
        <v>11</v>
      </c>
      <c r="E425">
        <v>0</v>
      </c>
      <c r="H425">
        <v>0</v>
      </c>
    </row>
    <row r="426" spans="1:11" ht="13.95" customHeight="1">
      <c r="A426" t="s">
        <v>6526</v>
      </c>
      <c r="B426">
        <v>12</v>
      </c>
      <c r="E426">
        <v>0</v>
      </c>
      <c r="H426">
        <v>0</v>
      </c>
    </row>
    <row r="427" spans="1:11" ht="13.95" customHeight="1">
      <c r="A427" t="s">
        <v>6526</v>
      </c>
      <c r="B427">
        <v>13</v>
      </c>
      <c r="C427">
        <v>0</v>
      </c>
      <c r="F427">
        <v>0</v>
      </c>
    </row>
    <row r="428" spans="1:11" ht="13.95" customHeight="1">
      <c r="A428" t="s">
        <v>6526</v>
      </c>
      <c r="B428">
        <v>14</v>
      </c>
      <c r="C428">
        <v>0</v>
      </c>
      <c r="F428">
        <v>0</v>
      </c>
    </row>
    <row r="429" spans="1:11" ht="13.95" customHeight="1">
      <c r="A429" t="s">
        <v>6526</v>
      </c>
      <c r="B429">
        <v>15</v>
      </c>
      <c r="D429">
        <v>0</v>
      </c>
      <c r="G429">
        <v>0</v>
      </c>
    </row>
    <row r="430" spans="1:11" ht="13.95" customHeight="1">
      <c r="A430" t="s">
        <v>6526</v>
      </c>
      <c r="B430">
        <v>16</v>
      </c>
      <c r="D430">
        <v>0</v>
      </c>
      <c r="G430">
        <v>0</v>
      </c>
    </row>
    <row r="431" spans="1:11" ht="13.95" customHeight="1">
      <c r="A431" t="s">
        <v>6526</v>
      </c>
      <c r="B431">
        <v>17</v>
      </c>
      <c r="E431">
        <v>0</v>
      </c>
      <c r="H431">
        <v>0</v>
      </c>
    </row>
    <row r="432" spans="1:11" ht="13.95" customHeight="1">
      <c r="A432" t="s">
        <v>6526</v>
      </c>
      <c r="B432">
        <v>18</v>
      </c>
      <c r="E432">
        <v>0</v>
      </c>
      <c r="H432">
        <v>0</v>
      </c>
    </row>
    <row r="433" spans="1:8" ht="13.95" customHeight="1">
      <c r="A433" t="s">
        <v>6526</v>
      </c>
      <c r="B433">
        <v>19</v>
      </c>
      <c r="C433">
        <v>0</v>
      </c>
      <c r="F433">
        <v>0</v>
      </c>
    </row>
    <row r="434" spans="1:8" ht="13.95" customHeight="1">
      <c r="A434" t="s">
        <v>6526</v>
      </c>
      <c r="B434">
        <v>20</v>
      </c>
      <c r="C434">
        <v>0</v>
      </c>
      <c r="F434">
        <v>0</v>
      </c>
    </row>
    <row r="435" spans="1:8" ht="13.95" customHeight="1">
      <c r="A435" t="s">
        <v>6526</v>
      </c>
      <c r="B435">
        <v>21</v>
      </c>
      <c r="D435">
        <v>0</v>
      </c>
      <c r="G435">
        <v>0</v>
      </c>
    </row>
    <row r="436" spans="1:8" ht="13.95" customHeight="1">
      <c r="A436" t="s">
        <v>6526</v>
      </c>
      <c r="B436">
        <v>22</v>
      </c>
      <c r="D436">
        <v>0</v>
      </c>
      <c r="G436">
        <v>0</v>
      </c>
    </row>
    <row r="437" spans="1:8" ht="13.95" customHeight="1">
      <c r="A437" t="s">
        <v>6526</v>
      </c>
      <c r="B437">
        <v>23</v>
      </c>
      <c r="E437">
        <v>0</v>
      </c>
      <c r="H437">
        <v>0</v>
      </c>
    </row>
    <row r="438" spans="1:8" ht="13.95" customHeight="1">
      <c r="A438" t="s">
        <v>6526</v>
      </c>
      <c r="B438">
        <v>24</v>
      </c>
      <c r="E438">
        <v>0</v>
      </c>
      <c r="H438">
        <v>0</v>
      </c>
    </row>
    <row r="439" spans="1:8" ht="13.95" customHeight="1">
      <c r="A439" t="s">
        <v>6526</v>
      </c>
      <c r="B439">
        <v>25</v>
      </c>
      <c r="C439">
        <v>0</v>
      </c>
      <c r="F439">
        <v>0</v>
      </c>
    </row>
    <row r="440" spans="1:8" ht="13.95" customHeight="1">
      <c r="A440" t="s">
        <v>6526</v>
      </c>
      <c r="B440">
        <v>26</v>
      </c>
      <c r="C440">
        <v>0</v>
      </c>
      <c r="F440">
        <v>0</v>
      </c>
    </row>
    <row r="441" spans="1:8" ht="13.95" customHeight="1">
      <c r="A441" t="s">
        <v>6526</v>
      </c>
      <c r="B441">
        <v>27</v>
      </c>
      <c r="D441">
        <v>0</v>
      </c>
      <c r="G441">
        <v>0</v>
      </c>
    </row>
    <row r="442" spans="1:8" ht="13.95" customHeight="1">
      <c r="A442" t="s">
        <v>6526</v>
      </c>
      <c r="B442">
        <v>28</v>
      </c>
      <c r="D442">
        <v>0</v>
      </c>
      <c r="G442">
        <v>0</v>
      </c>
    </row>
    <row r="443" spans="1:8" ht="13.95" customHeight="1">
      <c r="A443" t="s">
        <v>6526</v>
      </c>
      <c r="B443">
        <v>29</v>
      </c>
      <c r="E443">
        <v>0</v>
      </c>
      <c r="H443">
        <v>0</v>
      </c>
    </row>
    <row r="444" spans="1:8" ht="13.95" customHeight="1">
      <c r="A444" t="s">
        <v>6526</v>
      </c>
      <c r="B444">
        <v>30</v>
      </c>
      <c r="E444">
        <v>0</v>
      </c>
      <c r="H444">
        <v>0</v>
      </c>
    </row>
    <row r="445" spans="1:8" ht="13.95" customHeight="1">
      <c r="A445" t="s">
        <v>6526</v>
      </c>
      <c r="B445">
        <v>31</v>
      </c>
      <c r="C445">
        <v>0</v>
      </c>
      <c r="F445">
        <v>0</v>
      </c>
    </row>
    <row r="446" spans="1:8" ht="13.95" customHeight="1">
      <c r="A446" t="s">
        <v>6526</v>
      </c>
      <c r="B446">
        <v>32</v>
      </c>
      <c r="C446">
        <v>0</v>
      </c>
      <c r="F446">
        <v>0</v>
      </c>
    </row>
    <row r="447" spans="1:8" ht="13.95" customHeight="1">
      <c r="A447" t="s">
        <v>6526</v>
      </c>
      <c r="B447">
        <v>33</v>
      </c>
      <c r="D447">
        <v>0</v>
      </c>
      <c r="G447">
        <v>0</v>
      </c>
    </row>
    <row r="448" spans="1:8" ht="13.95" customHeight="1">
      <c r="A448" t="s">
        <v>6526</v>
      </c>
      <c r="B448">
        <v>34</v>
      </c>
      <c r="D448">
        <v>0</v>
      </c>
      <c r="G448">
        <v>0</v>
      </c>
    </row>
    <row r="449" spans="1:8" ht="13.95" customHeight="1">
      <c r="A449" t="s">
        <v>6526</v>
      </c>
      <c r="B449">
        <v>35</v>
      </c>
      <c r="E449">
        <v>0</v>
      </c>
      <c r="H449">
        <v>0</v>
      </c>
    </row>
    <row r="450" spans="1:8" ht="13.95" customHeight="1">
      <c r="A450" t="s">
        <v>6526</v>
      </c>
      <c r="B450">
        <v>36</v>
      </c>
      <c r="E450">
        <v>0</v>
      </c>
      <c r="H450">
        <v>0</v>
      </c>
    </row>
    <row r="451" spans="1:8" ht="13.95" customHeight="1">
      <c r="A451" t="s">
        <v>6527</v>
      </c>
      <c r="B451">
        <v>1</v>
      </c>
    </row>
    <row r="452" spans="1:8" ht="13.95" customHeight="1">
      <c r="A452" t="s">
        <v>6527</v>
      </c>
      <c r="B452">
        <v>2</v>
      </c>
    </row>
    <row r="453" spans="1:8" ht="13.95" customHeight="1">
      <c r="A453" t="s">
        <v>6527</v>
      </c>
      <c r="B453">
        <v>3</v>
      </c>
    </row>
    <row r="454" spans="1:8" ht="13.95" customHeight="1">
      <c r="A454" t="s">
        <v>6527</v>
      </c>
      <c r="B454">
        <v>4</v>
      </c>
    </row>
    <row r="455" spans="1:8" ht="13.95" customHeight="1">
      <c r="A455" t="s">
        <v>6527</v>
      </c>
      <c r="B455">
        <v>5</v>
      </c>
    </row>
    <row r="456" spans="1:8" ht="13.95" customHeight="1">
      <c r="A456" t="s">
        <v>6527</v>
      </c>
      <c r="B456">
        <v>6</v>
      </c>
    </row>
    <row r="457" spans="1:8" ht="13.95" customHeight="1">
      <c r="A457" t="s">
        <v>6527</v>
      </c>
      <c r="B457">
        <v>7</v>
      </c>
    </row>
    <row r="458" spans="1:8" ht="13.95" customHeight="1">
      <c r="A458" t="s">
        <v>6527</v>
      </c>
      <c r="B458">
        <v>8</v>
      </c>
    </row>
    <row r="459" spans="1:8" ht="13.95" customHeight="1">
      <c r="A459" t="s">
        <v>6527</v>
      </c>
      <c r="B459">
        <v>9</v>
      </c>
    </row>
    <row r="460" spans="1:8" ht="13.95" customHeight="1">
      <c r="A460" t="s">
        <v>6527</v>
      </c>
      <c r="B460">
        <v>10</v>
      </c>
    </row>
    <row r="461" spans="1:8" ht="13.95" customHeight="1">
      <c r="A461" t="s">
        <v>6527</v>
      </c>
      <c r="B461">
        <v>11</v>
      </c>
    </row>
    <row r="462" spans="1:8" ht="13.95" customHeight="1">
      <c r="A462" t="s">
        <v>6527</v>
      </c>
      <c r="B462">
        <v>12</v>
      </c>
    </row>
    <row r="463" spans="1:8" ht="13.95" customHeight="1">
      <c r="A463" t="s">
        <v>6527</v>
      </c>
      <c r="B463">
        <v>13</v>
      </c>
    </row>
    <row r="464" spans="1:8" ht="13.95" customHeight="1">
      <c r="A464" t="s">
        <v>6527</v>
      </c>
      <c r="B464">
        <v>14</v>
      </c>
    </row>
    <row r="465" spans="1:2" ht="13.95" customHeight="1">
      <c r="A465" t="s">
        <v>6527</v>
      </c>
      <c r="B465">
        <v>15</v>
      </c>
    </row>
    <row r="466" spans="1:2" ht="13.95" customHeight="1">
      <c r="A466" t="s">
        <v>6527</v>
      </c>
      <c r="B466">
        <v>16</v>
      </c>
    </row>
    <row r="467" spans="1:2" ht="13.95" customHeight="1">
      <c r="A467" t="s">
        <v>6527</v>
      </c>
      <c r="B467">
        <v>17</v>
      </c>
    </row>
    <row r="468" spans="1:2" ht="13.95" customHeight="1">
      <c r="A468" t="s">
        <v>6527</v>
      </c>
      <c r="B468">
        <v>18</v>
      </c>
    </row>
    <row r="469" spans="1:2" ht="13.95" customHeight="1">
      <c r="A469" t="s">
        <v>6527</v>
      </c>
      <c r="B469">
        <v>19</v>
      </c>
    </row>
    <row r="470" spans="1:2" ht="13.95" customHeight="1">
      <c r="A470" t="s">
        <v>6527</v>
      </c>
      <c r="B470">
        <v>20</v>
      </c>
    </row>
    <row r="471" spans="1:2" ht="13.95" customHeight="1">
      <c r="A471" t="s">
        <v>6527</v>
      </c>
      <c r="B471">
        <v>21</v>
      </c>
    </row>
    <row r="472" spans="1:2" ht="13.95" customHeight="1">
      <c r="A472" t="s">
        <v>6527</v>
      </c>
      <c r="B472">
        <v>22</v>
      </c>
    </row>
    <row r="473" spans="1:2" ht="13.95" customHeight="1">
      <c r="A473" t="s">
        <v>6527</v>
      </c>
      <c r="B473">
        <v>23</v>
      </c>
    </row>
    <row r="474" spans="1:2" ht="13.95" customHeight="1">
      <c r="A474" t="s">
        <v>6527</v>
      </c>
      <c r="B474">
        <v>24</v>
      </c>
    </row>
    <row r="475" spans="1:2" ht="13.95" customHeight="1">
      <c r="A475" t="s">
        <v>6527</v>
      </c>
      <c r="B475">
        <v>25</v>
      </c>
    </row>
    <row r="476" spans="1:2" ht="13.95" customHeight="1">
      <c r="A476" t="s">
        <v>6527</v>
      </c>
      <c r="B476">
        <v>26</v>
      </c>
    </row>
    <row r="477" spans="1:2" ht="13.95" customHeight="1">
      <c r="A477" t="s">
        <v>6527</v>
      </c>
      <c r="B477">
        <v>27</v>
      </c>
    </row>
    <row r="478" spans="1:2" ht="13.95" customHeight="1">
      <c r="A478" t="s">
        <v>6527</v>
      </c>
      <c r="B478">
        <v>28</v>
      </c>
    </row>
    <row r="479" spans="1:2" ht="13.95" customHeight="1">
      <c r="A479" t="s">
        <v>6527</v>
      </c>
      <c r="B479">
        <v>29</v>
      </c>
    </row>
    <row r="480" spans="1:2" ht="13.95" customHeight="1">
      <c r="A480" t="s">
        <v>6527</v>
      </c>
      <c r="B480">
        <v>30</v>
      </c>
    </row>
    <row r="481" spans="1:10" ht="13.95" customHeight="1">
      <c r="A481" t="s">
        <v>6527</v>
      </c>
      <c r="B481">
        <v>31</v>
      </c>
    </row>
    <row r="482" spans="1:10" ht="13.95" customHeight="1">
      <c r="A482" t="s">
        <v>6527</v>
      </c>
      <c r="B482">
        <v>32</v>
      </c>
    </row>
    <row r="483" spans="1:10" ht="13.95" customHeight="1">
      <c r="A483" t="s">
        <v>6527</v>
      </c>
      <c r="B483">
        <v>33</v>
      </c>
    </row>
    <row r="484" spans="1:10" ht="13.95" customHeight="1">
      <c r="A484" t="s">
        <v>6527</v>
      </c>
      <c r="B484">
        <v>34</v>
      </c>
    </row>
    <row r="485" spans="1:10" ht="13.95" customHeight="1">
      <c r="A485" t="s">
        <v>6527</v>
      </c>
      <c r="B485">
        <v>35</v>
      </c>
    </row>
    <row r="486" spans="1:10" ht="13.95" customHeight="1">
      <c r="A486" t="s">
        <v>6527</v>
      </c>
      <c r="B486">
        <v>36</v>
      </c>
    </row>
    <row r="487" spans="1:10" ht="13.95" customHeight="1">
      <c r="A487" t="s">
        <v>6527</v>
      </c>
      <c r="B487">
        <v>37</v>
      </c>
    </row>
    <row r="488" spans="1:10" ht="13.95" customHeight="1">
      <c r="A488" t="s">
        <v>6527</v>
      </c>
      <c r="B488">
        <v>38</v>
      </c>
    </row>
    <row r="489" spans="1:10" ht="13.95" customHeight="1">
      <c r="A489" t="s">
        <v>6528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3.95" customHeight="1">
      <c r="A490" t="s">
        <v>6528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3.95" customHeight="1">
      <c r="A491" t="s">
        <v>6528</v>
      </c>
      <c r="B491">
        <v>3</v>
      </c>
      <c r="C491">
        <v>0</v>
      </c>
      <c r="F491">
        <v>0</v>
      </c>
    </row>
    <row r="492" spans="1:10" ht="13.95" customHeight="1">
      <c r="A492" t="s">
        <v>6528</v>
      </c>
      <c r="B492">
        <v>4</v>
      </c>
      <c r="C492">
        <v>0</v>
      </c>
      <c r="F492">
        <v>0</v>
      </c>
    </row>
    <row r="493" spans="1:10" ht="13.95" customHeight="1">
      <c r="A493" t="s">
        <v>6528</v>
      </c>
      <c r="B493">
        <v>5</v>
      </c>
      <c r="D493">
        <v>0</v>
      </c>
      <c r="G493">
        <v>0</v>
      </c>
    </row>
    <row r="494" spans="1:10" ht="13.95" customHeight="1">
      <c r="A494" t="s">
        <v>6528</v>
      </c>
      <c r="B494">
        <v>6</v>
      </c>
      <c r="D494">
        <v>1.97</v>
      </c>
      <c r="G494">
        <v>2.0099999999999998</v>
      </c>
      <c r="J494">
        <v>1.990112214214371</v>
      </c>
    </row>
    <row r="495" spans="1:10" ht="13.95" customHeight="1">
      <c r="A495" t="s">
        <v>6528</v>
      </c>
      <c r="B495">
        <v>7</v>
      </c>
      <c r="E495">
        <v>0</v>
      </c>
      <c r="H495">
        <v>0</v>
      </c>
    </row>
    <row r="496" spans="1:10" ht="13.95" customHeight="1">
      <c r="A496" t="s">
        <v>6528</v>
      </c>
      <c r="B496">
        <v>8</v>
      </c>
      <c r="E496">
        <v>0</v>
      </c>
      <c r="H496">
        <v>0</v>
      </c>
    </row>
    <row r="497" spans="1:11" ht="13.95" customHeight="1">
      <c r="A497" t="s">
        <v>6528</v>
      </c>
      <c r="B497">
        <v>9</v>
      </c>
      <c r="C497">
        <v>5.18</v>
      </c>
      <c r="F497">
        <v>5.3</v>
      </c>
      <c r="I497">
        <v>5.2356864871800779</v>
      </c>
    </row>
    <row r="498" spans="1:11" ht="13.95" customHeight="1">
      <c r="A498" t="s">
        <v>6528</v>
      </c>
      <c r="B498">
        <v>10</v>
      </c>
      <c r="C498">
        <v>0</v>
      </c>
      <c r="F498">
        <v>0</v>
      </c>
    </row>
    <row r="499" spans="1:11" ht="13.95" customHeight="1">
      <c r="A499" t="s">
        <v>6528</v>
      </c>
      <c r="B499">
        <v>11</v>
      </c>
      <c r="D499">
        <v>0</v>
      </c>
      <c r="G499">
        <v>0</v>
      </c>
    </row>
    <row r="500" spans="1:11" ht="13.95" customHeight="1">
      <c r="A500" t="s">
        <v>6528</v>
      </c>
      <c r="B500">
        <v>12</v>
      </c>
      <c r="D500">
        <v>0</v>
      </c>
      <c r="G500">
        <v>0</v>
      </c>
    </row>
    <row r="501" spans="1:11" ht="13.95" customHeight="1">
      <c r="A501" t="s">
        <v>6528</v>
      </c>
      <c r="B501">
        <v>13</v>
      </c>
      <c r="E501">
        <v>1.94</v>
      </c>
      <c r="H501">
        <v>2</v>
      </c>
      <c r="K501">
        <v>1.9533250909288089</v>
      </c>
    </row>
    <row r="502" spans="1:11" ht="13.95" customHeight="1">
      <c r="A502" t="s">
        <v>6528</v>
      </c>
      <c r="B502">
        <v>14</v>
      </c>
      <c r="E502">
        <v>0</v>
      </c>
      <c r="H502">
        <v>0</v>
      </c>
    </row>
    <row r="503" spans="1:11" ht="13.95" customHeight="1">
      <c r="A503" t="s">
        <v>6528</v>
      </c>
      <c r="B503">
        <v>15</v>
      </c>
      <c r="C503">
        <v>0</v>
      </c>
      <c r="F503">
        <v>0</v>
      </c>
    </row>
    <row r="504" spans="1:11" ht="13.95" customHeight="1">
      <c r="A504" t="s">
        <v>6528</v>
      </c>
      <c r="B504">
        <v>16</v>
      </c>
      <c r="C504">
        <v>0</v>
      </c>
      <c r="F504">
        <v>0</v>
      </c>
    </row>
    <row r="505" spans="1:11" ht="13.95" customHeight="1">
      <c r="A505" t="s">
        <v>6528</v>
      </c>
      <c r="B505">
        <v>17</v>
      </c>
      <c r="D505">
        <v>0</v>
      </c>
      <c r="G505">
        <v>0</v>
      </c>
    </row>
    <row r="506" spans="1:11" ht="13.95" customHeight="1">
      <c r="A506" t="s">
        <v>6528</v>
      </c>
      <c r="B506">
        <v>18</v>
      </c>
      <c r="D506">
        <v>2.2800000000000002</v>
      </c>
      <c r="G506">
        <v>3.59</v>
      </c>
      <c r="J506">
        <v>3.0662864438421007</v>
      </c>
    </row>
    <row r="507" spans="1:11" ht="13.95" customHeight="1">
      <c r="A507" t="s">
        <v>6528</v>
      </c>
      <c r="B507">
        <v>19</v>
      </c>
      <c r="E507">
        <v>0</v>
      </c>
      <c r="H507">
        <v>0</v>
      </c>
    </row>
    <row r="508" spans="1:11" ht="13.95" customHeight="1">
      <c r="A508" t="s">
        <v>6528</v>
      </c>
      <c r="B508">
        <v>20</v>
      </c>
      <c r="E508">
        <v>2.88</v>
      </c>
      <c r="H508">
        <v>3.18</v>
      </c>
      <c r="K508">
        <v>2.9616203372107344</v>
      </c>
    </row>
    <row r="509" spans="1:11" ht="13.95" customHeight="1">
      <c r="A509" t="s">
        <v>6528</v>
      </c>
      <c r="B509">
        <v>21</v>
      </c>
      <c r="C509">
        <v>2.4900000000000002</v>
      </c>
      <c r="F509">
        <v>2.69</v>
      </c>
      <c r="I509">
        <v>2.5448782152450251</v>
      </c>
    </row>
    <row r="510" spans="1:11" ht="13.95" customHeight="1">
      <c r="A510" t="s">
        <v>6528</v>
      </c>
      <c r="B510">
        <v>22</v>
      </c>
      <c r="C510">
        <v>0</v>
      </c>
      <c r="F510">
        <v>0</v>
      </c>
    </row>
    <row r="511" spans="1:11" ht="13.95" customHeight="1">
      <c r="A511" t="s">
        <v>6528</v>
      </c>
      <c r="B511">
        <v>23</v>
      </c>
      <c r="D511">
        <v>4.8100000000000005</v>
      </c>
      <c r="G511">
        <v>5.58</v>
      </c>
      <c r="J511">
        <v>4.912290579446446</v>
      </c>
    </row>
    <row r="512" spans="1:11" ht="13.95" customHeight="1">
      <c r="A512" t="s">
        <v>6528</v>
      </c>
      <c r="B512">
        <v>24</v>
      </c>
      <c r="D512">
        <v>0</v>
      </c>
      <c r="G512">
        <v>0</v>
      </c>
    </row>
    <row r="513" spans="1:11" ht="13.95" customHeight="1">
      <c r="A513" t="s">
        <v>6528</v>
      </c>
      <c r="B513">
        <v>25</v>
      </c>
      <c r="E513">
        <v>0</v>
      </c>
      <c r="H513">
        <v>0</v>
      </c>
    </row>
    <row r="514" spans="1:11" ht="13.95" customHeight="1">
      <c r="A514" t="s">
        <v>6528</v>
      </c>
      <c r="B514">
        <v>26</v>
      </c>
      <c r="E514">
        <v>5.41</v>
      </c>
      <c r="H514">
        <v>5.54</v>
      </c>
      <c r="K514">
        <v>5.4626835762464498</v>
      </c>
    </row>
    <row r="515" spans="1:11" ht="13.95" customHeight="1">
      <c r="A515" t="s">
        <v>6528</v>
      </c>
      <c r="B515">
        <v>27</v>
      </c>
      <c r="C515">
        <v>2.17</v>
      </c>
      <c r="F515">
        <v>2.88</v>
      </c>
      <c r="I515">
        <v>2.5469849970843388</v>
      </c>
    </row>
    <row r="516" spans="1:11" ht="13.95" customHeight="1">
      <c r="A516" t="s">
        <v>6528</v>
      </c>
      <c r="B516">
        <v>28</v>
      </c>
      <c r="C516">
        <v>5.26</v>
      </c>
      <c r="F516">
        <v>5.62</v>
      </c>
      <c r="I516">
        <v>5.4233258895056773</v>
      </c>
    </row>
    <row r="517" spans="1:11" ht="13.95" customHeight="1">
      <c r="A517" t="s">
        <v>6528</v>
      </c>
      <c r="B517">
        <v>29</v>
      </c>
      <c r="D517">
        <v>0</v>
      </c>
      <c r="G517">
        <v>0</v>
      </c>
    </row>
    <row r="518" spans="1:11" ht="13.95" customHeight="1">
      <c r="A518" t="s">
        <v>6528</v>
      </c>
      <c r="B518">
        <v>30</v>
      </c>
      <c r="D518">
        <v>0</v>
      </c>
      <c r="G518">
        <v>0</v>
      </c>
    </row>
    <row r="519" spans="1:11" ht="13.95" customHeight="1">
      <c r="A519" t="s">
        <v>6528</v>
      </c>
      <c r="B519">
        <v>31</v>
      </c>
      <c r="E519">
        <v>0</v>
      </c>
      <c r="H519">
        <v>0</v>
      </c>
    </row>
    <row r="520" spans="1:11" ht="13.95" customHeight="1">
      <c r="A520" t="s">
        <v>6528</v>
      </c>
      <c r="B520">
        <v>32</v>
      </c>
      <c r="E520">
        <v>0</v>
      </c>
      <c r="H520">
        <v>0</v>
      </c>
    </row>
    <row r="521" spans="1:11" ht="13.95" customHeight="1">
      <c r="A521" t="s">
        <v>6529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95" customHeight="1">
      <c r="A522" t="s">
        <v>6529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95" customHeight="1">
      <c r="A523" t="s">
        <v>6529</v>
      </c>
      <c r="B523">
        <v>3</v>
      </c>
      <c r="C523">
        <v>5.2</v>
      </c>
      <c r="F523">
        <v>6.64</v>
      </c>
      <c r="I523">
        <v>5.6432243870195604</v>
      </c>
    </row>
    <row r="524" spans="1:11" ht="13.95" customHeight="1">
      <c r="A524" t="s">
        <v>6529</v>
      </c>
      <c r="B524">
        <v>4</v>
      </c>
      <c r="C524">
        <v>0</v>
      </c>
      <c r="F524">
        <v>0</v>
      </c>
    </row>
    <row r="525" spans="1:11" ht="13.95" customHeight="1">
      <c r="A525" t="s">
        <v>6529</v>
      </c>
      <c r="B525">
        <v>5</v>
      </c>
      <c r="D525">
        <v>1.47</v>
      </c>
      <c r="G525">
        <v>3.99</v>
      </c>
      <c r="J525">
        <v>3.9345256075344621</v>
      </c>
    </row>
    <row r="526" spans="1:11" ht="13.95" customHeight="1">
      <c r="A526" t="s">
        <v>6529</v>
      </c>
      <c r="B526">
        <v>6</v>
      </c>
      <c r="D526">
        <v>5.8</v>
      </c>
      <c r="G526">
        <v>6.32</v>
      </c>
      <c r="J526">
        <v>5.8668613069485218</v>
      </c>
    </row>
    <row r="527" spans="1:11" ht="13.95" customHeight="1">
      <c r="A527" t="s">
        <v>6529</v>
      </c>
      <c r="B527">
        <v>7</v>
      </c>
      <c r="E527">
        <v>0</v>
      </c>
      <c r="H527">
        <v>0</v>
      </c>
    </row>
    <row r="528" spans="1:11" ht="13.95" customHeight="1">
      <c r="A528" t="s">
        <v>6529</v>
      </c>
      <c r="B528">
        <v>8</v>
      </c>
      <c r="E528">
        <v>4.03</v>
      </c>
      <c r="H528">
        <v>4.54</v>
      </c>
      <c r="K528">
        <v>4.2208964225579795</v>
      </c>
    </row>
    <row r="529" spans="1:11" ht="13.95" customHeight="1">
      <c r="A529" t="s">
        <v>6529</v>
      </c>
      <c r="B529">
        <v>9</v>
      </c>
      <c r="C529">
        <v>0</v>
      </c>
      <c r="F529">
        <v>0</v>
      </c>
    </row>
    <row r="530" spans="1:11" ht="13.95" customHeight="1">
      <c r="A530" t="s">
        <v>6529</v>
      </c>
      <c r="B530">
        <v>10</v>
      </c>
      <c r="C530">
        <v>0</v>
      </c>
      <c r="F530">
        <v>0</v>
      </c>
    </row>
    <row r="531" spans="1:11" ht="13.95" customHeight="1">
      <c r="A531" t="s">
        <v>6529</v>
      </c>
      <c r="B531">
        <v>11</v>
      </c>
      <c r="D531">
        <v>0</v>
      </c>
      <c r="G531">
        <v>0</v>
      </c>
    </row>
    <row r="532" spans="1:11" ht="13.95" customHeight="1">
      <c r="A532" t="s">
        <v>6529</v>
      </c>
      <c r="B532">
        <v>12</v>
      </c>
      <c r="D532">
        <v>0</v>
      </c>
      <c r="G532">
        <v>0</v>
      </c>
    </row>
    <row r="533" spans="1:11" ht="13.95" customHeight="1">
      <c r="A533" t="s">
        <v>6529</v>
      </c>
      <c r="B533">
        <v>13</v>
      </c>
      <c r="E533">
        <v>0.7</v>
      </c>
      <c r="H533">
        <v>0.74</v>
      </c>
      <c r="K533">
        <v>0.70994235981902021</v>
      </c>
    </row>
    <row r="534" spans="1:11" ht="13.95" customHeight="1">
      <c r="A534" t="s">
        <v>6529</v>
      </c>
      <c r="B534">
        <v>14</v>
      </c>
      <c r="E534">
        <v>0</v>
      </c>
      <c r="H534">
        <v>0</v>
      </c>
    </row>
    <row r="535" spans="1:11" ht="13.95" customHeight="1">
      <c r="A535" t="s">
        <v>6529</v>
      </c>
      <c r="B535">
        <v>15</v>
      </c>
      <c r="C535">
        <v>0</v>
      </c>
      <c r="F535">
        <v>0</v>
      </c>
    </row>
    <row r="536" spans="1:11" ht="13.95" customHeight="1">
      <c r="A536" t="s">
        <v>6529</v>
      </c>
      <c r="B536">
        <v>16</v>
      </c>
      <c r="C536">
        <v>3.82</v>
      </c>
      <c r="F536">
        <v>3.95</v>
      </c>
      <c r="I536">
        <v>3.8733638276157527</v>
      </c>
    </row>
    <row r="537" spans="1:11" ht="13.95" customHeight="1">
      <c r="A537" t="s">
        <v>6529</v>
      </c>
      <c r="B537">
        <v>17</v>
      </c>
      <c r="D537">
        <v>0</v>
      </c>
      <c r="G537">
        <v>0</v>
      </c>
    </row>
    <row r="538" spans="1:11" ht="13.95" customHeight="1">
      <c r="A538" t="s">
        <v>6529</v>
      </c>
      <c r="B538">
        <v>18</v>
      </c>
      <c r="D538">
        <v>0</v>
      </c>
      <c r="G538">
        <v>0</v>
      </c>
    </row>
    <row r="539" spans="1:11" ht="13.95" customHeight="1">
      <c r="A539" t="s">
        <v>6529</v>
      </c>
      <c r="B539">
        <v>19</v>
      </c>
      <c r="E539">
        <v>5.13</v>
      </c>
      <c r="H539">
        <v>5.5</v>
      </c>
      <c r="K539">
        <v>5.2356076642778699</v>
      </c>
    </row>
    <row r="540" spans="1:11" ht="13.95" customHeight="1">
      <c r="A540" t="s">
        <v>6529</v>
      </c>
      <c r="B540">
        <v>20</v>
      </c>
      <c r="E540">
        <v>0</v>
      </c>
      <c r="H540">
        <v>0</v>
      </c>
    </row>
    <row r="541" spans="1:11" ht="13.95" customHeight="1">
      <c r="A541" t="s">
        <v>6529</v>
      </c>
      <c r="B541">
        <v>21</v>
      </c>
      <c r="C541">
        <v>3.15</v>
      </c>
      <c r="F541">
        <v>3.2800000000000002</v>
      </c>
      <c r="I541">
        <v>3.1819935809540172</v>
      </c>
    </row>
    <row r="542" spans="1:11" ht="13.95" customHeight="1">
      <c r="A542" t="s">
        <v>6529</v>
      </c>
      <c r="B542">
        <v>22</v>
      </c>
      <c r="C542">
        <v>0</v>
      </c>
      <c r="F542">
        <v>0</v>
      </c>
    </row>
    <row r="543" spans="1:11" ht="13.95" customHeight="1">
      <c r="A543" t="s">
        <v>6529</v>
      </c>
      <c r="B543">
        <v>23</v>
      </c>
      <c r="D543">
        <v>8.64</v>
      </c>
      <c r="G543">
        <v>9.7100000000000009</v>
      </c>
      <c r="J543">
        <v>8.949069746208119</v>
      </c>
    </row>
    <row r="544" spans="1:11" ht="13.95" customHeight="1">
      <c r="A544" t="s">
        <v>6529</v>
      </c>
      <c r="B544">
        <v>24</v>
      </c>
      <c r="D544">
        <v>0</v>
      </c>
      <c r="G544">
        <v>0</v>
      </c>
    </row>
    <row r="545" spans="1:11" ht="13.95" customHeight="1">
      <c r="A545" t="s">
        <v>6529</v>
      </c>
      <c r="B545">
        <v>25</v>
      </c>
      <c r="E545">
        <v>2.4500000000000002</v>
      </c>
      <c r="H545">
        <v>2.57</v>
      </c>
      <c r="K545">
        <v>2.5000703654095719</v>
      </c>
    </row>
    <row r="546" spans="1:11" ht="13.95" customHeight="1">
      <c r="A546" t="s">
        <v>6529</v>
      </c>
      <c r="B546">
        <v>26</v>
      </c>
      <c r="E546">
        <v>1.79</v>
      </c>
      <c r="H546">
        <v>2.0299999999999998</v>
      </c>
      <c r="K546">
        <v>1.8849469581063609</v>
      </c>
    </row>
    <row r="547" spans="1:11" ht="13.95" customHeight="1">
      <c r="A547" t="s">
        <v>6529</v>
      </c>
      <c r="B547">
        <v>27</v>
      </c>
      <c r="C547">
        <v>0</v>
      </c>
      <c r="F547">
        <v>0</v>
      </c>
    </row>
    <row r="548" spans="1:11" ht="13.95" customHeight="1">
      <c r="A548" t="s">
        <v>6529</v>
      </c>
      <c r="B548">
        <v>28</v>
      </c>
      <c r="C548">
        <v>0</v>
      </c>
      <c r="F548">
        <v>0</v>
      </c>
    </row>
    <row r="549" spans="1:11" ht="13.95" customHeight="1">
      <c r="A549" t="s">
        <v>6529</v>
      </c>
      <c r="B549">
        <v>29</v>
      </c>
      <c r="D549">
        <v>0</v>
      </c>
      <c r="G549">
        <v>0</v>
      </c>
    </row>
    <row r="550" spans="1:11" ht="13.95" customHeight="1">
      <c r="A550" t="s">
        <v>6529</v>
      </c>
      <c r="B550">
        <v>30</v>
      </c>
      <c r="D550">
        <v>0</v>
      </c>
      <c r="G550">
        <v>0</v>
      </c>
    </row>
    <row r="551" spans="1:11" ht="13.95" customHeight="1">
      <c r="A551" t="s">
        <v>6529</v>
      </c>
      <c r="B551">
        <v>31</v>
      </c>
      <c r="E551">
        <v>0</v>
      </c>
      <c r="H551">
        <v>0</v>
      </c>
    </row>
    <row r="552" spans="1:11" ht="13.95" customHeight="1">
      <c r="A552" t="s">
        <v>6529</v>
      </c>
      <c r="B552">
        <v>32</v>
      </c>
      <c r="E552">
        <v>0</v>
      </c>
      <c r="H552">
        <v>0</v>
      </c>
    </row>
    <row r="553" spans="1:11" ht="13.95" customHeight="1">
      <c r="A553" t="s">
        <v>6530</v>
      </c>
      <c r="B553">
        <v>1</v>
      </c>
      <c r="C553">
        <v>5.98</v>
      </c>
      <c r="D553">
        <v>1.24</v>
      </c>
      <c r="E553">
        <v>7.84</v>
      </c>
      <c r="F553">
        <v>6.08</v>
      </c>
      <c r="G553">
        <v>1.28</v>
      </c>
      <c r="H553">
        <v>8.2100000000000009</v>
      </c>
      <c r="I553">
        <v>6.024862423439715</v>
      </c>
      <c r="J553">
        <v>1.2501684625175289</v>
      </c>
      <c r="K553">
        <v>7.947280722655619</v>
      </c>
    </row>
    <row r="554" spans="1:11" ht="13.95" customHeight="1">
      <c r="A554" t="s">
        <v>6530</v>
      </c>
      <c r="B554">
        <v>2</v>
      </c>
      <c r="C554">
        <v>3.36</v>
      </c>
      <c r="D554">
        <v>2.76</v>
      </c>
      <c r="E554">
        <v>1.94</v>
      </c>
      <c r="F554">
        <v>3.43</v>
      </c>
      <c r="G554">
        <v>2.84</v>
      </c>
      <c r="H554">
        <v>2.13</v>
      </c>
      <c r="I554">
        <v>3.3901653571401877</v>
      </c>
      <c r="J554">
        <v>2.7925844983946941</v>
      </c>
      <c r="K554">
        <v>1.9724686166655465</v>
      </c>
    </row>
    <row r="555" spans="1:11" ht="13.95" customHeight="1">
      <c r="A555" t="s">
        <v>6530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95" customHeight="1">
      <c r="A556" t="s">
        <v>6530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95" customHeight="1">
      <c r="A557" t="s">
        <v>6530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95" customHeight="1">
      <c r="A558" t="s">
        <v>6530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95" customHeight="1">
      <c r="A559" t="s">
        <v>6530</v>
      </c>
      <c r="B559">
        <v>7</v>
      </c>
      <c r="C559">
        <v>3.76</v>
      </c>
      <c r="F559">
        <v>3.9</v>
      </c>
      <c r="I559">
        <v>3.799750187056683</v>
      </c>
    </row>
    <row r="560" spans="1:11" ht="13.95" customHeight="1">
      <c r="A560" t="s">
        <v>6530</v>
      </c>
      <c r="B560">
        <v>8</v>
      </c>
      <c r="C560">
        <v>4.29</v>
      </c>
      <c r="F560">
        <v>4.3600000000000003</v>
      </c>
      <c r="I560">
        <v>4.3129488974883001</v>
      </c>
    </row>
    <row r="561" spans="1:11" ht="13.95" customHeight="1">
      <c r="A561" t="s">
        <v>6530</v>
      </c>
      <c r="B561">
        <v>9</v>
      </c>
      <c r="D561">
        <v>1.74</v>
      </c>
      <c r="G561">
        <v>1.77</v>
      </c>
      <c r="J561">
        <v>1.7570580368373598</v>
      </c>
    </row>
    <row r="562" spans="1:11" ht="13.95" customHeight="1">
      <c r="A562" t="s">
        <v>6530</v>
      </c>
      <c r="B562">
        <v>10</v>
      </c>
      <c r="D562">
        <v>6.6899999999999995</v>
      </c>
      <c r="G562">
        <v>7.02</v>
      </c>
      <c r="J562">
        <v>6.7613670116082689</v>
      </c>
    </row>
    <row r="563" spans="1:11" ht="13.95" customHeight="1">
      <c r="A563" t="s">
        <v>6530</v>
      </c>
      <c r="B563">
        <v>11</v>
      </c>
      <c r="E563">
        <v>0</v>
      </c>
      <c r="H563">
        <v>0</v>
      </c>
    </row>
    <row r="564" spans="1:11" ht="13.95" customHeight="1">
      <c r="A564" t="s">
        <v>6530</v>
      </c>
      <c r="B564">
        <v>12</v>
      </c>
      <c r="E564">
        <v>2.2999999999999998</v>
      </c>
      <c r="H564">
        <v>2.33</v>
      </c>
      <c r="K564">
        <v>2.3123452621902545</v>
      </c>
    </row>
    <row r="565" spans="1:11" ht="13.95" customHeight="1">
      <c r="A565" t="s">
        <v>6530</v>
      </c>
      <c r="B565">
        <v>13</v>
      </c>
      <c r="C565">
        <v>0.62</v>
      </c>
      <c r="F565">
        <v>0.72</v>
      </c>
      <c r="I565">
        <v>0.65346146333438637</v>
      </c>
    </row>
    <row r="566" spans="1:11" ht="13.95" customHeight="1">
      <c r="A566" t="s">
        <v>6530</v>
      </c>
      <c r="B566">
        <v>14</v>
      </c>
      <c r="C566">
        <v>1.56</v>
      </c>
      <c r="F566">
        <v>1.6099999999999999</v>
      </c>
      <c r="I566">
        <v>1.5828345674932118</v>
      </c>
    </row>
    <row r="567" spans="1:11" ht="13.95" customHeight="1">
      <c r="A567" t="s">
        <v>6530</v>
      </c>
      <c r="B567">
        <v>15</v>
      </c>
      <c r="D567">
        <v>0</v>
      </c>
      <c r="G567">
        <v>0</v>
      </c>
    </row>
    <row r="568" spans="1:11" ht="13.95" customHeight="1">
      <c r="A568" t="s">
        <v>6530</v>
      </c>
      <c r="B568">
        <v>16</v>
      </c>
      <c r="D568">
        <v>0</v>
      </c>
      <c r="G568">
        <v>0</v>
      </c>
    </row>
    <row r="569" spans="1:11" ht="13.95" customHeight="1">
      <c r="A569" t="s">
        <v>6530</v>
      </c>
      <c r="B569">
        <v>17</v>
      </c>
      <c r="E569">
        <v>0</v>
      </c>
      <c r="H569">
        <v>0</v>
      </c>
    </row>
    <row r="570" spans="1:11" ht="13.95" customHeight="1">
      <c r="A570" t="s">
        <v>6530</v>
      </c>
      <c r="B570">
        <v>18</v>
      </c>
      <c r="E570">
        <v>0</v>
      </c>
      <c r="H570">
        <v>0</v>
      </c>
    </row>
    <row r="571" spans="1:11" ht="13.95" customHeight="1">
      <c r="A571" t="s">
        <v>6530</v>
      </c>
      <c r="B571">
        <v>19</v>
      </c>
      <c r="C571">
        <v>0</v>
      </c>
      <c r="F571">
        <v>0</v>
      </c>
    </row>
    <row r="572" spans="1:11" ht="13.95" customHeight="1">
      <c r="A572" t="s">
        <v>6530</v>
      </c>
      <c r="B572">
        <v>20</v>
      </c>
      <c r="C572">
        <v>0</v>
      </c>
      <c r="F572">
        <v>0</v>
      </c>
    </row>
    <row r="573" spans="1:11" ht="13.95" customHeight="1">
      <c r="A573" t="s">
        <v>6530</v>
      </c>
      <c r="B573">
        <v>21</v>
      </c>
      <c r="D573">
        <v>0</v>
      </c>
      <c r="G573">
        <v>0</v>
      </c>
    </row>
    <row r="574" spans="1:11" ht="13.95" customHeight="1">
      <c r="A574" t="s">
        <v>6530</v>
      </c>
      <c r="B574">
        <v>22</v>
      </c>
      <c r="D574">
        <v>0</v>
      </c>
      <c r="G574">
        <v>0</v>
      </c>
    </row>
    <row r="575" spans="1:11" ht="13.95" customHeight="1">
      <c r="A575" t="s">
        <v>6530</v>
      </c>
      <c r="B575">
        <v>23</v>
      </c>
      <c r="E575">
        <v>2.2999999999999998</v>
      </c>
      <c r="H575">
        <v>2.34</v>
      </c>
      <c r="K575">
        <v>2.3093530273432008</v>
      </c>
    </row>
    <row r="576" spans="1:11" ht="13.95" customHeight="1">
      <c r="A576" t="s">
        <v>6530</v>
      </c>
      <c r="B576">
        <v>24</v>
      </c>
      <c r="E576">
        <v>0</v>
      </c>
      <c r="H576">
        <v>0</v>
      </c>
    </row>
    <row r="577" spans="1:11" ht="13.95" customHeight="1">
      <c r="A577" t="s">
        <v>6530</v>
      </c>
      <c r="B577">
        <v>25</v>
      </c>
      <c r="C577">
        <v>0</v>
      </c>
      <c r="F577">
        <v>0</v>
      </c>
    </row>
    <row r="578" spans="1:11" ht="13.95" customHeight="1">
      <c r="A578" t="s">
        <v>6530</v>
      </c>
      <c r="B578">
        <v>26</v>
      </c>
      <c r="C578">
        <v>0</v>
      </c>
      <c r="F578">
        <v>0</v>
      </c>
    </row>
    <row r="579" spans="1:11" ht="13.95" customHeight="1">
      <c r="A579" t="s">
        <v>6530</v>
      </c>
      <c r="B579">
        <v>27</v>
      </c>
      <c r="D579">
        <v>0</v>
      </c>
      <c r="G579">
        <v>0</v>
      </c>
    </row>
    <row r="580" spans="1:11" ht="13.95" customHeight="1">
      <c r="A580" t="s">
        <v>6530</v>
      </c>
      <c r="B580">
        <v>28</v>
      </c>
      <c r="D580">
        <v>0.71</v>
      </c>
      <c r="G580">
        <v>0.72</v>
      </c>
      <c r="J580">
        <v>0.71008850481115438</v>
      </c>
    </row>
    <row r="581" spans="1:11" ht="13.95" customHeight="1">
      <c r="A581" t="s">
        <v>6530</v>
      </c>
      <c r="B581">
        <v>29</v>
      </c>
      <c r="E581">
        <v>0.36</v>
      </c>
      <c r="H581">
        <v>0.37</v>
      </c>
      <c r="K581">
        <v>0.36553274157659882</v>
      </c>
    </row>
    <row r="582" spans="1:11" ht="13.95" customHeight="1">
      <c r="A582" t="s">
        <v>6530</v>
      </c>
      <c r="B582">
        <v>30</v>
      </c>
      <c r="E582">
        <v>0</v>
      </c>
      <c r="H582">
        <v>0</v>
      </c>
    </row>
    <row r="583" spans="1:11" ht="13.95" customHeight="1">
      <c r="A583" t="s">
        <v>6531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95" customHeight="1">
      <c r="A584" t="s">
        <v>6531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95" customHeight="1">
      <c r="A585" t="s">
        <v>6531</v>
      </c>
      <c r="B585">
        <v>3</v>
      </c>
      <c r="C585">
        <v>0</v>
      </c>
      <c r="F585">
        <v>0</v>
      </c>
    </row>
    <row r="586" spans="1:11" ht="13.95" customHeight="1">
      <c r="A586" t="s">
        <v>6531</v>
      </c>
      <c r="B586">
        <v>4</v>
      </c>
      <c r="C586">
        <v>1.88</v>
      </c>
      <c r="F586">
        <v>1.92</v>
      </c>
      <c r="I586">
        <v>1.9052151930913293</v>
      </c>
    </row>
    <row r="587" spans="1:11" ht="13.95" customHeight="1">
      <c r="A587" t="s">
        <v>6531</v>
      </c>
      <c r="B587">
        <v>5</v>
      </c>
      <c r="D587">
        <v>0</v>
      </c>
      <c r="G587">
        <v>0</v>
      </c>
    </row>
    <row r="588" spans="1:11" ht="13.95" customHeight="1">
      <c r="A588" t="s">
        <v>6531</v>
      </c>
      <c r="B588">
        <v>6</v>
      </c>
      <c r="D588">
        <v>0</v>
      </c>
      <c r="G588">
        <v>0</v>
      </c>
    </row>
    <row r="589" spans="1:11" ht="13.95" customHeight="1">
      <c r="A589" t="s">
        <v>6531</v>
      </c>
      <c r="B589">
        <v>7</v>
      </c>
      <c r="E589">
        <v>0</v>
      </c>
      <c r="H589">
        <v>0</v>
      </c>
    </row>
    <row r="590" spans="1:11" ht="13.95" customHeight="1">
      <c r="A590" t="s">
        <v>6531</v>
      </c>
      <c r="B590">
        <v>8</v>
      </c>
      <c r="E590">
        <v>0</v>
      </c>
      <c r="H590">
        <v>0</v>
      </c>
    </row>
    <row r="591" spans="1:11" ht="13.95" customHeight="1">
      <c r="A591" t="s">
        <v>6531</v>
      </c>
      <c r="B591">
        <v>9</v>
      </c>
      <c r="C591">
        <v>2.91</v>
      </c>
      <c r="F591">
        <v>2.98</v>
      </c>
      <c r="I591">
        <v>2.931692392125302</v>
      </c>
    </row>
    <row r="592" spans="1:11" ht="13.95" customHeight="1">
      <c r="A592" t="s">
        <v>6531</v>
      </c>
      <c r="B592">
        <v>10</v>
      </c>
      <c r="C592">
        <v>0</v>
      </c>
      <c r="F592">
        <v>0</v>
      </c>
    </row>
    <row r="593" spans="1:11" ht="13.95" customHeight="1">
      <c r="A593" t="s">
        <v>6531</v>
      </c>
      <c r="B593">
        <v>11</v>
      </c>
      <c r="D593">
        <v>0</v>
      </c>
      <c r="G593">
        <v>0</v>
      </c>
    </row>
    <row r="594" spans="1:11" ht="13.95" customHeight="1">
      <c r="A594" t="s">
        <v>6531</v>
      </c>
      <c r="B594">
        <v>12</v>
      </c>
      <c r="D594">
        <v>0</v>
      </c>
      <c r="G594">
        <v>0</v>
      </c>
    </row>
    <row r="595" spans="1:11" ht="13.95" customHeight="1">
      <c r="A595" t="s">
        <v>6531</v>
      </c>
      <c r="B595">
        <v>13</v>
      </c>
      <c r="E595">
        <v>0</v>
      </c>
      <c r="H595">
        <v>0</v>
      </c>
    </row>
    <row r="596" spans="1:11" ht="13.95" customHeight="1">
      <c r="A596" t="s">
        <v>6531</v>
      </c>
      <c r="B596">
        <v>14</v>
      </c>
      <c r="E596">
        <v>0</v>
      </c>
      <c r="H596">
        <v>0</v>
      </c>
    </row>
    <row r="597" spans="1:11" ht="13.95" customHeight="1">
      <c r="A597" t="s">
        <v>6531</v>
      </c>
      <c r="B597">
        <v>15</v>
      </c>
      <c r="C597">
        <v>0</v>
      </c>
      <c r="F597">
        <v>0</v>
      </c>
    </row>
    <row r="598" spans="1:11" ht="13.95" customHeight="1">
      <c r="A598" t="s">
        <v>6531</v>
      </c>
      <c r="B598">
        <v>16</v>
      </c>
      <c r="C598">
        <v>5.41</v>
      </c>
      <c r="F598">
        <v>6.6899999999999995</v>
      </c>
      <c r="I598">
        <v>6.140791765519416</v>
      </c>
    </row>
    <row r="599" spans="1:11" ht="13.95" customHeight="1">
      <c r="A599" t="s">
        <v>6531</v>
      </c>
      <c r="B599">
        <v>17</v>
      </c>
      <c r="D599">
        <v>0</v>
      </c>
      <c r="G599">
        <v>0</v>
      </c>
    </row>
    <row r="600" spans="1:11" ht="13.95" customHeight="1">
      <c r="A600" t="s">
        <v>6531</v>
      </c>
      <c r="B600">
        <v>18</v>
      </c>
      <c r="D600">
        <v>3.45</v>
      </c>
      <c r="G600">
        <v>3.68</v>
      </c>
      <c r="J600">
        <v>3.5649999116228526</v>
      </c>
    </row>
    <row r="601" spans="1:11" ht="13.95" customHeight="1">
      <c r="A601" t="s">
        <v>6531</v>
      </c>
      <c r="B601">
        <v>19</v>
      </c>
      <c r="E601">
        <v>2.92</v>
      </c>
      <c r="H601">
        <v>3.1</v>
      </c>
      <c r="K601">
        <v>2.9542053429985802</v>
      </c>
    </row>
    <row r="602" spans="1:11" ht="13.95" customHeight="1">
      <c r="A602" t="s">
        <v>6531</v>
      </c>
      <c r="B602">
        <v>20</v>
      </c>
      <c r="E602">
        <v>0</v>
      </c>
      <c r="H602">
        <v>0</v>
      </c>
    </row>
    <row r="603" spans="1:11" ht="13.95" customHeight="1">
      <c r="A603" t="s">
        <v>6531</v>
      </c>
      <c r="B603">
        <v>21</v>
      </c>
      <c r="C603">
        <v>4.4400000000000004</v>
      </c>
      <c r="F603">
        <v>5.4</v>
      </c>
      <c r="I603">
        <v>4.5585017443228937</v>
      </c>
    </row>
    <row r="604" spans="1:11" ht="13.95" customHeight="1">
      <c r="A604" t="s">
        <v>6531</v>
      </c>
      <c r="B604">
        <v>22</v>
      </c>
      <c r="C604">
        <v>0</v>
      </c>
      <c r="F604">
        <v>0</v>
      </c>
    </row>
    <row r="605" spans="1:11" ht="13.95" customHeight="1">
      <c r="A605" t="s">
        <v>6531</v>
      </c>
      <c r="B605">
        <v>23</v>
      </c>
      <c r="D605">
        <v>0</v>
      </c>
      <c r="G605">
        <v>0</v>
      </c>
    </row>
    <row r="606" spans="1:11" ht="13.95" customHeight="1">
      <c r="A606" t="s">
        <v>6531</v>
      </c>
      <c r="B606">
        <v>24</v>
      </c>
      <c r="D606">
        <v>3.4699999999999998</v>
      </c>
      <c r="G606">
        <v>3.54</v>
      </c>
      <c r="J606">
        <v>3.4995544124441751</v>
      </c>
    </row>
    <row r="607" spans="1:11" ht="13.95" customHeight="1">
      <c r="A607" t="s">
        <v>6531</v>
      </c>
      <c r="B607">
        <v>25</v>
      </c>
      <c r="E607">
        <v>2.93</v>
      </c>
      <c r="H607">
        <v>3.75</v>
      </c>
      <c r="K607">
        <v>3.2912850978626631</v>
      </c>
    </row>
    <row r="608" spans="1:11" ht="13.95" customHeight="1">
      <c r="A608" t="s">
        <v>6531</v>
      </c>
      <c r="B608">
        <v>26</v>
      </c>
      <c r="E608">
        <v>4.9399999999999995</v>
      </c>
      <c r="H608">
        <v>5.0599999999999996</v>
      </c>
      <c r="K608">
        <v>4.9997072965470322</v>
      </c>
    </row>
    <row r="609" spans="1:11" ht="13.95" customHeight="1">
      <c r="A609" t="s">
        <v>6531</v>
      </c>
      <c r="B609">
        <v>27</v>
      </c>
      <c r="C609">
        <v>0</v>
      </c>
      <c r="F609">
        <v>0</v>
      </c>
    </row>
    <row r="610" spans="1:11" ht="13.95" customHeight="1">
      <c r="A610" t="s">
        <v>6531</v>
      </c>
      <c r="B610">
        <v>28</v>
      </c>
      <c r="C610">
        <v>5.61</v>
      </c>
      <c r="F610">
        <v>6.01</v>
      </c>
      <c r="I610">
        <v>5.7829000745053944</v>
      </c>
    </row>
    <row r="611" spans="1:11" ht="13.95" customHeight="1">
      <c r="A611" t="s">
        <v>6531</v>
      </c>
      <c r="B611">
        <v>29</v>
      </c>
      <c r="D611">
        <v>0</v>
      </c>
      <c r="G611">
        <v>0</v>
      </c>
    </row>
    <row r="612" spans="1:11" ht="13.95" customHeight="1">
      <c r="A612" t="s">
        <v>6531</v>
      </c>
      <c r="B612">
        <v>30</v>
      </c>
      <c r="D612">
        <v>6.45</v>
      </c>
      <c r="G612">
        <v>6.55</v>
      </c>
      <c r="J612">
        <v>6.4985282298539664</v>
      </c>
    </row>
    <row r="613" spans="1:11" ht="13.95" customHeight="1">
      <c r="A613" t="s">
        <v>6531</v>
      </c>
      <c r="B613">
        <v>31</v>
      </c>
      <c r="E613">
        <v>0</v>
      </c>
      <c r="H613">
        <v>0</v>
      </c>
    </row>
    <row r="614" spans="1:11" ht="13.95" customHeight="1">
      <c r="A614" t="s">
        <v>6531</v>
      </c>
      <c r="B614">
        <v>32</v>
      </c>
      <c r="E614">
        <v>2.37</v>
      </c>
      <c r="H614">
        <v>3.46</v>
      </c>
      <c r="K614">
        <v>3.1308722447326276</v>
      </c>
    </row>
    <row r="615" spans="1:11" ht="13.95" customHeight="1">
      <c r="A615" t="s">
        <v>6532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95" customHeight="1">
      <c r="A616" t="s">
        <v>6532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95" customHeight="1">
      <c r="A617" t="s">
        <v>6532</v>
      </c>
      <c r="B617">
        <v>3</v>
      </c>
      <c r="C617">
        <v>3.22</v>
      </c>
      <c r="F617">
        <v>5.96</v>
      </c>
      <c r="I617">
        <v>3.2600420226718803</v>
      </c>
    </row>
    <row r="618" spans="1:11" ht="13.95" customHeight="1">
      <c r="A618" t="s">
        <v>6532</v>
      </c>
      <c r="B618">
        <v>4</v>
      </c>
      <c r="C618">
        <v>6.73</v>
      </c>
      <c r="F618">
        <v>7.8100000000000005</v>
      </c>
      <c r="I618">
        <v>7.0445088360016719</v>
      </c>
    </row>
    <row r="619" spans="1:11" ht="13.95" customHeight="1">
      <c r="A619" t="s">
        <v>6532</v>
      </c>
      <c r="B619">
        <v>5</v>
      </c>
      <c r="D619">
        <v>0</v>
      </c>
      <c r="G619">
        <v>0</v>
      </c>
    </row>
    <row r="620" spans="1:11" ht="13.95" customHeight="1">
      <c r="A620" t="s">
        <v>6532</v>
      </c>
      <c r="B620">
        <v>6</v>
      </c>
      <c r="D620">
        <v>2.75</v>
      </c>
      <c r="G620">
        <v>3.11</v>
      </c>
      <c r="J620">
        <v>2.8224754239615319</v>
      </c>
    </row>
    <row r="621" spans="1:11" ht="13.95" customHeight="1">
      <c r="A621" t="s">
        <v>6532</v>
      </c>
      <c r="B621">
        <v>7</v>
      </c>
      <c r="E621">
        <v>0</v>
      </c>
      <c r="H621">
        <v>0</v>
      </c>
    </row>
    <row r="622" spans="1:11" ht="13.95" customHeight="1">
      <c r="A622" t="s">
        <v>6532</v>
      </c>
      <c r="B622">
        <v>8</v>
      </c>
      <c r="E622">
        <v>0</v>
      </c>
      <c r="H622">
        <v>0</v>
      </c>
    </row>
    <row r="623" spans="1:11" ht="13.95" customHeight="1">
      <c r="A623" t="s">
        <v>6532</v>
      </c>
      <c r="B623">
        <v>9</v>
      </c>
      <c r="C623">
        <v>0</v>
      </c>
      <c r="F623">
        <v>0</v>
      </c>
    </row>
    <row r="624" spans="1:11" ht="13.95" customHeight="1">
      <c r="A624" t="s">
        <v>6532</v>
      </c>
      <c r="B624">
        <v>10</v>
      </c>
      <c r="C624">
        <v>0</v>
      </c>
      <c r="F624">
        <v>0</v>
      </c>
    </row>
    <row r="625" spans="1:11" ht="13.95" customHeight="1">
      <c r="A625" t="s">
        <v>6532</v>
      </c>
      <c r="B625">
        <v>11</v>
      </c>
      <c r="D625">
        <v>0</v>
      </c>
      <c r="G625">
        <v>0</v>
      </c>
    </row>
    <row r="626" spans="1:11" ht="13.95" customHeight="1">
      <c r="A626" t="s">
        <v>6532</v>
      </c>
      <c r="B626">
        <v>12</v>
      </c>
      <c r="D626">
        <v>0</v>
      </c>
      <c r="G626">
        <v>0</v>
      </c>
    </row>
    <row r="627" spans="1:11" ht="13.95" customHeight="1">
      <c r="A627" t="s">
        <v>6532</v>
      </c>
      <c r="B627">
        <v>13</v>
      </c>
      <c r="E627">
        <v>1.72</v>
      </c>
      <c r="H627">
        <v>1.8199999999999998</v>
      </c>
      <c r="K627">
        <v>1.7301673586359012</v>
      </c>
    </row>
    <row r="628" spans="1:11" ht="13.95" customHeight="1">
      <c r="A628" t="s">
        <v>6532</v>
      </c>
      <c r="B628">
        <v>14</v>
      </c>
      <c r="E628">
        <v>3.16</v>
      </c>
      <c r="H628">
        <v>3.24</v>
      </c>
      <c r="K628">
        <v>3.1990759941005922</v>
      </c>
    </row>
    <row r="629" spans="1:11" ht="13.95" customHeight="1">
      <c r="A629" t="s">
        <v>6532</v>
      </c>
      <c r="B629">
        <v>15</v>
      </c>
      <c r="C629">
        <v>0</v>
      </c>
      <c r="F629">
        <v>0</v>
      </c>
    </row>
    <row r="630" spans="1:11" ht="13.95" customHeight="1">
      <c r="A630" t="s">
        <v>6532</v>
      </c>
      <c r="B630">
        <v>16</v>
      </c>
      <c r="C630">
        <v>0</v>
      </c>
      <c r="F630">
        <v>0</v>
      </c>
    </row>
    <row r="631" spans="1:11" ht="13.95" customHeight="1">
      <c r="A631" t="s">
        <v>6532</v>
      </c>
      <c r="B631">
        <v>17</v>
      </c>
      <c r="D631">
        <v>0.95</v>
      </c>
      <c r="G631">
        <v>1.07</v>
      </c>
      <c r="J631">
        <v>0.96224317999940046</v>
      </c>
    </row>
    <row r="632" spans="1:11" ht="13.95" customHeight="1">
      <c r="A632" t="s">
        <v>6532</v>
      </c>
      <c r="B632">
        <v>18</v>
      </c>
      <c r="D632">
        <v>0</v>
      </c>
      <c r="G632">
        <v>0</v>
      </c>
    </row>
    <row r="633" spans="1:11" ht="13.95" customHeight="1">
      <c r="A633" t="s">
        <v>6532</v>
      </c>
      <c r="B633">
        <v>19</v>
      </c>
      <c r="E633">
        <v>2.5099999999999998</v>
      </c>
      <c r="H633">
        <v>2.67</v>
      </c>
      <c r="K633">
        <v>2.5601456704547765</v>
      </c>
    </row>
    <row r="634" spans="1:11" ht="13.95" customHeight="1">
      <c r="A634" t="s">
        <v>6532</v>
      </c>
      <c r="B634">
        <v>20</v>
      </c>
      <c r="E634">
        <v>0</v>
      </c>
      <c r="H634">
        <v>0</v>
      </c>
    </row>
    <row r="635" spans="1:11" ht="13.95" customHeight="1">
      <c r="A635" t="s">
        <v>6532</v>
      </c>
      <c r="B635">
        <v>21</v>
      </c>
      <c r="C635">
        <v>3.33</v>
      </c>
      <c r="F635">
        <v>3.62</v>
      </c>
      <c r="I635">
        <v>3.389631771393407</v>
      </c>
    </row>
    <row r="636" spans="1:11" ht="13.95" customHeight="1">
      <c r="A636" t="s">
        <v>6532</v>
      </c>
      <c r="B636">
        <v>22</v>
      </c>
      <c r="C636">
        <v>0</v>
      </c>
      <c r="F636">
        <v>0</v>
      </c>
    </row>
    <row r="637" spans="1:11" ht="13.95" customHeight="1">
      <c r="A637" t="s">
        <v>6532</v>
      </c>
      <c r="B637">
        <v>23</v>
      </c>
      <c r="D637">
        <v>2.5099999999999998</v>
      </c>
      <c r="G637">
        <v>2.64</v>
      </c>
      <c r="J637">
        <v>2.5534419365424519</v>
      </c>
    </row>
    <row r="638" spans="1:11" ht="13.95" customHeight="1">
      <c r="A638" t="s">
        <v>6532</v>
      </c>
      <c r="B638">
        <v>24</v>
      </c>
      <c r="D638">
        <v>4.09</v>
      </c>
      <c r="G638">
        <v>5.71</v>
      </c>
      <c r="J638">
        <v>5.0104622791925397</v>
      </c>
    </row>
    <row r="639" spans="1:11" ht="13.95" customHeight="1">
      <c r="A639" t="s">
        <v>6532</v>
      </c>
      <c r="B639">
        <v>25</v>
      </c>
      <c r="E639">
        <v>0</v>
      </c>
      <c r="H639">
        <v>0</v>
      </c>
    </row>
    <row r="640" spans="1:11" ht="13.95" customHeight="1">
      <c r="A640" t="s">
        <v>6532</v>
      </c>
      <c r="B640">
        <v>26</v>
      </c>
      <c r="E640">
        <v>0</v>
      </c>
      <c r="H640">
        <v>0</v>
      </c>
    </row>
    <row r="641" spans="1:11" ht="13.95" customHeight="1">
      <c r="A641" t="s">
        <v>6532</v>
      </c>
      <c r="B641">
        <v>27</v>
      </c>
      <c r="C641">
        <v>0</v>
      </c>
      <c r="F641">
        <v>0</v>
      </c>
    </row>
    <row r="642" spans="1:11" ht="13.95" customHeight="1">
      <c r="A642" t="s">
        <v>6532</v>
      </c>
      <c r="B642">
        <v>28</v>
      </c>
      <c r="C642">
        <v>0</v>
      </c>
      <c r="F642">
        <v>0</v>
      </c>
    </row>
    <row r="643" spans="1:11" ht="13.95" customHeight="1">
      <c r="A643" t="s">
        <v>6532</v>
      </c>
      <c r="B643">
        <v>29</v>
      </c>
      <c r="D643">
        <v>0</v>
      </c>
      <c r="G643">
        <v>0</v>
      </c>
    </row>
    <row r="644" spans="1:11" ht="13.95" customHeight="1">
      <c r="A644" t="s">
        <v>6532</v>
      </c>
      <c r="B644">
        <v>30</v>
      </c>
      <c r="D644">
        <v>0</v>
      </c>
      <c r="G644">
        <v>0</v>
      </c>
    </row>
    <row r="645" spans="1:11" ht="13.95" customHeight="1">
      <c r="A645" t="s">
        <v>6532</v>
      </c>
      <c r="B645">
        <v>31</v>
      </c>
      <c r="E645">
        <v>0</v>
      </c>
      <c r="H645">
        <v>0</v>
      </c>
    </row>
    <row r="646" spans="1:11" ht="13.95" customHeight="1">
      <c r="A646" t="s">
        <v>6532</v>
      </c>
      <c r="B646">
        <v>32</v>
      </c>
      <c r="E646">
        <v>0</v>
      </c>
      <c r="H646">
        <v>0</v>
      </c>
    </row>
    <row r="647" spans="1:11" ht="13.95" customHeight="1">
      <c r="A647" t="s">
        <v>6533</v>
      </c>
      <c r="B647">
        <v>1</v>
      </c>
      <c r="C647">
        <v>4.67</v>
      </c>
      <c r="D647">
        <v>1.33</v>
      </c>
      <c r="E647">
        <v>6.04</v>
      </c>
      <c r="F647">
        <v>4.75</v>
      </c>
      <c r="G647">
        <v>1.3599999999999999</v>
      </c>
      <c r="H647">
        <v>6.11</v>
      </c>
      <c r="I647">
        <v>4.6984693671217261</v>
      </c>
      <c r="J647">
        <v>1.3376025268007703</v>
      </c>
      <c r="K647">
        <v>6.0700010952085064</v>
      </c>
    </row>
    <row r="648" spans="1:11" ht="13.95" customHeight="1">
      <c r="A648" t="s">
        <v>6533</v>
      </c>
      <c r="B648">
        <v>2</v>
      </c>
      <c r="C648">
        <v>3.12</v>
      </c>
      <c r="D648">
        <v>3.12</v>
      </c>
      <c r="E648">
        <v>1.8599999999999999</v>
      </c>
      <c r="F648">
        <v>3.19</v>
      </c>
      <c r="G648">
        <v>3.18</v>
      </c>
      <c r="H648">
        <v>1.88</v>
      </c>
      <c r="I648">
        <v>3.1494181441353164</v>
      </c>
      <c r="J648">
        <v>3.1434164749971512</v>
      </c>
      <c r="K648">
        <v>1.8704852970989561</v>
      </c>
    </row>
    <row r="649" spans="1:11" ht="13.95" customHeight="1">
      <c r="A649" t="s">
        <v>6533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95" customHeight="1">
      <c r="A650" t="s">
        <v>6533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95" customHeight="1">
      <c r="A651" t="s">
        <v>6533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95" customHeight="1">
      <c r="A652" t="s">
        <v>6533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95" customHeight="1">
      <c r="A653" t="s">
        <v>6533</v>
      </c>
      <c r="B653">
        <v>7</v>
      </c>
      <c r="C653">
        <v>3.92</v>
      </c>
      <c r="F653">
        <v>4.0599999999999996</v>
      </c>
      <c r="I653">
        <v>4.0039489374518178</v>
      </c>
    </row>
    <row r="654" spans="1:11" ht="13.95" customHeight="1">
      <c r="A654" t="s">
        <v>6533</v>
      </c>
      <c r="B654">
        <v>8</v>
      </c>
      <c r="C654">
        <v>4.8499999999999996</v>
      </c>
      <c r="F654">
        <v>4.9000000000000004</v>
      </c>
      <c r="I654">
        <v>4.875508700004203</v>
      </c>
    </row>
    <row r="655" spans="1:11" ht="13.95" customHeight="1">
      <c r="A655" t="s">
        <v>6533</v>
      </c>
      <c r="B655">
        <v>9</v>
      </c>
      <c r="D655">
        <v>1.79</v>
      </c>
      <c r="G655">
        <v>1.8199999999999998</v>
      </c>
      <c r="J655">
        <v>1.8029908126503327</v>
      </c>
    </row>
    <row r="656" spans="1:11" ht="13.95" customHeight="1">
      <c r="A656" t="s">
        <v>6533</v>
      </c>
      <c r="B656">
        <v>10</v>
      </c>
      <c r="D656">
        <v>0.99</v>
      </c>
      <c r="G656">
        <v>1.03</v>
      </c>
      <c r="J656">
        <v>1.0000470511057806</v>
      </c>
    </row>
    <row r="657" spans="1:11" ht="13.95" customHeight="1">
      <c r="A657" t="s">
        <v>6533</v>
      </c>
      <c r="B657">
        <v>11</v>
      </c>
      <c r="E657">
        <v>0</v>
      </c>
      <c r="H657">
        <v>0</v>
      </c>
    </row>
    <row r="658" spans="1:11" ht="13.95" customHeight="1">
      <c r="A658" t="s">
        <v>6533</v>
      </c>
      <c r="B658">
        <v>12</v>
      </c>
      <c r="E658">
        <v>2.5499999999999998</v>
      </c>
      <c r="H658">
        <v>2.59</v>
      </c>
      <c r="K658">
        <v>2.5672030377838553</v>
      </c>
    </row>
    <row r="659" spans="1:11" ht="13.95" customHeight="1">
      <c r="A659" t="s">
        <v>6533</v>
      </c>
      <c r="B659">
        <v>13</v>
      </c>
      <c r="C659">
        <v>1.55</v>
      </c>
      <c r="F659">
        <v>1.6600000000000001</v>
      </c>
      <c r="I659">
        <v>1.628022975581813</v>
      </c>
    </row>
    <row r="660" spans="1:11" ht="13.95" customHeight="1">
      <c r="A660" t="s">
        <v>6533</v>
      </c>
      <c r="B660">
        <v>14</v>
      </c>
      <c r="C660">
        <v>1.71</v>
      </c>
      <c r="F660">
        <v>1.74</v>
      </c>
      <c r="I660">
        <v>1.7265996939525079</v>
      </c>
    </row>
    <row r="661" spans="1:11" ht="13.95" customHeight="1">
      <c r="A661" t="s">
        <v>6533</v>
      </c>
      <c r="B661">
        <v>15</v>
      </c>
      <c r="D661">
        <v>0.42</v>
      </c>
      <c r="G661">
        <v>3.05</v>
      </c>
      <c r="J661">
        <v>2.4397514444955055</v>
      </c>
    </row>
    <row r="662" spans="1:11" ht="13.95" customHeight="1">
      <c r="A662" t="s">
        <v>6533</v>
      </c>
      <c r="B662">
        <v>16</v>
      </c>
      <c r="D662">
        <v>0</v>
      </c>
      <c r="G662">
        <v>0</v>
      </c>
    </row>
    <row r="663" spans="1:11" ht="13.95" customHeight="1">
      <c r="A663" t="s">
        <v>6533</v>
      </c>
      <c r="B663">
        <v>17</v>
      </c>
      <c r="E663">
        <v>0.4</v>
      </c>
      <c r="H663">
        <v>3.02</v>
      </c>
      <c r="K663">
        <v>1.5902500821961043</v>
      </c>
    </row>
    <row r="664" spans="1:11" ht="13.95" customHeight="1">
      <c r="A664" t="s">
        <v>6533</v>
      </c>
      <c r="B664">
        <v>18</v>
      </c>
      <c r="E664">
        <v>0</v>
      </c>
      <c r="H664">
        <v>0</v>
      </c>
    </row>
    <row r="665" spans="1:11" ht="13.95" customHeight="1">
      <c r="A665" t="s">
        <v>6533</v>
      </c>
      <c r="B665">
        <v>19</v>
      </c>
      <c r="C665">
        <v>0</v>
      </c>
      <c r="F665">
        <v>0</v>
      </c>
    </row>
    <row r="666" spans="1:11" ht="13.95" customHeight="1">
      <c r="A666" t="s">
        <v>6533</v>
      </c>
      <c r="B666">
        <v>20</v>
      </c>
      <c r="C666">
        <v>0.59</v>
      </c>
      <c r="F666">
        <v>0.61</v>
      </c>
      <c r="I666">
        <v>0.59806418859173893</v>
      </c>
    </row>
    <row r="667" spans="1:11" ht="13.95" customHeight="1">
      <c r="A667" t="s">
        <v>6533</v>
      </c>
      <c r="B667">
        <v>21</v>
      </c>
      <c r="D667">
        <v>0.28000000000000003</v>
      </c>
      <c r="G667">
        <v>0.67</v>
      </c>
      <c r="J667">
        <v>0.36449277489594084</v>
      </c>
    </row>
    <row r="668" spans="1:11" ht="13.95" customHeight="1">
      <c r="A668" t="s">
        <v>6533</v>
      </c>
      <c r="B668">
        <v>22</v>
      </c>
      <c r="D668">
        <v>0.57999999999999996</v>
      </c>
      <c r="G668">
        <v>0.6</v>
      </c>
      <c r="J668">
        <v>0.59008962474145465</v>
      </c>
    </row>
    <row r="669" spans="1:11" ht="13.95" customHeight="1">
      <c r="A669" t="s">
        <v>6533</v>
      </c>
      <c r="B669">
        <v>23</v>
      </c>
      <c r="E669">
        <v>0</v>
      </c>
      <c r="H669">
        <v>0</v>
      </c>
    </row>
    <row r="670" spans="1:11" ht="13.95" customHeight="1">
      <c r="A670" t="s">
        <v>6533</v>
      </c>
      <c r="B670">
        <v>24</v>
      </c>
      <c r="E670">
        <v>0.56999999999999995</v>
      </c>
      <c r="H670">
        <v>3.27</v>
      </c>
      <c r="K670">
        <v>1.4848752702494019</v>
      </c>
    </row>
    <row r="671" spans="1:11" ht="13.95" customHeight="1">
      <c r="A671" t="s">
        <v>6533</v>
      </c>
      <c r="B671">
        <v>25</v>
      </c>
      <c r="C671">
        <v>0.42</v>
      </c>
      <c r="F671">
        <v>0.43</v>
      </c>
      <c r="I671">
        <v>0.42394162566223559</v>
      </c>
    </row>
    <row r="672" spans="1:11" ht="13.95" customHeight="1">
      <c r="A672" t="s">
        <v>6533</v>
      </c>
      <c r="B672">
        <v>26</v>
      </c>
      <c r="C672">
        <v>0</v>
      </c>
      <c r="F672">
        <v>0</v>
      </c>
    </row>
    <row r="673" spans="1:11" ht="13.95" customHeight="1">
      <c r="A673" t="s">
        <v>6533</v>
      </c>
      <c r="B673">
        <v>27</v>
      </c>
      <c r="D673">
        <v>1.48</v>
      </c>
      <c r="G673">
        <v>1.49</v>
      </c>
      <c r="J673">
        <v>1.4862448893907805</v>
      </c>
    </row>
    <row r="674" spans="1:11" ht="13.95" customHeight="1">
      <c r="A674" t="s">
        <v>6533</v>
      </c>
      <c r="B674">
        <v>28</v>
      </c>
      <c r="D674">
        <v>0.28999999999999998</v>
      </c>
      <c r="G674">
        <v>0.31</v>
      </c>
      <c r="J674">
        <v>0.29515283036449924</v>
      </c>
    </row>
    <row r="675" spans="1:11" ht="13.95" customHeight="1">
      <c r="A675" t="s">
        <v>6533</v>
      </c>
      <c r="B675">
        <v>29</v>
      </c>
      <c r="E675">
        <v>2.21</v>
      </c>
      <c r="H675">
        <v>2.23</v>
      </c>
      <c r="K675">
        <v>2.2200399134874798</v>
      </c>
    </row>
    <row r="676" spans="1:11" ht="13.95" customHeight="1">
      <c r="A676" t="s">
        <v>6533</v>
      </c>
      <c r="B676">
        <v>30</v>
      </c>
      <c r="E676">
        <v>0.49</v>
      </c>
      <c r="H676">
        <v>0.51</v>
      </c>
      <c r="K676">
        <v>0.49722634850650282</v>
      </c>
    </row>
    <row r="677" spans="1:11" ht="13.95" customHeight="1">
      <c r="A677" t="s">
        <v>6534</v>
      </c>
      <c r="B677">
        <v>1</v>
      </c>
      <c r="C677">
        <v>0.6</v>
      </c>
      <c r="F677">
        <v>0.73</v>
      </c>
      <c r="I677">
        <v>0.71706502396630656</v>
      </c>
    </row>
    <row r="678" spans="1:11" ht="13.95" customHeight="1">
      <c r="A678" t="s">
        <v>6534</v>
      </c>
      <c r="B678">
        <v>2</v>
      </c>
      <c r="C678">
        <v>0.83</v>
      </c>
      <c r="F678">
        <v>0.85</v>
      </c>
      <c r="I678">
        <v>0.83511313989346625</v>
      </c>
    </row>
    <row r="679" spans="1:11" ht="13.95" customHeight="1">
      <c r="A679" t="s">
        <v>6534</v>
      </c>
      <c r="B679">
        <v>3</v>
      </c>
      <c r="D679">
        <v>0</v>
      </c>
      <c r="G679">
        <v>0</v>
      </c>
    </row>
    <row r="680" spans="1:11" ht="13.95" customHeight="1">
      <c r="A680" t="s">
        <v>6534</v>
      </c>
      <c r="B680">
        <v>4</v>
      </c>
      <c r="D680">
        <v>0</v>
      </c>
      <c r="G680">
        <v>0</v>
      </c>
    </row>
    <row r="681" spans="1:11" ht="13.95" customHeight="1">
      <c r="A681" t="s">
        <v>6534</v>
      </c>
      <c r="B681">
        <v>5</v>
      </c>
      <c r="E681">
        <v>0</v>
      </c>
      <c r="H681">
        <v>0</v>
      </c>
    </row>
    <row r="682" spans="1:11" ht="13.95" customHeight="1">
      <c r="A682" t="s">
        <v>6534</v>
      </c>
      <c r="B682">
        <v>6</v>
      </c>
      <c r="E682">
        <v>0</v>
      </c>
      <c r="H682">
        <v>0</v>
      </c>
    </row>
    <row r="683" spans="1:11" ht="13.95" customHeight="1">
      <c r="A683" t="s">
        <v>6534</v>
      </c>
      <c r="B683">
        <v>7</v>
      </c>
      <c r="C683">
        <v>0</v>
      </c>
      <c r="F683">
        <v>0</v>
      </c>
    </row>
    <row r="684" spans="1:11" ht="13.95" customHeight="1">
      <c r="A684" t="s">
        <v>6534</v>
      </c>
      <c r="B684">
        <v>8</v>
      </c>
      <c r="C684">
        <v>2.19</v>
      </c>
      <c r="F684">
        <v>2.4500000000000002</v>
      </c>
      <c r="I684">
        <v>2.2639502280394579</v>
      </c>
    </row>
    <row r="685" spans="1:11" ht="13.95" customHeight="1">
      <c r="A685" t="s">
        <v>6534</v>
      </c>
      <c r="B685">
        <v>9</v>
      </c>
      <c r="D685">
        <v>7.15</v>
      </c>
      <c r="G685">
        <v>7.36</v>
      </c>
      <c r="J685">
        <v>7.1917565230801275</v>
      </c>
    </row>
    <row r="686" spans="1:11" ht="13.95" customHeight="1">
      <c r="A686" t="s">
        <v>6534</v>
      </c>
      <c r="B686">
        <v>10</v>
      </c>
      <c r="D686">
        <v>0</v>
      </c>
      <c r="G686">
        <v>6.65</v>
      </c>
      <c r="J686">
        <v>9.8876924858168347E-3</v>
      </c>
    </row>
    <row r="687" spans="1:11" ht="13.95" customHeight="1">
      <c r="A687" t="s">
        <v>6534</v>
      </c>
      <c r="B687">
        <v>11</v>
      </c>
      <c r="E687">
        <v>0.53</v>
      </c>
      <c r="H687">
        <v>0.54</v>
      </c>
      <c r="K687">
        <v>0.53071871648808899</v>
      </c>
    </row>
    <row r="688" spans="1:11" ht="13.95" customHeight="1">
      <c r="A688" t="s">
        <v>6534</v>
      </c>
      <c r="B688">
        <v>12</v>
      </c>
      <c r="E688">
        <v>1.1100000000000001</v>
      </c>
      <c r="H688">
        <v>1.1400000000000001</v>
      </c>
      <c r="K688">
        <v>1.119313446517783</v>
      </c>
    </row>
    <row r="689" spans="1:11" ht="13.95" customHeight="1">
      <c r="A689" t="s">
        <v>6534</v>
      </c>
      <c r="B689">
        <v>13</v>
      </c>
      <c r="C689">
        <v>0</v>
      </c>
      <c r="F689">
        <v>0</v>
      </c>
    </row>
    <row r="690" spans="1:11" ht="13.95" customHeight="1">
      <c r="A690" t="s">
        <v>6534</v>
      </c>
      <c r="B690">
        <v>14</v>
      </c>
      <c r="C690">
        <v>0</v>
      </c>
      <c r="F690">
        <v>0</v>
      </c>
    </row>
    <row r="691" spans="1:11" ht="13.95" customHeight="1">
      <c r="A691" t="s">
        <v>6534</v>
      </c>
      <c r="B691">
        <v>15</v>
      </c>
      <c r="D691">
        <v>0</v>
      </c>
      <c r="G691">
        <v>0</v>
      </c>
    </row>
    <row r="692" spans="1:11" ht="13.95" customHeight="1">
      <c r="A692" t="s">
        <v>6534</v>
      </c>
      <c r="B692">
        <v>16</v>
      </c>
      <c r="D692">
        <v>0</v>
      </c>
      <c r="G692">
        <v>0</v>
      </c>
    </row>
    <row r="693" spans="1:11" ht="13.95" customHeight="1">
      <c r="A693" t="s">
        <v>6534</v>
      </c>
      <c r="B693">
        <v>17</v>
      </c>
      <c r="E693">
        <v>0.75</v>
      </c>
      <c r="H693">
        <v>0.78</v>
      </c>
      <c r="K693">
        <v>0.75865152207069964</v>
      </c>
    </row>
    <row r="694" spans="1:11" ht="13.95" customHeight="1">
      <c r="A694" t="s">
        <v>6534</v>
      </c>
      <c r="B694">
        <v>18</v>
      </c>
      <c r="E694">
        <v>0</v>
      </c>
      <c r="H694">
        <v>0</v>
      </c>
    </row>
    <row r="695" spans="1:11" ht="13.95" customHeight="1">
      <c r="A695" t="s">
        <v>6534</v>
      </c>
      <c r="B695">
        <v>19</v>
      </c>
      <c r="C695">
        <v>0</v>
      </c>
      <c r="F695">
        <v>0</v>
      </c>
    </row>
    <row r="696" spans="1:11" ht="13.95" customHeight="1">
      <c r="A696" t="s">
        <v>6534</v>
      </c>
      <c r="B696">
        <v>20</v>
      </c>
      <c r="C696">
        <v>0</v>
      </c>
      <c r="F696">
        <v>0</v>
      </c>
    </row>
    <row r="697" spans="1:11" ht="13.95" customHeight="1">
      <c r="A697" t="s">
        <v>6534</v>
      </c>
      <c r="B697">
        <v>21</v>
      </c>
      <c r="D697">
        <v>0</v>
      </c>
      <c r="G697">
        <v>0</v>
      </c>
    </row>
    <row r="698" spans="1:11" ht="13.95" customHeight="1">
      <c r="A698" t="s">
        <v>6534</v>
      </c>
      <c r="B698">
        <v>22</v>
      </c>
      <c r="D698">
        <v>0</v>
      </c>
      <c r="G698">
        <v>0</v>
      </c>
    </row>
    <row r="699" spans="1:11" ht="13.95" customHeight="1">
      <c r="A699" t="s">
        <v>6534</v>
      </c>
      <c r="B699">
        <v>23</v>
      </c>
      <c r="E699">
        <v>0</v>
      </c>
      <c r="H699">
        <v>0</v>
      </c>
    </row>
    <row r="700" spans="1:11" ht="13.95" customHeight="1">
      <c r="A700" t="s">
        <v>6534</v>
      </c>
      <c r="B700">
        <v>24</v>
      </c>
      <c r="E700">
        <v>0</v>
      </c>
      <c r="H700">
        <v>0</v>
      </c>
    </row>
    <row r="701" spans="1:11" ht="13.95" customHeight="1">
      <c r="A701" t="s">
        <v>6534</v>
      </c>
      <c r="B701">
        <v>25</v>
      </c>
      <c r="C701">
        <v>1.81</v>
      </c>
      <c r="F701">
        <v>1.8399999999999999</v>
      </c>
      <c r="I701">
        <v>1.8236444108379255</v>
      </c>
    </row>
    <row r="702" spans="1:11" ht="13.95" customHeight="1">
      <c r="A702" t="s">
        <v>6534</v>
      </c>
      <c r="B702">
        <v>26</v>
      </c>
      <c r="C702">
        <v>0</v>
      </c>
      <c r="F702">
        <v>0</v>
      </c>
    </row>
    <row r="703" spans="1:11" ht="13.95" customHeight="1">
      <c r="A703" t="s">
        <v>6534</v>
      </c>
      <c r="B703">
        <v>27</v>
      </c>
      <c r="D703">
        <v>0</v>
      </c>
      <c r="G703">
        <v>0</v>
      </c>
    </row>
    <row r="704" spans="1:11" ht="13.95" customHeight="1">
      <c r="A704" t="s">
        <v>6534</v>
      </c>
      <c r="B704">
        <v>28</v>
      </c>
      <c r="D704">
        <v>0</v>
      </c>
      <c r="G704">
        <v>0</v>
      </c>
    </row>
    <row r="705" spans="1:10" ht="13.95" customHeight="1">
      <c r="A705" t="s">
        <v>6534</v>
      </c>
      <c r="B705">
        <v>29</v>
      </c>
      <c r="E705">
        <v>0</v>
      </c>
      <c r="H705">
        <v>0</v>
      </c>
    </row>
    <row r="706" spans="1:10" ht="13.95" customHeight="1">
      <c r="A706" t="s">
        <v>6534</v>
      </c>
      <c r="B706">
        <v>30</v>
      </c>
      <c r="E706">
        <v>0</v>
      </c>
      <c r="H706">
        <v>0</v>
      </c>
    </row>
    <row r="707" spans="1:10" ht="13.95" customHeight="1">
      <c r="A707" t="s">
        <v>6534</v>
      </c>
      <c r="B707">
        <v>31</v>
      </c>
      <c r="C707">
        <v>0</v>
      </c>
      <c r="F707">
        <v>0</v>
      </c>
    </row>
    <row r="708" spans="1:10" ht="13.95" customHeight="1">
      <c r="A708" t="s">
        <v>6534</v>
      </c>
      <c r="B708">
        <v>32</v>
      </c>
      <c r="C708">
        <v>0</v>
      </c>
      <c r="F708">
        <v>0</v>
      </c>
    </row>
    <row r="709" spans="1:10" ht="13.95" customHeight="1">
      <c r="A709" t="s">
        <v>6534</v>
      </c>
      <c r="B709">
        <v>33</v>
      </c>
      <c r="D709">
        <v>0</v>
      </c>
      <c r="G709">
        <v>0</v>
      </c>
    </row>
    <row r="710" spans="1:10" ht="13.95" customHeight="1">
      <c r="A710" t="s">
        <v>6534</v>
      </c>
      <c r="B710">
        <v>34</v>
      </c>
      <c r="D710">
        <v>0</v>
      </c>
      <c r="G710">
        <v>0</v>
      </c>
    </row>
    <row r="711" spans="1:10" ht="13.95" customHeight="1">
      <c r="A711" t="s">
        <v>6535</v>
      </c>
      <c r="B711">
        <v>1</v>
      </c>
      <c r="C711">
        <v>0.72</v>
      </c>
      <c r="F711">
        <v>1.1100000000000001</v>
      </c>
      <c r="I711">
        <v>0.82171490448298001</v>
      </c>
    </row>
    <row r="712" spans="1:10" ht="13.95" customHeight="1">
      <c r="A712" t="s">
        <v>6535</v>
      </c>
      <c r="B712">
        <v>2</v>
      </c>
      <c r="C712">
        <v>0.77</v>
      </c>
      <c r="F712">
        <v>0.8</v>
      </c>
      <c r="I712">
        <v>0.78252470103304883</v>
      </c>
    </row>
    <row r="713" spans="1:10" ht="13.95" customHeight="1">
      <c r="A713" t="s">
        <v>6535</v>
      </c>
      <c r="B713">
        <v>3</v>
      </c>
      <c r="D713">
        <v>0</v>
      </c>
      <c r="G713">
        <v>0</v>
      </c>
    </row>
    <row r="714" spans="1:10" ht="13.95" customHeight="1">
      <c r="A714" t="s">
        <v>6535</v>
      </c>
      <c r="B714">
        <v>4</v>
      </c>
      <c r="D714">
        <v>0</v>
      </c>
      <c r="G714">
        <v>0</v>
      </c>
    </row>
    <row r="715" spans="1:10" ht="13.95" customHeight="1">
      <c r="A715" t="s">
        <v>6535</v>
      </c>
      <c r="B715">
        <v>5</v>
      </c>
      <c r="E715">
        <v>0</v>
      </c>
      <c r="H715">
        <v>0</v>
      </c>
    </row>
    <row r="716" spans="1:10" ht="13.95" customHeight="1">
      <c r="A716" t="s">
        <v>6535</v>
      </c>
      <c r="B716">
        <v>6</v>
      </c>
      <c r="E716">
        <v>0</v>
      </c>
      <c r="H716">
        <v>0</v>
      </c>
    </row>
    <row r="717" spans="1:10" ht="13.95" customHeight="1">
      <c r="A717" t="s">
        <v>6535</v>
      </c>
      <c r="B717">
        <v>7</v>
      </c>
      <c r="C717">
        <v>0</v>
      </c>
      <c r="F717">
        <v>0</v>
      </c>
    </row>
    <row r="718" spans="1:10" ht="13.95" customHeight="1">
      <c r="A718" t="s">
        <v>6535</v>
      </c>
      <c r="B718">
        <v>8</v>
      </c>
      <c r="C718">
        <v>2.14</v>
      </c>
      <c r="F718">
        <v>2.29</v>
      </c>
      <c r="I718">
        <v>2.1836491996416276</v>
      </c>
    </row>
    <row r="719" spans="1:10" ht="13.95" customHeight="1">
      <c r="A719" t="s">
        <v>6535</v>
      </c>
      <c r="B719">
        <v>9</v>
      </c>
      <c r="D719">
        <v>4.9399999999999995</v>
      </c>
      <c r="G719">
        <v>5.03</v>
      </c>
      <c r="J719">
        <v>4.9879789532333083</v>
      </c>
    </row>
    <row r="720" spans="1:10" ht="13.95" customHeight="1">
      <c r="A720" t="s">
        <v>6535</v>
      </c>
      <c r="B720">
        <v>10</v>
      </c>
      <c r="D720">
        <v>0</v>
      </c>
      <c r="G720">
        <v>0</v>
      </c>
    </row>
    <row r="721" spans="1:11" ht="13.95" customHeight="1">
      <c r="A721" t="s">
        <v>6535</v>
      </c>
      <c r="B721">
        <v>11</v>
      </c>
      <c r="E721">
        <v>0.41</v>
      </c>
      <c r="H721">
        <v>0.42</v>
      </c>
      <c r="K721">
        <v>0.41789327182690811</v>
      </c>
    </row>
    <row r="722" spans="1:11" ht="13.95" customHeight="1">
      <c r="A722" t="s">
        <v>6535</v>
      </c>
      <c r="B722">
        <v>12</v>
      </c>
      <c r="E722">
        <v>0.8</v>
      </c>
      <c r="H722">
        <v>1.07</v>
      </c>
      <c r="K722">
        <v>0.97627427711072834</v>
      </c>
    </row>
    <row r="723" spans="1:11" ht="13.95" customHeight="1">
      <c r="A723" t="s">
        <v>6535</v>
      </c>
      <c r="B723">
        <v>13</v>
      </c>
      <c r="C723">
        <v>0</v>
      </c>
      <c r="F723">
        <v>0</v>
      </c>
    </row>
    <row r="724" spans="1:11" ht="13.95" customHeight="1">
      <c r="A724" t="s">
        <v>6535</v>
      </c>
      <c r="B724">
        <v>14</v>
      </c>
      <c r="C724">
        <v>0</v>
      </c>
      <c r="F724">
        <v>0</v>
      </c>
    </row>
    <row r="725" spans="1:11" ht="13.95" customHeight="1">
      <c r="A725" t="s">
        <v>6535</v>
      </c>
      <c r="B725">
        <v>15</v>
      </c>
      <c r="D725">
        <v>0</v>
      </c>
      <c r="G725">
        <v>0</v>
      </c>
    </row>
    <row r="726" spans="1:11" ht="13.95" customHeight="1">
      <c r="A726" t="s">
        <v>6535</v>
      </c>
      <c r="B726">
        <v>16</v>
      </c>
      <c r="D726">
        <v>0</v>
      </c>
      <c r="G726">
        <v>0</v>
      </c>
    </row>
    <row r="727" spans="1:11" ht="13.95" customHeight="1">
      <c r="A727" t="s">
        <v>6535</v>
      </c>
      <c r="B727">
        <v>17</v>
      </c>
      <c r="E727">
        <v>0</v>
      </c>
      <c r="H727">
        <v>0</v>
      </c>
    </row>
    <row r="728" spans="1:11" ht="13.95" customHeight="1">
      <c r="A728" t="s">
        <v>6535</v>
      </c>
      <c r="B728">
        <v>18</v>
      </c>
      <c r="E728">
        <v>0</v>
      </c>
      <c r="H728">
        <v>0</v>
      </c>
    </row>
    <row r="729" spans="1:11" ht="13.95" customHeight="1">
      <c r="A729" t="s">
        <v>6535</v>
      </c>
      <c r="B729">
        <v>19</v>
      </c>
      <c r="C729">
        <v>0</v>
      </c>
      <c r="F729">
        <v>0</v>
      </c>
    </row>
    <row r="730" spans="1:11" ht="13.95" customHeight="1">
      <c r="A730" t="s">
        <v>6535</v>
      </c>
      <c r="B730">
        <v>20</v>
      </c>
      <c r="C730">
        <v>0</v>
      </c>
      <c r="F730">
        <v>0</v>
      </c>
    </row>
    <row r="731" spans="1:11" ht="13.95" customHeight="1">
      <c r="A731" t="s">
        <v>6535</v>
      </c>
      <c r="B731">
        <v>21</v>
      </c>
      <c r="D731">
        <v>0</v>
      </c>
      <c r="G731">
        <v>0</v>
      </c>
    </row>
    <row r="732" spans="1:11" ht="13.95" customHeight="1">
      <c r="A732" t="s">
        <v>6535</v>
      </c>
      <c r="B732">
        <v>22</v>
      </c>
      <c r="D732">
        <v>0</v>
      </c>
      <c r="G732">
        <v>0</v>
      </c>
    </row>
    <row r="733" spans="1:11" ht="13.95" customHeight="1">
      <c r="A733" t="s">
        <v>6535</v>
      </c>
      <c r="B733">
        <v>23</v>
      </c>
      <c r="E733">
        <v>0</v>
      </c>
      <c r="H733">
        <v>0</v>
      </c>
    </row>
    <row r="734" spans="1:11" ht="13.95" customHeight="1">
      <c r="A734" t="s">
        <v>6535</v>
      </c>
      <c r="B734">
        <v>24</v>
      </c>
      <c r="E734">
        <v>0</v>
      </c>
      <c r="H734">
        <v>0</v>
      </c>
    </row>
    <row r="735" spans="1:11" ht="13.95" customHeight="1">
      <c r="A735" t="s">
        <v>6535</v>
      </c>
      <c r="B735">
        <v>25</v>
      </c>
      <c r="C735">
        <v>0.99</v>
      </c>
      <c r="F735">
        <v>1.02</v>
      </c>
      <c r="I735">
        <v>1.0062129871279673</v>
      </c>
    </row>
    <row r="736" spans="1:11" ht="13.95" customHeight="1">
      <c r="A736" t="s">
        <v>6535</v>
      </c>
      <c r="B736">
        <v>26</v>
      </c>
      <c r="C736">
        <v>0</v>
      </c>
      <c r="F736">
        <v>0</v>
      </c>
    </row>
    <row r="737" spans="1:11" ht="13.95" customHeight="1">
      <c r="A737" t="s">
        <v>6535</v>
      </c>
      <c r="B737">
        <v>27</v>
      </c>
      <c r="D737">
        <v>0</v>
      </c>
      <c r="G737">
        <v>0</v>
      </c>
    </row>
    <row r="738" spans="1:11" ht="13.95" customHeight="1">
      <c r="A738" t="s">
        <v>6535</v>
      </c>
      <c r="B738">
        <v>28</v>
      </c>
      <c r="D738">
        <v>0</v>
      </c>
      <c r="G738">
        <v>0</v>
      </c>
    </row>
    <row r="739" spans="1:11" ht="13.95" customHeight="1">
      <c r="A739" t="s">
        <v>6535</v>
      </c>
      <c r="B739">
        <v>29</v>
      </c>
      <c r="E739">
        <v>0</v>
      </c>
      <c r="H739">
        <v>0</v>
      </c>
    </row>
    <row r="740" spans="1:11" ht="13.95" customHeight="1">
      <c r="A740" t="s">
        <v>6535</v>
      </c>
      <c r="B740">
        <v>30</v>
      </c>
      <c r="E740">
        <v>0</v>
      </c>
      <c r="H740">
        <v>0</v>
      </c>
    </row>
    <row r="741" spans="1:11" ht="13.95" customHeight="1">
      <c r="A741" t="s">
        <v>6535</v>
      </c>
      <c r="B741">
        <v>31</v>
      </c>
      <c r="C741">
        <v>0</v>
      </c>
      <c r="F741">
        <v>0</v>
      </c>
    </row>
    <row r="742" spans="1:11" ht="13.95" customHeight="1">
      <c r="A742" t="s">
        <v>6535</v>
      </c>
      <c r="B742">
        <v>32</v>
      </c>
      <c r="C742">
        <v>0</v>
      </c>
      <c r="F742">
        <v>0</v>
      </c>
    </row>
    <row r="743" spans="1:11" ht="13.95" customHeight="1">
      <c r="A743" t="s">
        <v>6535</v>
      </c>
      <c r="B743">
        <v>33</v>
      </c>
      <c r="D743">
        <v>0</v>
      </c>
      <c r="G743">
        <v>0</v>
      </c>
    </row>
    <row r="744" spans="1:11" ht="13.95" customHeight="1">
      <c r="A744" t="s">
        <v>6535</v>
      </c>
      <c r="B744">
        <v>34</v>
      </c>
      <c r="D744">
        <v>0</v>
      </c>
      <c r="G744">
        <v>0</v>
      </c>
    </row>
    <row r="745" spans="1:11" ht="13.95" customHeight="1">
      <c r="A745" t="s">
        <v>6536</v>
      </c>
      <c r="B745">
        <v>1</v>
      </c>
      <c r="C745">
        <v>0</v>
      </c>
      <c r="F745">
        <v>5.51</v>
      </c>
      <c r="I745">
        <v>3.8219173789777368</v>
      </c>
    </row>
    <row r="746" spans="1:11" ht="13.95" customHeight="1">
      <c r="A746" t="s">
        <v>6536</v>
      </c>
      <c r="B746">
        <v>2</v>
      </c>
      <c r="C746">
        <v>2.15</v>
      </c>
      <c r="F746">
        <v>14.62</v>
      </c>
      <c r="I746">
        <v>5.0341039869403268</v>
      </c>
    </row>
    <row r="747" spans="1:11" ht="13.95" customHeight="1">
      <c r="A747" t="s">
        <v>6536</v>
      </c>
      <c r="B747">
        <v>3</v>
      </c>
      <c r="D747">
        <v>0</v>
      </c>
      <c r="G747">
        <v>13.16</v>
      </c>
      <c r="J747">
        <v>5.099061658243544</v>
      </c>
    </row>
    <row r="748" spans="1:11" ht="13.95" customHeight="1">
      <c r="A748" t="s">
        <v>6536</v>
      </c>
      <c r="B748">
        <v>4</v>
      </c>
      <c r="D748">
        <v>2.92</v>
      </c>
      <c r="G748">
        <v>8.2100000000000009</v>
      </c>
      <c r="J748">
        <v>3.3774972202447162</v>
      </c>
    </row>
    <row r="749" spans="1:11" ht="13.95" customHeight="1">
      <c r="A749" t="s">
        <v>6536</v>
      </c>
      <c r="B749">
        <v>5</v>
      </c>
      <c r="E749">
        <v>0</v>
      </c>
      <c r="H749">
        <v>0</v>
      </c>
    </row>
    <row r="750" spans="1:11" ht="13.95" customHeight="1">
      <c r="A750" t="s">
        <v>6536</v>
      </c>
      <c r="B750">
        <v>6</v>
      </c>
      <c r="E750">
        <v>2.86</v>
      </c>
      <c r="H750">
        <v>3.12</v>
      </c>
      <c r="K750">
        <v>2.9508652398887332</v>
      </c>
    </row>
    <row r="751" spans="1:11" ht="13.95" customHeight="1">
      <c r="A751" t="s">
        <v>6536</v>
      </c>
      <c r="B751">
        <v>7</v>
      </c>
      <c r="C751">
        <v>2.13</v>
      </c>
      <c r="F751">
        <v>13.84</v>
      </c>
      <c r="I751">
        <v>5.1232445458081308</v>
      </c>
    </row>
    <row r="752" spans="1:11" ht="13.95" customHeight="1">
      <c r="A752" t="s">
        <v>6536</v>
      </c>
      <c r="B752">
        <v>8</v>
      </c>
      <c r="C752">
        <v>3.06</v>
      </c>
      <c r="F752">
        <v>9.06</v>
      </c>
      <c r="I752">
        <v>4.871178924314469</v>
      </c>
    </row>
    <row r="753" spans="1:11" ht="13.95" customHeight="1">
      <c r="A753" t="s">
        <v>6536</v>
      </c>
      <c r="B753">
        <v>9</v>
      </c>
      <c r="D753">
        <v>2.64</v>
      </c>
      <c r="G753">
        <v>11.43</v>
      </c>
      <c r="J753">
        <v>4.7725994952405877</v>
      </c>
    </row>
    <row r="754" spans="1:11" ht="13.95" customHeight="1">
      <c r="A754" t="s">
        <v>6536</v>
      </c>
      <c r="B754">
        <v>10</v>
      </c>
      <c r="D754">
        <v>3.98</v>
      </c>
      <c r="G754">
        <v>9.66</v>
      </c>
      <c r="J754">
        <v>4.9968672612847227</v>
      </c>
    </row>
    <row r="755" spans="1:11" ht="13.95" customHeight="1">
      <c r="A755" t="s">
        <v>6536</v>
      </c>
      <c r="B755">
        <v>11</v>
      </c>
      <c r="E755">
        <v>3.14</v>
      </c>
      <c r="H755">
        <v>9.32</v>
      </c>
      <c r="K755">
        <v>4.9827271829695459</v>
      </c>
    </row>
    <row r="756" spans="1:11" ht="13.95" customHeight="1">
      <c r="A756" t="s">
        <v>6536</v>
      </c>
      <c r="B756">
        <v>12</v>
      </c>
      <c r="E756">
        <v>3.9699999999999998</v>
      </c>
      <c r="H756">
        <v>4.1900000000000004</v>
      </c>
      <c r="K756">
        <v>4.0229013980340724</v>
      </c>
    </row>
    <row r="757" spans="1:11" ht="13.95" customHeight="1">
      <c r="A757" t="s">
        <v>6536</v>
      </c>
      <c r="B757">
        <v>13</v>
      </c>
      <c r="C757">
        <v>2.09</v>
      </c>
      <c r="F757">
        <v>12.68</v>
      </c>
      <c r="I757">
        <v>5.288951503203843</v>
      </c>
    </row>
    <row r="758" spans="1:11" ht="13.95" customHeight="1">
      <c r="A758" t="s">
        <v>6536</v>
      </c>
      <c r="B758">
        <v>14</v>
      </c>
      <c r="C758">
        <v>1.38</v>
      </c>
      <c r="F758">
        <v>1.54</v>
      </c>
      <c r="I758">
        <v>1.414496670747859</v>
      </c>
    </row>
    <row r="759" spans="1:11" ht="13.95" customHeight="1">
      <c r="A759" t="s">
        <v>6536</v>
      </c>
      <c r="B759">
        <v>15</v>
      </c>
      <c r="D759">
        <v>2.81</v>
      </c>
      <c r="G759">
        <v>9.85</v>
      </c>
      <c r="J759">
        <v>7.3880277104714631</v>
      </c>
    </row>
    <row r="760" spans="1:11" ht="13.95" customHeight="1">
      <c r="A760" t="s">
        <v>6536</v>
      </c>
      <c r="B760">
        <v>16</v>
      </c>
      <c r="D760">
        <v>4.21</v>
      </c>
      <c r="G760">
        <v>15.41</v>
      </c>
      <c r="J760">
        <v>7.0567649310531788</v>
      </c>
    </row>
    <row r="761" spans="1:11" ht="13.95" customHeight="1">
      <c r="A761" t="s">
        <v>6536</v>
      </c>
      <c r="B761">
        <v>17</v>
      </c>
      <c r="E761">
        <v>2.66</v>
      </c>
      <c r="H761">
        <v>4.43</v>
      </c>
      <c r="K761">
        <v>3.537718594186519</v>
      </c>
    </row>
    <row r="762" spans="1:11" ht="13.95" customHeight="1">
      <c r="A762" t="s">
        <v>6536</v>
      </c>
      <c r="B762">
        <v>18</v>
      </c>
      <c r="E762">
        <v>4.37</v>
      </c>
      <c r="H762">
        <v>8.9</v>
      </c>
      <c r="K762">
        <v>5.4360626249342854</v>
      </c>
    </row>
    <row r="763" spans="1:11" ht="13.95" customHeight="1">
      <c r="A763" t="s">
        <v>6536</v>
      </c>
      <c r="B763">
        <v>19</v>
      </c>
      <c r="C763">
        <v>1.7</v>
      </c>
      <c r="F763">
        <v>5.84</v>
      </c>
      <c r="I763">
        <v>3.6239474233138691</v>
      </c>
    </row>
    <row r="764" spans="1:11" ht="13.95" customHeight="1">
      <c r="A764" t="s">
        <v>6536</v>
      </c>
      <c r="B764">
        <v>20</v>
      </c>
      <c r="C764">
        <v>5.75</v>
      </c>
      <c r="F764">
        <v>11.37</v>
      </c>
      <c r="I764">
        <v>7.6374961912239803</v>
      </c>
    </row>
    <row r="765" spans="1:11" ht="13.95" customHeight="1">
      <c r="A765" t="s">
        <v>6536</v>
      </c>
      <c r="B765">
        <v>21</v>
      </c>
      <c r="D765">
        <v>0</v>
      </c>
      <c r="G765">
        <v>0</v>
      </c>
    </row>
    <row r="766" spans="1:11" ht="13.95" customHeight="1">
      <c r="A766" t="s">
        <v>6536</v>
      </c>
      <c r="B766">
        <v>22</v>
      </c>
      <c r="D766">
        <v>5.73</v>
      </c>
      <c r="G766">
        <v>11.34</v>
      </c>
      <c r="J766">
        <v>7.3997098346190988</v>
      </c>
    </row>
    <row r="767" spans="1:11" ht="13.95" customHeight="1">
      <c r="A767" t="s">
        <v>6536</v>
      </c>
      <c r="B767">
        <v>23</v>
      </c>
      <c r="E767">
        <v>0</v>
      </c>
      <c r="H767">
        <v>7.18</v>
      </c>
      <c r="K767">
        <v>3.8279098079690095</v>
      </c>
    </row>
    <row r="768" spans="1:11" ht="13.95" customHeight="1">
      <c r="A768" t="s">
        <v>6536</v>
      </c>
      <c r="B768">
        <v>24</v>
      </c>
      <c r="E768">
        <v>0</v>
      </c>
      <c r="H768">
        <v>0</v>
      </c>
    </row>
    <row r="769" spans="1:11" ht="13.95" customHeight="1">
      <c r="A769" t="s">
        <v>6537</v>
      </c>
      <c r="B769">
        <v>1</v>
      </c>
      <c r="C769">
        <v>0</v>
      </c>
      <c r="F769">
        <v>9.09</v>
      </c>
      <c r="I769">
        <v>4.773197904586814</v>
      </c>
    </row>
    <row r="770" spans="1:11" ht="13.95" customHeight="1">
      <c r="A770" t="s">
        <v>6537</v>
      </c>
      <c r="B770">
        <v>2</v>
      </c>
      <c r="C770">
        <v>2.84</v>
      </c>
      <c r="F770">
        <v>14.82</v>
      </c>
      <c r="I770">
        <v>5.2912003301532318</v>
      </c>
    </row>
    <row r="771" spans="1:11" ht="13.95" customHeight="1">
      <c r="A771" t="s">
        <v>6537</v>
      </c>
      <c r="B771">
        <v>3</v>
      </c>
      <c r="D771">
        <v>0</v>
      </c>
      <c r="G771">
        <v>9.2100000000000009</v>
      </c>
      <c r="J771">
        <v>5.0776352184262867</v>
      </c>
    </row>
    <row r="772" spans="1:11" ht="13.95" customHeight="1">
      <c r="A772" t="s">
        <v>6537</v>
      </c>
      <c r="B772">
        <v>4</v>
      </c>
      <c r="D772">
        <v>2.76</v>
      </c>
      <c r="G772">
        <v>7.9</v>
      </c>
      <c r="J772">
        <v>3.2346508185506098</v>
      </c>
    </row>
    <row r="773" spans="1:11" ht="13.95" customHeight="1">
      <c r="A773" t="s">
        <v>6537</v>
      </c>
      <c r="B773">
        <v>5</v>
      </c>
      <c r="E773">
        <v>0</v>
      </c>
      <c r="H773">
        <v>0</v>
      </c>
    </row>
    <row r="774" spans="1:11" ht="13.95" customHeight="1">
      <c r="A774" t="s">
        <v>6537</v>
      </c>
      <c r="B774">
        <v>6</v>
      </c>
      <c r="E774">
        <v>1.87</v>
      </c>
      <c r="H774">
        <v>2.04</v>
      </c>
      <c r="K774">
        <v>1.9132741881394686</v>
      </c>
    </row>
    <row r="775" spans="1:11" ht="13.95" customHeight="1">
      <c r="A775" t="s">
        <v>6537</v>
      </c>
      <c r="B775">
        <v>7</v>
      </c>
      <c r="C775">
        <v>2.87</v>
      </c>
      <c r="F775">
        <v>13.33</v>
      </c>
      <c r="I775">
        <v>5.6345811060474666</v>
      </c>
    </row>
    <row r="776" spans="1:11" ht="13.95" customHeight="1">
      <c r="A776" t="s">
        <v>6537</v>
      </c>
      <c r="B776">
        <v>8</v>
      </c>
      <c r="C776">
        <v>3.01</v>
      </c>
      <c r="F776">
        <v>8.94</v>
      </c>
      <c r="I776">
        <v>4.9603129550769571</v>
      </c>
    </row>
    <row r="777" spans="1:11" ht="13.95" customHeight="1">
      <c r="A777" t="s">
        <v>6537</v>
      </c>
      <c r="B777">
        <v>9</v>
      </c>
      <c r="D777">
        <v>2.13</v>
      </c>
      <c r="G777">
        <v>11.35</v>
      </c>
      <c r="J777">
        <v>4.6762193990684109</v>
      </c>
    </row>
    <row r="778" spans="1:11" ht="13.95" customHeight="1">
      <c r="A778" t="s">
        <v>6537</v>
      </c>
      <c r="B778">
        <v>10</v>
      </c>
      <c r="D778">
        <v>3.91</v>
      </c>
      <c r="G778">
        <v>9.75</v>
      </c>
      <c r="J778">
        <v>4.8953388897653323</v>
      </c>
    </row>
    <row r="779" spans="1:11" ht="13.95" customHeight="1">
      <c r="A779" t="s">
        <v>6537</v>
      </c>
      <c r="B779">
        <v>11</v>
      </c>
      <c r="E779">
        <v>2.5499999999999998</v>
      </c>
      <c r="H779">
        <v>8.91</v>
      </c>
      <c r="K779">
        <v>4.4129759991641135</v>
      </c>
    </row>
    <row r="780" spans="1:11" ht="13.95" customHeight="1">
      <c r="A780" t="s">
        <v>6537</v>
      </c>
      <c r="B780">
        <v>12</v>
      </c>
      <c r="E780">
        <v>3.87</v>
      </c>
      <c r="H780">
        <v>4.09</v>
      </c>
      <c r="K780">
        <v>3.9192578584029216</v>
      </c>
    </row>
    <row r="781" spans="1:11" ht="13.95" customHeight="1">
      <c r="A781" t="s">
        <v>6537</v>
      </c>
      <c r="B781">
        <v>13</v>
      </c>
      <c r="C781">
        <v>1.8399999999999999</v>
      </c>
      <c r="F781">
        <v>11.84</v>
      </c>
      <c r="I781">
        <v>4.8989503955722666</v>
      </c>
    </row>
    <row r="782" spans="1:11" ht="13.95" customHeight="1">
      <c r="A782" t="s">
        <v>6537</v>
      </c>
      <c r="B782">
        <v>14</v>
      </c>
      <c r="C782">
        <v>1.23</v>
      </c>
      <c r="F782">
        <v>1.4</v>
      </c>
      <c r="I782">
        <v>1.2730782272791958</v>
      </c>
    </row>
    <row r="783" spans="1:11" ht="13.95" customHeight="1">
      <c r="A783" t="s">
        <v>6537</v>
      </c>
      <c r="B783">
        <v>15</v>
      </c>
      <c r="D783">
        <v>4.0599999999999996</v>
      </c>
      <c r="G783">
        <v>10.77</v>
      </c>
      <c r="J783">
        <v>8.5277719839598287</v>
      </c>
    </row>
    <row r="784" spans="1:11" ht="13.95" customHeight="1">
      <c r="A784" t="s">
        <v>6537</v>
      </c>
      <c r="B784">
        <v>16</v>
      </c>
      <c r="D784">
        <v>4.29</v>
      </c>
      <c r="G784">
        <v>15.74</v>
      </c>
      <c r="J784">
        <v>7.1355379615866656</v>
      </c>
    </row>
    <row r="785" spans="1:11" ht="13.95" customHeight="1">
      <c r="A785" t="s">
        <v>6537</v>
      </c>
      <c r="B785">
        <v>17</v>
      </c>
      <c r="E785">
        <v>2.99</v>
      </c>
      <c r="H785">
        <v>4.75</v>
      </c>
      <c r="K785">
        <v>3.9088396583561709</v>
      </c>
    </row>
    <row r="786" spans="1:11" ht="13.95" customHeight="1">
      <c r="A786" t="s">
        <v>6537</v>
      </c>
      <c r="B786">
        <v>18</v>
      </c>
      <c r="E786">
        <v>4.22</v>
      </c>
      <c r="H786">
        <v>9.1199999999999992</v>
      </c>
      <c r="K786">
        <v>5.2466784215763616</v>
      </c>
    </row>
    <row r="787" spans="1:11" ht="13.95" customHeight="1">
      <c r="A787" t="s">
        <v>6537</v>
      </c>
      <c r="B787">
        <v>19</v>
      </c>
      <c r="C787">
        <v>1.77</v>
      </c>
      <c r="F787">
        <v>5.5600000000000005</v>
      </c>
      <c r="I787">
        <v>3.9374543058681875</v>
      </c>
    </row>
    <row r="788" spans="1:11" ht="13.95" customHeight="1">
      <c r="A788" t="s">
        <v>6537</v>
      </c>
      <c r="B788">
        <v>20</v>
      </c>
      <c r="C788">
        <v>0.86</v>
      </c>
      <c r="F788">
        <v>7.25</v>
      </c>
      <c r="I788">
        <v>1.9545468386615399</v>
      </c>
    </row>
    <row r="789" spans="1:11" ht="13.95" customHeight="1">
      <c r="A789" t="s">
        <v>6537</v>
      </c>
      <c r="B789">
        <v>21</v>
      </c>
      <c r="D789">
        <v>0</v>
      </c>
      <c r="G789">
        <v>0</v>
      </c>
    </row>
    <row r="790" spans="1:11" ht="13.95" customHeight="1">
      <c r="A790" t="s">
        <v>6537</v>
      </c>
      <c r="B790">
        <v>22</v>
      </c>
      <c r="D790">
        <v>0.57999999999999996</v>
      </c>
      <c r="G790">
        <v>4.97</v>
      </c>
      <c r="J790">
        <v>0.81603038369274183</v>
      </c>
    </row>
    <row r="791" spans="1:11" ht="13.95" customHeight="1">
      <c r="A791" t="s">
        <v>6537</v>
      </c>
      <c r="B791">
        <v>23</v>
      </c>
      <c r="E791">
        <v>0</v>
      </c>
      <c r="H791">
        <v>7.23</v>
      </c>
      <c r="K791">
        <v>3.9444731064749394</v>
      </c>
    </row>
    <row r="792" spans="1:11" ht="13.95" customHeight="1">
      <c r="A792" t="s">
        <v>6537</v>
      </c>
      <c r="B792">
        <v>24</v>
      </c>
      <c r="E792">
        <v>0</v>
      </c>
      <c r="H792">
        <v>0</v>
      </c>
    </row>
    <row r="793" spans="1:11" ht="13.95" customHeight="1">
      <c r="A793" t="s">
        <v>6538</v>
      </c>
      <c r="B793">
        <v>1</v>
      </c>
      <c r="C793">
        <v>0</v>
      </c>
      <c r="F793">
        <v>10.039999999999999</v>
      </c>
      <c r="I793">
        <v>6.5373988278709465</v>
      </c>
    </row>
    <row r="794" spans="1:11" ht="13.95" customHeight="1">
      <c r="A794" t="s">
        <v>6538</v>
      </c>
      <c r="B794">
        <v>2</v>
      </c>
      <c r="C794">
        <v>2.44</v>
      </c>
      <c r="F794">
        <v>11.88</v>
      </c>
      <c r="I794">
        <v>3.9047204021987341</v>
      </c>
    </row>
    <row r="795" spans="1:11" ht="13.95" customHeight="1">
      <c r="A795" t="s">
        <v>6538</v>
      </c>
      <c r="B795">
        <v>3</v>
      </c>
      <c r="D795">
        <v>0</v>
      </c>
      <c r="G795">
        <v>17.25</v>
      </c>
      <c r="J795">
        <v>6.5560803341852516</v>
      </c>
    </row>
    <row r="796" spans="1:11" ht="13.95" customHeight="1">
      <c r="A796" t="s">
        <v>6538</v>
      </c>
      <c r="B796">
        <v>4</v>
      </c>
      <c r="D796">
        <v>2.11</v>
      </c>
      <c r="G796">
        <v>4.97</v>
      </c>
      <c r="J796">
        <v>3.5720184176689393</v>
      </c>
    </row>
    <row r="797" spans="1:11" ht="13.95" customHeight="1">
      <c r="A797" t="s">
        <v>6538</v>
      </c>
      <c r="B797">
        <v>5</v>
      </c>
      <c r="E797">
        <v>0</v>
      </c>
      <c r="H797">
        <v>2.35</v>
      </c>
      <c r="K797">
        <v>2.1205992204168971</v>
      </c>
    </row>
    <row r="798" spans="1:11" ht="13.95" customHeight="1">
      <c r="A798" t="s">
        <v>6538</v>
      </c>
      <c r="B798">
        <v>6</v>
      </c>
      <c r="E798">
        <v>2.59</v>
      </c>
      <c r="H798">
        <v>4.92</v>
      </c>
      <c r="K798">
        <v>4.1487378864781936</v>
      </c>
    </row>
    <row r="799" spans="1:11" ht="13.95" customHeight="1">
      <c r="A799" t="s">
        <v>6538</v>
      </c>
      <c r="B799">
        <v>7</v>
      </c>
      <c r="C799">
        <v>2.4300000000000002</v>
      </c>
      <c r="F799">
        <v>7.76</v>
      </c>
      <c r="I799">
        <v>3.4639372167796401</v>
      </c>
    </row>
    <row r="800" spans="1:11" ht="13.95" customHeight="1">
      <c r="A800" t="s">
        <v>6538</v>
      </c>
      <c r="B800">
        <v>8</v>
      </c>
      <c r="C800">
        <v>4.42</v>
      </c>
      <c r="F800">
        <v>6.36</v>
      </c>
      <c r="I800">
        <v>5.2111338520996844</v>
      </c>
    </row>
    <row r="801" spans="1:11" ht="13.95" customHeight="1">
      <c r="A801" t="s">
        <v>6538</v>
      </c>
      <c r="B801">
        <v>9</v>
      </c>
      <c r="D801">
        <v>2.4300000000000002</v>
      </c>
      <c r="G801">
        <v>14.84</v>
      </c>
      <c r="J801">
        <v>7.8704302006725904</v>
      </c>
    </row>
    <row r="802" spans="1:11" ht="13.95" customHeight="1">
      <c r="A802" t="s">
        <v>6538</v>
      </c>
      <c r="B802">
        <v>10</v>
      </c>
      <c r="D802">
        <v>4.1500000000000004</v>
      </c>
      <c r="G802">
        <v>11.69</v>
      </c>
      <c r="J802">
        <v>6.8737702431370487</v>
      </c>
    </row>
    <row r="803" spans="1:11" ht="13.95" customHeight="1">
      <c r="A803" t="s">
        <v>6538</v>
      </c>
      <c r="B803">
        <v>11</v>
      </c>
      <c r="E803">
        <v>2.35</v>
      </c>
      <c r="H803">
        <v>8.51</v>
      </c>
      <c r="K803">
        <v>4.0264839047567618</v>
      </c>
    </row>
    <row r="804" spans="1:11" ht="13.95" customHeight="1">
      <c r="A804" t="s">
        <v>6538</v>
      </c>
      <c r="B804">
        <v>12</v>
      </c>
      <c r="E804">
        <v>0.51</v>
      </c>
      <c r="H804">
        <v>3.19</v>
      </c>
      <c r="K804">
        <v>1.3316198228114824</v>
      </c>
    </row>
    <row r="805" spans="1:11" ht="13.95" customHeight="1">
      <c r="A805" t="s">
        <v>6538</v>
      </c>
      <c r="B805">
        <v>13</v>
      </c>
      <c r="C805">
        <v>2.69</v>
      </c>
      <c r="F805">
        <v>13.78</v>
      </c>
      <c r="I805">
        <v>5.8356842109098555</v>
      </c>
    </row>
    <row r="806" spans="1:11" ht="13.95" customHeight="1">
      <c r="A806" t="s">
        <v>6538</v>
      </c>
      <c r="B806">
        <v>14</v>
      </c>
      <c r="C806">
        <v>1.8199999999999998</v>
      </c>
      <c r="F806">
        <v>2.4</v>
      </c>
      <c r="I806">
        <v>1.9254681644784224</v>
      </c>
    </row>
    <row r="807" spans="1:11" ht="13.95" customHeight="1">
      <c r="A807" t="s">
        <v>6538</v>
      </c>
      <c r="B807">
        <v>15</v>
      </c>
      <c r="D807">
        <v>2.91</v>
      </c>
      <c r="G807">
        <v>5.16</v>
      </c>
      <c r="J807">
        <v>3.2555944120830089</v>
      </c>
    </row>
    <row r="808" spans="1:11" ht="13.95" customHeight="1">
      <c r="A808" t="s">
        <v>6538</v>
      </c>
      <c r="B808">
        <v>16</v>
      </c>
      <c r="D808">
        <v>3.86</v>
      </c>
      <c r="G808">
        <v>13.91</v>
      </c>
      <c r="J808">
        <v>7.4419511587555496</v>
      </c>
    </row>
    <row r="809" spans="1:11" ht="13.95" customHeight="1">
      <c r="A809" t="s">
        <v>6538</v>
      </c>
      <c r="B809">
        <v>17</v>
      </c>
      <c r="E809">
        <v>3.13</v>
      </c>
      <c r="H809">
        <v>5.25</v>
      </c>
      <c r="K809">
        <v>3.7153449476271865</v>
      </c>
    </row>
    <row r="810" spans="1:11" ht="13.95" customHeight="1">
      <c r="A810" t="s">
        <v>6538</v>
      </c>
      <c r="B810">
        <v>18</v>
      </c>
      <c r="E810">
        <v>3.08</v>
      </c>
      <c r="H810">
        <v>7.7</v>
      </c>
      <c r="K810">
        <v>4.8568388091272414</v>
      </c>
    </row>
    <row r="811" spans="1:11" ht="13.95" customHeight="1">
      <c r="A811" t="s">
        <v>6538</v>
      </c>
      <c r="B811">
        <v>19</v>
      </c>
      <c r="C811">
        <v>2.19</v>
      </c>
      <c r="F811">
        <v>5.84</v>
      </c>
      <c r="I811">
        <v>3.4919113922630758</v>
      </c>
    </row>
    <row r="812" spans="1:11" ht="13.95" customHeight="1">
      <c r="A812" t="s">
        <v>6538</v>
      </c>
      <c r="B812">
        <v>20</v>
      </c>
      <c r="C812">
        <v>4.84</v>
      </c>
      <c r="F812">
        <v>10.42</v>
      </c>
      <c r="I812">
        <v>7.3501291063185565</v>
      </c>
    </row>
    <row r="813" spans="1:11" ht="13.95" customHeight="1">
      <c r="A813" t="s">
        <v>6538</v>
      </c>
      <c r="B813">
        <v>21</v>
      </c>
      <c r="D813">
        <v>0</v>
      </c>
      <c r="G813">
        <v>0</v>
      </c>
    </row>
    <row r="814" spans="1:11" ht="13.95" customHeight="1">
      <c r="A814" t="s">
        <v>6538</v>
      </c>
      <c r="B814">
        <v>22</v>
      </c>
      <c r="D814">
        <v>5.3</v>
      </c>
      <c r="G814">
        <v>7.83</v>
      </c>
      <c r="J814">
        <v>6.4607801709516597</v>
      </c>
    </row>
    <row r="815" spans="1:11" ht="13.95" customHeight="1">
      <c r="A815" t="s">
        <v>6538</v>
      </c>
      <c r="B815">
        <v>23</v>
      </c>
      <c r="E815">
        <v>0</v>
      </c>
      <c r="H815">
        <v>9.6</v>
      </c>
      <c r="K815">
        <v>3.8098168336859324</v>
      </c>
    </row>
    <row r="816" spans="1:11" ht="13.95" customHeight="1">
      <c r="A816" t="s">
        <v>6538</v>
      </c>
      <c r="B816">
        <v>24</v>
      </c>
      <c r="E816">
        <v>0</v>
      </c>
      <c r="H816">
        <v>0</v>
      </c>
    </row>
    <row r="817" spans="1:11" ht="13.95" customHeight="1">
      <c r="A817" t="s">
        <v>6539</v>
      </c>
      <c r="B817">
        <v>1</v>
      </c>
      <c r="C817">
        <v>0</v>
      </c>
      <c r="F817">
        <v>10.050000000000001</v>
      </c>
      <c r="I817">
        <v>6.722259429909375</v>
      </c>
    </row>
    <row r="818" spans="1:11" ht="13.95" customHeight="1">
      <c r="A818" t="s">
        <v>6539</v>
      </c>
      <c r="B818">
        <v>2</v>
      </c>
      <c r="C818">
        <v>2.42</v>
      </c>
      <c r="F818">
        <v>11.47</v>
      </c>
      <c r="I818">
        <v>3.820755326023284</v>
      </c>
    </row>
    <row r="819" spans="1:11" ht="13.95" customHeight="1">
      <c r="A819" t="s">
        <v>6539</v>
      </c>
      <c r="B819">
        <v>3</v>
      </c>
      <c r="D819">
        <v>0</v>
      </c>
      <c r="G819">
        <v>9.48</v>
      </c>
      <c r="J819">
        <v>6.663943386256646</v>
      </c>
    </row>
    <row r="820" spans="1:11" ht="13.95" customHeight="1">
      <c r="A820" t="s">
        <v>6539</v>
      </c>
      <c r="B820">
        <v>4</v>
      </c>
      <c r="D820">
        <v>2.25</v>
      </c>
      <c r="G820">
        <v>4.84</v>
      </c>
      <c r="J820">
        <v>3.4720886005017371</v>
      </c>
    </row>
    <row r="821" spans="1:11" ht="13.95" customHeight="1">
      <c r="A821" t="s">
        <v>6539</v>
      </c>
      <c r="B821">
        <v>5</v>
      </c>
      <c r="E821">
        <v>0</v>
      </c>
      <c r="H821">
        <v>2.37</v>
      </c>
      <c r="K821">
        <v>2.0292675852677267</v>
      </c>
    </row>
    <row r="822" spans="1:11" ht="13.95" customHeight="1">
      <c r="A822" t="s">
        <v>6539</v>
      </c>
      <c r="B822">
        <v>6</v>
      </c>
      <c r="E822">
        <v>1.65</v>
      </c>
      <c r="H822">
        <v>3.92</v>
      </c>
      <c r="K822">
        <v>2.2973448345415215</v>
      </c>
    </row>
    <row r="823" spans="1:11" ht="13.95" customHeight="1">
      <c r="A823" t="s">
        <v>6539</v>
      </c>
      <c r="B823">
        <v>7</v>
      </c>
      <c r="C823">
        <v>2.4300000000000002</v>
      </c>
      <c r="F823">
        <v>7.67</v>
      </c>
      <c r="I823">
        <v>3.345306329736085</v>
      </c>
    </row>
    <row r="824" spans="1:11" ht="13.95" customHeight="1">
      <c r="A824" t="s">
        <v>6539</v>
      </c>
      <c r="B824">
        <v>8</v>
      </c>
      <c r="C824">
        <v>4.3099999999999996</v>
      </c>
      <c r="F824">
        <v>7.64</v>
      </c>
      <c r="I824">
        <v>5.5707085408377974</v>
      </c>
    </row>
    <row r="825" spans="1:11" ht="13.95" customHeight="1">
      <c r="A825" t="s">
        <v>6539</v>
      </c>
      <c r="B825">
        <v>9</v>
      </c>
      <c r="D825">
        <v>2.44</v>
      </c>
      <c r="G825">
        <v>14.4</v>
      </c>
      <c r="J825">
        <v>7.7327795610543895</v>
      </c>
    </row>
    <row r="826" spans="1:11" ht="13.95" customHeight="1">
      <c r="A826" t="s">
        <v>6539</v>
      </c>
      <c r="B826">
        <v>10</v>
      </c>
      <c r="D826">
        <v>4.42</v>
      </c>
      <c r="G826">
        <v>12.01</v>
      </c>
      <c r="J826">
        <v>7.161755140217414</v>
      </c>
    </row>
    <row r="827" spans="1:11" ht="13.95" customHeight="1">
      <c r="A827" t="s">
        <v>6539</v>
      </c>
      <c r="B827">
        <v>11</v>
      </c>
      <c r="E827">
        <v>2.52</v>
      </c>
      <c r="H827">
        <v>8.59</v>
      </c>
      <c r="K827">
        <v>4.2641556086153054</v>
      </c>
    </row>
    <row r="828" spans="1:11" ht="13.95" customHeight="1">
      <c r="A828" t="s">
        <v>6539</v>
      </c>
      <c r="B828">
        <v>12</v>
      </c>
      <c r="E828">
        <v>0.57999999999999996</v>
      </c>
      <c r="H828">
        <v>3.26</v>
      </c>
      <c r="K828">
        <v>1.4059020614070135</v>
      </c>
    </row>
    <row r="829" spans="1:11" ht="13.95" customHeight="1">
      <c r="A829" t="s">
        <v>6539</v>
      </c>
      <c r="B829">
        <v>13</v>
      </c>
      <c r="C829">
        <v>2.2400000000000002</v>
      </c>
      <c r="F829">
        <v>13.17</v>
      </c>
      <c r="I829">
        <v>5.3669380981633426</v>
      </c>
    </row>
    <row r="830" spans="1:11" ht="13.95" customHeight="1">
      <c r="A830" t="s">
        <v>6539</v>
      </c>
      <c r="B830">
        <v>14</v>
      </c>
      <c r="C830">
        <v>1.8399999999999999</v>
      </c>
      <c r="F830">
        <v>2.4699999999999998</v>
      </c>
      <c r="I830">
        <v>1.954160264931279</v>
      </c>
    </row>
    <row r="831" spans="1:11" ht="13.95" customHeight="1">
      <c r="A831" t="s">
        <v>6539</v>
      </c>
      <c r="B831">
        <v>15</v>
      </c>
      <c r="D831">
        <v>3.67</v>
      </c>
      <c r="G831">
        <v>5.85</v>
      </c>
      <c r="J831">
        <v>3.9881792067102722</v>
      </c>
    </row>
    <row r="832" spans="1:11" ht="13.95" customHeight="1">
      <c r="A832" t="s">
        <v>6539</v>
      </c>
      <c r="B832">
        <v>16</v>
      </c>
      <c r="D832">
        <v>4.03</v>
      </c>
      <c r="G832">
        <v>13.68</v>
      </c>
      <c r="J832">
        <v>7.7510477219042135</v>
      </c>
    </row>
    <row r="833" spans="1:11" ht="13.95" customHeight="1">
      <c r="A833" t="s">
        <v>6539</v>
      </c>
      <c r="B833">
        <v>17</v>
      </c>
      <c r="E833">
        <v>2.82</v>
      </c>
      <c r="H833">
        <v>5.4</v>
      </c>
      <c r="K833">
        <v>3.7630907018988515</v>
      </c>
    </row>
    <row r="834" spans="1:11" ht="13.95" customHeight="1">
      <c r="A834" t="s">
        <v>6539</v>
      </c>
      <c r="B834">
        <v>18</v>
      </c>
      <c r="E834">
        <v>2.4699999999999998</v>
      </c>
      <c r="H834">
        <v>8.01</v>
      </c>
      <c r="K834">
        <v>4.5989441594269689</v>
      </c>
    </row>
    <row r="835" spans="1:11" ht="13.95" customHeight="1">
      <c r="A835" t="s">
        <v>6539</v>
      </c>
      <c r="B835">
        <v>19</v>
      </c>
      <c r="C835">
        <v>3.32</v>
      </c>
      <c r="F835">
        <v>5.92</v>
      </c>
      <c r="I835">
        <v>3.9448050969699637</v>
      </c>
    </row>
    <row r="836" spans="1:11" ht="13.95" customHeight="1">
      <c r="A836" t="s">
        <v>6539</v>
      </c>
      <c r="B836">
        <v>20</v>
      </c>
      <c r="C836">
        <v>0.59</v>
      </c>
      <c r="F836">
        <v>7.54</v>
      </c>
      <c r="I836">
        <v>1.7462913681206482</v>
      </c>
    </row>
    <row r="837" spans="1:11" ht="13.95" customHeight="1">
      <c r="A837" t="s">
        <v>6539</v>
      </c>
      <c r="B837">
        <v>21</v>
      </c>
      <c r="D837">
        <v>0</v>
      </c>
      <c r="G837">
        <v>0</v>
      </c>
    </row>
    <row r="838" spans="1:11" ht="13.95" customHeight="1">
      <c r="A838" t="s">
        <v>6539</v>
      </c>
      <c r="B838">
        <v>22</v>
      </c>
      <c r="D838">
        <v>0.59</v>
      </c>
      <c r="G838">
        <v>3.7800000000000002</v>
      </c>
      <c r="J838">
        <v>0.71106150936598322</v>
      </c>
    </row>
    <row r="839" spans="1:11" ht="13.95" customHeight="1">
      <c r="A839" t="s">
        <v>6539</v>
      </c>
      <c r="B839">
        <v>23</v>
      </c>
      <c r="E839">
        <v>0</v>
      </c>
      <c r="H839">
        <v>13.45</v>
      </c>
      <c r="K839">
        <v>4.8647167611087996</v>
      </c>
    </row>
    <row r="840" spans="1:11" ht="13.95" customHeight="1">
      <c r="A840" t="s">
        <v>6539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3830" t="s">
        <v>8717</v>
      </c>
      <c r="B1" s="3830" t="s">
        <v>8718</v>
      </c>
      <c r="C1" s="3830" t="s">
        <v>8719</v>
      </c>
      <c r="D1" s="3830"/>
      <c r="E1" s="3830"/>
      <c r="F1" s="3830" t="s">
        <v>8720</v>
      </c>
      <c r="G1" s="3830"/>
      <c r="H1" s="3830"/>
      <c r="I1" s="3830" t="s">
        <v>8721</v>
      </c>
      <c r="J1" s="3830"/>
      <c r="K1" s="3830"/>
    </row>
    <row r="2" spans="1:11" ht="17.399999999999999">
      <c r="A2" s="3830"/>
      <c r="B2" s="3830"/>
      <c r="C2" s="2588" t="s">
        <v>4141</v>
      </c>
      <c r="D2" s="2588" t="s">
        <v>4142</v>
      </c>
      <c r="E2" s="2588" t="s">
        <v>4143</v>
      </c>
      <c r="F2" s="2588" t="s">
        <v>4141</v>
      </c>
      <c r="G2" s="2588" t="s">
        <v>4142</v>
      </c>
      <c r="H2" s="2588" t="s">
        <v>4143</v>
      </c>
      <c r="I2" s="2588" t="s">
        <v>4141</v>
      </c>
      <c r="J2" s="2588" t="s">
        <v>4142</v>
      </c>
      <c r="K2" s="2588" t="s">
        <v>4143</v>
      </c>
    </row>
    <row r="3" spans="1:11">
      <c r="A3" t="s">
        <v>6506</v>
      </c>
      <c r="B3">
        <v>1</v>
      </c>
      <c r="C3">
        <v>0.64</v>
      </c>
      <c r="D3">
        <v>0.55000000000000004</v>
      </c>
      <c r="E3">
        <v>0.79</v>
      </c>
      <c r="F3">
        <v>0.89</v>
      </c>
      <c r="G3">
        <v>0.71</v>
      </c>
      <c r="H3">
        <v>1.07</v>
      </c>
      <c r="I3">
        <v>0.81258021353575471</v>
      </c>
      <c r="J3">
        <v>0.65765937527858653</v>
      </c>
      <c r="K3">
        <v>0.98351946314828875</v>
      </c>
    </row>
    <row r="4" spans="1:11" ht="13.95" customHeight="1">
      <c r="A4" t="s">
        <v>6506</v>
      </c>
      <c r="B4">
        <v>2</v>
      </c>
      <c r="C4">
        <v>34.76</v>
      </c>
      <c r="F4">
        <v>35.35</v>
      </c>
      <c r="I4">
        <v>35.123797999351943</v>
      </c>
    </row>
    <row r="5" spans="1:11" ht="13.95" customHeight="1">
      <c r="A5" t="s">
        <v>6506</v>
      </c>
      <c r="B5">
        <v>3</v>
      </c>
      <c r="D5">
        <v>32.01</v>
      </c>
      <c r="G5">
        <v>33.03</v>
      </c>
      <c r="J5">
        <v>32.453603100253581</v>
      </c>
    </row>
    <row r="6" spans="1:11" ht="13.95" customHeight="1">
      <c r="A6" t="s">
        <v>6506</v>
      </c>
      <c r="B6">
        <v>4</v>
      </c>
      <c r="E6">
        <v>35.26</v>
      </c>
      <c r="H6">
        <v>36.28</v>
      </c>
      <c r="K6">
        <v>35.894050316547165</v>
      </c>
    </row>
    <row r="7" spans="1:11" ht="13.95" customHeight="1">
      <c r="A7" t="s">
        <v>6506</v>
      </c>
      <c r="B7">
        <v>5</v>
      </c>
      <c r="C7">
        <v>35.630000000000003</v>
      </c>
      <c r="F7">
        <v>42.07</v>
      </c>
      <c r="I7">
        <v>40.550416984927338</v>
      </c>
    </row>
    <row r="8" spans="1:11" ht="13.95" customHeight="1">
      <c r="A8" t="s">
        <v>6506</v>
      </c>
      <c r="B8">
        <v>6</v>
      </c>
      <c r="D8">
        <v>11.52</v>
      </c>
      <c r="G8">
        <v>13.43</v>
      </c>
      <c r="J8">
        <v>12.26991079043764</v>
      </c>
    </row>
    <row r="9" spans="1:11" ht="13.95" customHeight="1">
      <c r="A9" t="s">
        <v>6506</v>
      </c>
      <c r="B9">
        <v>7</v>
      </c>
      <c r="E9">
        <v>28.35</v>
      </c>
      <c r="H9">
        <v>30.18</v>
      </c>
      <c r="K9">
        <v>29.025108755804577</v>
      </c>
    </row>
    <row r="10" spans="1:11" ht="13.95" customHeight="1">
      <c r="A10" t="s">
        <v>6506</v>
      </c>
      <c r="B10">
        <v>8</v>
      </c>
      <c r="C10">
        <v>0</v>
      </c>
      <c r="F10">
        <v>0</v>
      </c>
    </row>
    <row r="11" spans="1:11" ht="13.95" customHeight="1">
      <c r="A11" t="s">
        <v>6506</v>
      </c>
      <c r="B11">
        <v>9</v>
      </c>
      <c r="D11">
        <v>0</v>
      </c>
      <c r="G11">
        <v>0</v>
      </c>
    </row>
    <row r="12" spans="1:11" ht="13.95" customHeight="1">
      <c r="A12" t="s">
        <v>6507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95" customHeight="1">
      <c r="A13" t="s">
        <v>6507</v>
      </c>
      <c r="B13">
        <v>2</v>
      </c>
      <c r="C13">
        <v>38.53</v>
      </c>
      <c r="F13">
        <v>40.03</v>
      </c>
      <c r="I13">
        <v>39.435236245558251</v>
      </c>
    </row>
    <row r="14" spans="1:11" ht="13.95" customHeight="1">
      <c r="A14" t="s">
        <v>6507</v>
      </c>
      <c r="B14">
        <v>3</v>
      </c>
      <c r="D14">
        <v>27.68</v>
      </c>
      <c r="G14">
        <v>28.68</v>
      </c>
      <c r="J14">
        <v>28.193915464961371</v>
      </c>
    </row>
    <row r="15" spans="1:11" ht="13.95" customHeight="1">
      <c r="A15" t="s">
        <v>6507</v>
      </c>
      <c r="B15">
        <v>4</v>
      </c>
      <c r="E15">
        <v>0</v>
      </c>
      <c r="H15">
        <v>0</v>
      </c>
    </row>
    <row r="16" spans="1:11" ht="13.95" customHeight="1">
      <c r="A16" t="s">
        <v>6507</v>
      </c>
      <c r="B16">
        <v>5</v>
      </c>
      <c r="C16">
        <v>9.6199999999999992</v>
      </c>
      <c r="F16">
        <v>10.02</v>
      </c>
      <c r="I16">
        <v>9.8120829610517539</v>
      </c>
    </row>
    <row r="17" spans="1:11" ht="13.95" customHeight="1">
      <c r="A17" t="s">
        <v>6507</v>
      </c>
      <c r="B17">
        <v>6</v>
      </c>
      <c r="D17">
        <v>13.73</v>
      </c>
      <c r="G17">
        <v>15.33</v>
      </c>
      <c r="J17">
        <v>14.426753218749552</v>
      </c>
    </row>
    <row r="18" spans="1:11" ht="13.95" customHeight="1">
      <c r="A18" t="s">
        <v>6507</v>
      </c>
      <c r="B18">
        <v>7</v>
      </c>
      <c r="E18">
        <v>20.64</v>
      </c>
      <c r="H18">
        <v>22.75</v>
      </c>
      <c r="K18">
        <v>21.588904247311696</v>
      </c>
    </row>
    <row r="19" spans="1:11" ht="13.95" customHeight="1">
      <c r="A19" t="s">
        <v>6507</v>
      </c>
      <c r="B19">
        <v>8</v>
      </c>
      <c r="C19">
        <v>21.17</v>
      </c>
      <c r="F19">
        <v>23.68</v>
      </c>
      <c r="I19">
        <v>22.365613183682324</v>
      </c>
    </row>
    <row r="20" spans="1:11" ht="13.95" customHeight="1">
      <c r="A20" t="s">
        <v>6507</v>
      </c>
      <c r="B20">
        <v>9</v>
      </c>
      <c r="D20">
        <v>0</v>
      </c>
      <c r="G20">
        <v>0</v>
      </c>
    </row>
    <row r="21" spans="1:11" ht="13.95" customHeight="1">
      <c r="A21" t="s">
        <v>6508</v>
      </c>
      <c r="B21">
        <v>1</v>
      </c>
      <c r="C21">
        <v>9.89</v>
      </c>
      <c r="F21">
        <v>11.98</v>
      </c>
      <c r="I21">
        <v>10.579549843542107</v>
      </c>
    </row>
    <row r="22" spans="1:11" ht="13.95" customHeight="1">
      <c r="A22" t="s">
        <v>6508</v>
      </c>
      <c r="B22">
        <v>2</v>
      </c>
      <c r="D22">
        <v>0</v>
      </c>
      <c r="G22">
        <v>0</v>
      </c>
    </row>
    <row r="23" spans="1:11" ht="13.95" customHeight="1">
      <c r="A23" t="s">
        <v>6508</v>
      </c>
      <c r="B23">
        <v>3</v>
      </c>
      <c r="E23">
        <v>8.86</v>
      </c>
      <c r="H23">
        <v>9.14</v>
      </c>
      <c r="K23">
        <v>8.9390094684596821</v>
      </c>
    </row>
    <row r="24" spans="1:11" ht="13.95" customHeight="1">
      <c r="A24" t="s">
        <v>6508</v>
      </c>
      <c r="B24">
        <v>4</v>
      </c>
      <c r="C24">
        <v>6.83</v>
      </c>
      <c r="F24">
        <v>7.57</v>
      </c>
      <c r="I24">
        <v>6.9178206459703837</v>
      </c>
    </row>
    <row r="25" spans="1:11" ht="13.95" customHeight="1">
      <c r="A25" t="s">
        <v>6508</v>
      </c>
      <c r="B25">
        <v>5</v>
      </c>
      <c r="D25">
        <v>0</v>
      </c>
      <c r="G25">
        <v>0</v>
      </c>
    </row>
    <row r="26" spans="1:11" ht="13.95" customHeight="1">
      <c r="A26" t="s">
        <v>6508</v>
      </c>
      <c r="B26">
        <v>6</v>
      </c>
      <c r="E26">
        <v>0</v>
      </c>
      <c r="H26">
        <v>0</v>
      </c>
    </row>
    <row r="27" spans="1:11" ht="13.95" customHeight="1">
      <c r="A27" t="s">
        <v>6508</v>
      </c>
      <c r="B27">
        <v>7</v>
      </c>
      <c r="C27">
        <v>8.07</v>
      </c>
      <c r="F27">
        <v>8.65</v>
      </c>
      <c r="I27">
        <v>8.1989380586514038</v>
      </c>
    </row>
    <row r="28" spans="1:11" ht="13.95" customHeight="1">
      <c r="A28" t="s">
        <v>6508</v>
      </c>
      <c r="B28">
        <v>8</v>
      </c>
      <c r="D28">
        <v>13.64</v>
      </c>
      <c r="G28">
        <v>15.06</v>
      </c>
      <c r="J28">
        <v>14.000851890958302</v>
      </c>
    </row>
    <row r="29" spans="1:11" ht="13.95" customHeight="1">
      <c r="A29" t="s">
        <v>6508</v>
      </c>
      <c r="B29">
        <v>9</v>
      </c>
      <c r="E29">
        <v>0</v>
      </c>
      <c r="H29">
        <v>0</v>
      </c>
    </row>
    <row r="30" spans="1:11" ht="13.95" customHeight="1">
      <c r="A30" t="s">
        <v>6508</v>
      </c>
      <c r="B30">
        <v>10</v>
      </c>
      <c r="C30">
        <v>37.74</v>
      </c>
      <c r="F30">
        <v>39.32</v>
      </c>
      <c r="I30">
        <v>38.390952111068763</v>
      </c>
    </row>
    <row r="31" spans="1:11" ht="13.95" customHeight="1">
      <c r="A31" t="s">
        <v>6508</v>
      </c>
      <c r="B31">
        <v>11</v>
      </c>
      <c r="D31">
        <v>0</v>
      </c>
      <c r="G31">
        <v>0</v>
      </c>
    </row>
    <row r="32" spans="1:11" ht="13.95" customHeight="1">
      <c r="A32" t="s">
        <v>6508</v>
      </c>
      <c r="B32">
        <v>12</v>
      </c>
      <c r="E32">
        <v>0</v>
      </c>
      <c r="H32">
        <v>0</v>
      </c>
    </row>
    <row r="33" spans="1:11" ht="13.95" customHeight="1">
      <c r="A33" t="s">
        <v>6509</v>
      </c>
      <c r="B33">
        <v>1</v>
      </c>
      <c r="C33">
        <v>22.13</v>
      </c>
      <c r="F33">
        <v>24.86</v>
      </c>
      <c r="I33">
        <v>22.848984809768154</v>
      </c>
    </row>
    <row r="34" spans="1:11" ht="13.95" customHeight="1">
      <c r="A34" t="s">
        <v>6509</v>
      </c>
      <c r="B34">
        <v>2</v>
      </c>
      <c r="D34">
        <v>32.65</v>
      </c>
      <c r="G34">
        <v>35.229999999999997</v>
      </c>
      <c r="J34">
        <v>33.292204035950363</v>
      </c>
    </row>
    <row r="35" spans="1:11" ht="13.95" customHeight="1">
      <c r="A35" t="s">
        <v>6509</v>
      </c>
      <c r="B35">
        <v>3</v>
      </c>
      <c r="E35">
        <v>5.29</v>
      </c>
      <c r="H35">
        <v>5.59</v>
      </c>
      <c r="K35">
        <v>5.3890276747567327</v>
      </c>
    </row>
    <row r="36" spans="1:11" ht="13.95" customHeight="1">
      <c r="A36" t="s">
        <v>6509</v>
      </c>
      <c r="B36">
        <v>4</v>
      </c>
      <c r="C36">
        <v>9.2899999999999991</v>
      </c>
      <c r="F36">
        <v>9.9700000000000006</v>
      </c>
      <c r="I36">
        <v>9.4764818599094038</v>
      </c>
    </row>
    <row r="37" spans="1:11" ht="13.95" customHeight="1">
      <c r="A37" t="s">
        <v>6509</v>
      </c>
      <c r="B37">
        <v>5</v>
      </c>
      <c r="D37">
        <v>7.34</v>
      </c>
      <c r="G37">
        <v>7.96</v>
      </c>
      <c r="J37">
        <v>7.4156375125905507</v>
      </c>
    </row>
    <row r="38" spans="1:11" ht="13.95" customHeight="1">
      <c r="A38" t="s">
        <v>6509</v>
      </c>
      <c r="B38">
        <v>6</v>
      </c>
      <c r="E38">
        <v>10.72</v>
      </c>
      <c r="H38">
        <v>13.35</v>
      </c>
      <c r="K38">
        <v>12.016159416708657</v>
      </c>
    </row>
    <row r="39" spans="1:11" ht="13.95" customHeight="1">
      <c r="A39" t="s">
        <v>6509</v>
      </c>
      <c r="B39">
        <v>7</v>
      </c>
      <c r="C39">
        <v>12.97</v>
      </c>
      <c r="F39">
        <v>13.11</v>
      </c>
      <c r="I39">
        <v>13.02966962640018</v>
      </c>
    </row>
    <row r="40" spans="1:11" ht="13.95" customHeight="1">
      <c r="A40" t="s">
        <v>6509</v>
      </c>
      <c r="B40">
        <v>8</v>
      </c>
      <c r="D40">
        <v>24.34</v>
      </c>
      <c r="G40">
        <v>34.54</v>
      </c>
      <c r="J40">
        <v>27.290510605881128</v>
      </c>
    </row>
    <row r="41" spans="1:11" ht="13.95" customHeight="1">
      <c r="A41" t="s">
        <v>6509</v>
      </c>
      <c r="B41">
        <v>9</v>
      </c>
      <c r="E41">
        <v>0</v>
      </c>
      <c r="H41">
        <v>0</v>
      </c>
    </row>
    <row r="42" spans="1:11" ht="13.95" customHeight="1">
      <c r="A42" t="s">
        <v>6509</v>
      </c>
      <c r="B42">
        <v>10</v>
      </c>
      <c r="C42">
        <v>0</v>
      </c>
      <c r="F42">
        <v>0</v>
      </c>
    </row>
    <row r="43" spans="1:11" ht="13.95" customHeight="1">
      <c r="A43" t="s">
        <v>6509</v>
      </c>
      <c r="B43">
        <v>11</v>
      </c>
      <c r="D43">
        <v>0</v>
      </c>
      <c r="G43">
        <v>0</v>
      </c>
    </row>
    <row r="44" spans="1:11" ht="13.95" customHeight="1">
      <c r="A44" t="s">
        <v>6509</v>
      </c>
      <c r="B44">
        <v>12</v>
      </c>
      <c r="E44">
        <v>0</v>
      </c>
      <c r="H44">
        <v>0</v>
      </c>
    </row>
    <row r="45" spans="1:11" ht="13.95" customHeight="1">
      <c r="A45" t="s">
        <v>6510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95" customHeight="1">
      <c r="A46" t="s">
        <v>6510</v>
      </c>
      <c r="B46">
        <v>2</v>
      </c>
      <c r="C46">
        <v>29.04</v>
      </c>
      <c r="D46">
        <v>26.36</v>
      </c>
      <c r="E46">
        <v>28.06</v>
      </c>
      <c r="F46">
        <v>32.53</v>
      </c>
      <c r="G46">
        <v>29.99</v>
      </c>
      <c r="H46">
        <v>31.41</v>
      </c>
      <c r="I46">
        <v>30.605465931953763</v>
      </c>
      <c r="J46">
        <v>28.005182196911878</v>
      </c>
      <c r="K46">
        <v>29.511825415367369</v>
      </c>
    </row>
    <row r="47" spans="1:11" ht="13.95" customHeight="1">
      <c r="A47" t="s">
        <v>6510</v>
      </c>
      <c r="B47">
        <v>3</v>
      </c>
      <c r="C47">
        <v>2.94</v>
      </c>
      <c r="D47">
        <v>2.65</v>
      </c>
      <c r="E47">
        <v>3.21</v>
      </c>
      <c r="F47">
        <v>28.29</v>
      </c>
      <c r="G47">
        <v>27.65</v>
      </c>
      <c r="H47">
        <v>27.26</v>
      </c>
      <c r="I47">
        <v>15.288716765046544</v>
      </c>
      <c r="J47">
        <v>15.006032109125686</v>
      </c>
      <c r="K47">
        <v>14.659001679573484</v>
      </c>
    </row>
    <row r="48" spans="1:11" ht="13.95" customHeight="1">
      <c r="A48" t="s">
        <v>6511</v>
      </c>
      <c r="B48">
        <v>1</v>
      </c>
      <c r="C48">
        <v>1.25</v>
      </c>
      <c r="D48">
        <v>1</v>
      </c>
      <c r="E48">
        <v>1.45</v>
      </c>
      <c r="F48">
        <v>1.45</v>
      </c>
      <c r="G48">
        <v>1.1400000000000001</v>
      </c>
      <c r="H48">
        <v>1.65</v>
      </c>
      <c r="I48">
        <v>1.3353597706327813</v>
      </c>
      <c r="J48">
        <v>1.0495615782755618</v>
      </c>
      <c r="K48">
        <v>1.530533610434692</v>
      </c>
    </row>
    <row r="49" spans="1:11" ht="13.95" customHeight="1">
      <c r="A49" t="s">
        <v>6511</v>
      </c>
      <c r="B49">
        <v>2</v>
      </c>
      <c r="C49">
        <v>37.090000000000003</v>
      </c>
      <c r="F49">
        <v>37.81</v>
      </c>
      <c r="I49">
        <v>37.416822660522101</v>
      </c>
    </row>
    <row r="50" spans="1:11" ht="13.95" customHeight="1">
      <c r="A50" t="s">
        <v>6511</v>
      </c>
      <c r="B50">
        <v>3</v>
      </c>
      <c r="D50">
        <v>33.51</v>
      </c>
      <c r="G50">
        <v>34.93</v>
      </c>
      <c r="J50">
        <v>34.228668104023164</v>
      </c>
    </row>
    <row r="51" spans="1:11" ht="13.95" customHeight="1">
      <c r="A51" t="s">
        <v>6511</v>
      </c>
      <c r="B51">
        <v>4</v>
      </c>
      <c r="E51">
        <v>36.619999999999997</v>
      </c>
      <c r="H51">
        <v>37.61</v>
      </c>
      <c r="K51">
        <v>37.155698504598092</v>
      </c>
    </row>
    <row r="52" spans="1:11" ht="13.95" customHeight="1">
      <c r="A52" t="s">
        <v>6511</v>
      </c>
      <c r="B52">
        <v>5</v>
      </c>
      <c r="C52">
        <v>35.799999999999997</v>
      </c>
      <c r="F52">
        <v>42.35</v>
      </c>
      <c r="I52">
        <v>41.059504115926664</v>
      </c>
    </row>
    <row r="53" spans="1:11" ht="13.95" customHeight="1">
      <c r="A53" t="s">
        <v>6511</v>
      </c>
      <c r="B53">
        <v>6</v>
      </c>
      <c r="D53">
        <v>23</v>
      </c>
      <c r="G53">
        <v>25.04</v>
      </c>
      <c r="J53">
        <v>23.790832409003098</v>
      </c>
    </row>
    <row r="54" spans="1:11" ht="13.95" customHeight="1">
      <c r="A54" t="s">
        <v>6511</v>
      </c>
      <c r="B54">
        <v>7</v>
      </c>
      <c r="E54">
        <v>12.38</v>
      </c>
      <c r="H54">
        <v>13.27</v>
      </c>
      <c r="K54">
        <v>12.555711806006379</v>
      </c>
    </row>
    <row r="55" spans="1:11" ht="13.95" customHeight="1">
      <c r="A55" t="s">
        <v>6511</v>
      </c>
      <c r="B55">
        <v>8</v>
      </c>
      <c r="C55">
        <v>0</v>
      </c>
      <c r="F55">
        <v>0</v>
      </c>
    </row>
    <row r="56" spans="1:11" ht="13.95" customHeight="1">
      <c r="A56" t="s">
        <v>6511</v>
      </c>
      <c r="B56">
        <v>9</v>
      </c>
      <c r="D56">
        <v>0</v>
      </c>
      <c r="G56">
        <v>0</v>
      </c>
    </row>
    <row r="57" spans="1:11" ht="13.95" customHeight="1">
      <c r="A57" t="s">
        <v>6512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95" customHeight="1">
      <c r="A58" t="s">
        <v>6512</v>
      </c>
      <c r="B58">
        <v>2</v>
      </c>
      <c r="C58">
        <v>31.78</v>
      </c>
      <c r="F58">
        <v>33.479999999999997</v>
      </c>
      <c r="I58">
        <v>32.196759763022428</v>
      </c>
    </row>
    <row r="59" spans="1:11" ht="13.95" customHeight="1">
      <c r="A59" t="s">
        <v>6512</v>
      </c>
      <c r="B59">
        <v>3</v>
      </c>
      <c r="D59">
        <v>27.75</v>
      </c>
      <c r="G59">
        <v>28.39</v>
      </c>
      <c r="J59">
        <v>28.077009807419458</v>
      </c>
    </row>
    <row r="60" spans="1:11" ht="13.95" customHeight="1">
      <c r="A60" t="s">
        <v>6512</v>
      </c>
      <c r="B60">
        <v>4</v>
      </c>
      <c r="E60">
        <v>0</v>
      </c>
      <c r="H60">
        <v>0</v>
      </c>
    </row>
    <row r="61" spans="1:11" ht="13.95" customHeight="1">
      <c r="A61" t="s">
        <v>6512</v>
      </c>
      <c r="B61">
        <v>5</v>
      </c>
      <c r="C61">
        <v>6.28</v>
      </c>
      <c r="F61">
        <v>6.7</v>
      </c>
      <c r="I61">
        <v>6.4563675703259147</v>
      </c>
    </row>
    <row r="62" spans="1:11" ht="13.95" customHeight="1">
      <c r="A62" t="s">
        <v>6512</v>
      </c>
      <c r="B62">
        <v>6</v>
      </c>
      <c r="D62">
        <v>9.81</v>
      </c>
      <c r="G62">
        <v>10.79</v>
      </c>
      <c r="J62">
        <v>10.277521570985932</v>
      </c>
    </row>
    <row r="63" spans="1:11" ht="13.95" customHeight="1">
      <c r="A63" t="s">
        <v>6512</v>
      </c>
      <c r="B63">
        <v>7</v>
      </c>
      <c r="E63">
        <v>27.72</v>
      </c>
      <c r="H63">
        <v>30.73</v>
      </c>
      <c r="K63">
        <v>28.816860546471965</v>
      </c>
    </row>
    <row r="64" spans="1:11" ht="13.95" customHeight="1">
      <c r="A64" t="s">
        <v>6512</v>
      </c>
      <c r="B64">
        <v>8</v>
      </c>
      <c r="C64">
        <v>17.47</v>
      </c>
      <c r="F64">
        <v>19.920000000000002</v>
      </c>
      <c r="I64">
        <v>18.481394385227542</v>
      </c>
    </row>
    <row r="65" spans="1:11" ht="13.95" customHeight="1">
      <c r="A65" t="s">
        <v>6512</v>
      </c>
      <c r="B65">
        <v>9</v>
      </c>
      <c r="D65">
        <v>0</v>
      </c>
      <c r="G65">
        <v>0</v>
      </c>
    </row>
    <row r="66" spans="1:11" ht="13.95" customHeight="1">
      <c r="A66" t="s">
        <v>6513</v>
      </c>
      <c r="B66">
        <v>1</v>
      </c>
      <c r="C66">
        <v>8.3800000000000008</v>
      </c>
      <c r="F66">
        <v>9.82</v>
      </c>
      <c r="I66">
        <v>8.9999479395326958</v>
      </c>
    </row>
    <row r="67" spans="1:11" ht="13.95" customHeight="1">
      <c r="A67" t="s">
        <v>6513</v>
      </c>
      <c r="B67">
        <v>2</v>
      </c>
      <c r="D67">
        <v>0</v>
      </c>
      <c r="G67">
        <v>0</v>
      </c>
    </row>
    <row r="68" spans="1:11" ht="13.95" customHeight="1">
      <c r="A68" t="s">
        <v>6513</v>
      </c>
      <c r="B68">
        <v>3</v>
      </c>
      <c r="E68">
        <v>7.66</v>
      </c>
      <c r="H68">
        <v>7.77</v>
      </c>
      <c r="K68">
        <v>7.7166178191024724</v>
      </c>
    </row>
    <row r="69" spans="1:11" ht="13.95" customHeight="1">
      <c r="A69" t="s">
        <v>6513</v>
      </c>
      <c r="B69">
        <v>4</v>
      </c>
      <c r="C69">
        <v>7.14</v>
      </c>
      <c r="F69">
        <v>7.49</v>
      </c>
      <c r="I69">
        <v>7.2118840753374567</v>
      </c>
    </row>
    <row r="70" spans="1:11" ht="13.95" customHeight="1">
      <c r="A70" t="s">
        <v>6513</v>
      </c>
      <c r="B70">
        <v>5</v>
      </c>
      <c r="D70">
        <v>0</v>
      </c>
      <c r="G70">
        <v>0</v>
      </c>
    </row>
    <row r="71" spans="1:11" ht="13.95" customHeight="1">
      <c r="A71" t="s">
        <v>6513</v>
      </c>
      <c r="B71">
        <v>6</v>
      </c>
      <c r="E71">
        <v>12.54</v>
      </c>
      <c r="H71">
        <v>13.19</v>
      </c>
      <c r="K71">
        <v>12.861502697120752</v>
      </c>
    </row>
    <row r="72" spans="1:11" ht="13.95" customHeight="1">
      <c r="A72" t="s">
        <v>6513</v>
      </c>
      <c r="B72">
        <v>7</v>
      </c>
      <c r="C72">
        <v>6.52</v>
      </c>
      <c r="F72">
        <v>7.14</v>
      </c>
      <c r="I72">
        <v>6.6732216849112334</v>
      </c>
    </row>
    <row r="73" spans="1:11" ht="13.95" customHeight="1">
      <c r="A73" t="s">
        <v>6513</v>
      </c>
      <c r="B73">
        <v>8</v>
      </c>
      <c r="D73">
        <v>12.6</v>
      </c>
      <c r="G73">
        <v>13.84</v>
      </c>
      <c r="J73">
        <v>13.236199006025595</v>
      </c>
    </row>
    <row r="74" spans="1:11" ht="13.95" customHeight="1">
      <c r="A74" t="s">
        <v>6513</v>
      </c>
      <c r="B74">
        <v>9</v>
      </c>
      <c r="E74">
        <v>0</v>
      </c>
      <c r="H74">
        <v>0</v>
      </c>
    </row>
    <row r="75" spans="1:11" ht="13.95" customHeight="1">
      <c r="A75" t="s">
        <v>6513</v>
      </c>
      <c r="B75">
        <v>10</v>
      </c>
      <c r="C75">
        <v>31.55</v>
      </c>
      <c r="F75">
        <v>33.479999999999997</v>
      </c>
      <c r="I75">
        <v>31.920548973884557</v>
      </c>
    </row>
    <row r="76" spans="1:11" ht="13.95" customHeight="1">
      <c r="A76" t="s">
        <v>6513</v>
      </c>
      <c r="B76">
        <v>11</v>
      </c>
      <c r="D76">
        <v>0</v>
      </c>
      <c r="G76">
        <v>0</v>
      </c>
    </row>
    <row r="77" spans="1:11" ht="13.95" customHeight="1">
      <c r="A77" t="s">
        <v>6513</v>
      </c>
      <c r="B77">
        <v>12</v>
      </c>
      <c r="E77">
        <v>0</v>
      </c>
      <c r="H77">
        <v>0</v>
      </c>
    </row>
    <row r="78" spans="1:11" ht="13.95" customHeight="1">
      <c r="A78" t="s">
        <v>6514</v>
      </c>
      <c r="B78">
        <v>1</v>
      </c>
      <c r="C78">
        <v>20.09</v>
      </c>
      <c r="F78">
        <v>22.07</v>
      </c>
      <c r="I78">
        <v>20.543573975435553</v>
      </c>
    </row>
    <row r="79" spans="1:11" ht="13.95" customHeight="1">
      <c r="A79" t="s">
        <v>6514</v>
      </c>
      <c r="B79">
        <v>2</v>
      </c>
      <c r="D79">
        <v>32.880000000000003</v>
      </c>
      <c r="G79">
        <v>35.520000000000003</v>
      </c>
      <c r="J79">
        <v>33.58008236793944</v>
      </c>
    </row>
    <row r="80" spans="1:11" ht="13.95" customHeight="1">
      <c r="A80" t="s">
        <v>6514</v>
      </c>
      <c r="B80">
        <v>3</v>
      </c>
      <c r="E80">
        <v>5.19</v>
      </c>
      <c r="H80">
        <v>5.52</v>
      </c>
      <c r="K80">
        <v>5.2875749616125036</v>
      </c>
    </row>
    <row r="81" spans="1:11" ht="13.95" customHeight="1">
      <c r="A81" t="s">
        <v>6514</v>
      </c>
      <c r="B81">
        <v>4</v>
      </c>
      <c r="C81">
        <v>10.119999999999999</v>
      </c>
      <c r="F81">
        <v>10.9</v>
      </c>
      <c r="I81">
        <v>10.362030431576024</v>
      </c>
    </row>
    <row r="82" spans="1:11" ht="13.95" customHeight="1">
      <c r="A82" t="s">
        <v>6514</v>
      </c>
      <c r="B82">
        <v>5</v>
      </c>
      <c r="D82">
        <v>5.95</v>
      </c>
      <c r="G82">
        <v>6.58</v>
      </c>
      <c r="J82">
        <v>5.9983034401830526</v>
      </c>
    </row>
    <row r="83" spans="1:11" ht="13.95" customHeight="1">
      <c r="A83" t="s">
        <v>6514</v>
      </c>
      <c r="B83">
        <v>6</v>
      </c>
      <c r="E83">
        <v>14.83</v>
      </c>
      <c r="H83">
        <v>17.43</v>
      </c>
      <c r="K83">
        <v>15.958598084731264</v>
      </c>
    </row>
    <row r="84" spans="1:11" ht="13.95" customHeight="1">
      <c r="A84" t="s">
        <v>6514</v>
      </c>
      <c r="B84">
        <v>7</v>
      </c>
      <c r="C84">
        <v>13.73</v>
      </c>
      <c r="F84">
        <v>13.9</v>
      </c>
      <c r="I84">
        <v>13.809094358016063</v>
      </c>
    </row>
    <row r="85" spans="1:11" ht="13.95" customHeight="1">
      <c r="A85" t="s">
        <v>6514</v>
      </c>
      <c r="B85">
        <v>8</v>
      </c>
      <c r="D85">
        <v>30.26</v>
      </c>
      <c r="G85">
        <v>37.25</v>
      </c>
      <c r="J85">
        <v>33.917271821155126</v>
      </c>
    </row>
    <row r="86" spans="1:11" ht="13.95" customHeight="1">
      <c r="A86" t="s">
        <v>6514</v>
      </c>
      <c r="B86">
        <v>9</v>
      </c>
      <c r="E86">
        <v>0</v>
      </c>
      <c r="H86">
        <v>0</v>
      </c>
    </row>
    <row r="87" spans="1:11" ht="13.95" customHeight="1">
      <c r="A87" t="s">
        <v>6514</v>
      </c>
      <c r="B87">
        <v>10</v>
      </c>
      <c r="C87">
        <v>0</v>
      </c>
      <c r="F87">
        <v>0</v>
      </c>
    </row>
    <row r="88" spans="1:11" ht="13.95" customHeight="1">
      <c r="A88" t="s">
        <v>6514</v>
      </c>
      <c r="B88">
        <v>11</v>
      </c>
      <c r="D88">
        <v>0</v>
      </c>
      <c r="G88">
        <v>0</v>
      </c>
    </row>
    <row r="89" spans="1:11" ht="13.95" customHeight="1">
      <c r="A89" t="s">
        <v>6514</v>
      </c>
      <c r="B89">
        <v>12</v>
      </c>
      <c r="E89">
        <v>0</v>
      </c>
      <c r="H89">
        <v>0</v>
      </c>
    </row>
    <row r="90" spans="1:11" ht="13.95" customHeight="1">
      <c r="A90" t="s">
        <v>6515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95" customHeight="1">
      <c r="A91" t="s">
        <v>6515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95" customHeight="1">
      <c r="A92" t="s">
        <v>6515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69921875" customWidth="1"/>
    <col min="3" max="3" width="17.69921875" bestFit="1" customWidth="1"/>
    <col min="4" max="4" width="17.3984375" bestFit="1" customWidth="1"/>
  </cols>
  <sheetData>
    <row r="1" spans="1:4">
      <c r="A1" s="3815" t="s">
        <v>6634</v>
      </c>
      <c r="B1" s="3815" t="s">
        <v>8496</v>
      </c>
    </row>
    <row r="2" spans="1:4">
      <c r="A2" s="3815"/>
      <c r="B2" s="3815"/>
    </row>
    <row r="3" spans="1:4">
      <c r="A3" s="2542" t="s">
        <v>6645</v>
      </c>
      <c r="B3" s="2541" t="s">
        <v>8497</v>
      </c>
    </row>
    <row r="4" spans="1:4">
      <c r="A4" t="s">
        <v>6646</v>
      </c>
      <c r="B4" s="2541" t="s">
        <v>8499</v>
      </c>
    </row>
    <row r="5" spans="1:4">
      <c r="A5" t="s">
        <v>6647</v>
      </c>
      <c r="B5" s="2541" t="s">
        <v>8500</v>
      </c>
    </row>
    <row r="6" spans="1:4">
      <c r="A6" t="s">
        <v>6648</v>
      </c>
      <c r="B6" s="2541" t="s">
        <v>8501</v>
      </c>
    </row>
    <row r="7" spans="1:4">
      <c r="A7" t="s">
        <v>6649</v>
      </c>
      <c r="B7" s="2541" t="s">
        <v>8502</v>
      </c>
    </row>
    <row r="8" spans="1:4">
      <c r="A8" t="s">
        <v>6650</v>
      </c>
      <c r="B8" s="2541" t="s">
        <v>8503</v>
      </c>
    </row>
    <row r="9" spans="1:4">
      <c r="A9" t="s">
        <v>6651</v>
      </c>
      <c r="B9" s="2541" t="s">
        <v>8504</v>
      </c>
    </row>
    <row r="10" spans="1:4">
      <c r="A10" t="s">
        <v>6652</v>
      </c>
      <c r="B10" s="2541" t="s">
        <v>8505</v>
      </c>
    </row>
    <row r="11" spans="1:4">
      <c r="A11" t="s">
        <v>6653</v>
      </c>
      <c r="B11" s="2541" t="s">
        <v>8506</v>
      </c>
    </row>
    <row r="12" spans="1:4">
      <c r="A12" s="2542" t="s">
        <v>6654</v>
      </c>
      <c r="B12" s="2541" t="s">
        <v>8621</v>
      </c>
      <c r="C12" s="2567" t="s">
        <v>8623</v>
      </c>
      <c r="D12" s="2567" t="s">
        <v>8625</v>
      </c>
    </row>
    <row r="13" spans="1:4">
      <c r="A13" t="s">
        <v>6655</v>
      </c>
      <c r="B13" s="2541" t="s">
        <v>8499</v>
      </c>
    </row>
    <row r="14" spans="1:4">
      <c r="A14" t="s">
        <v>6656</v>
      </c>
      <c r="B14" s="2541" t="s">
        <v>8500</v>
      </c>
    </row>
    <row r="15" spans="1:4">
      <c r="A15" t="s">
        <v>6657</v>
      </c>
      <c r="B15" s="2541" t="s">
        <v>8501</v>
      </c>
    </row>
    <row r="16" spans="1:4">
      <c r="A16" t="s">
        <v>6658</v>
      </c>
      <c r="B16" s="2541" t="s">
        <v>8502</v>
      </c>
    </row>
    <row r="17" spans="1:4">
      <c r="A17" t="s">
        <v>6659</v>
      </c>
      <c r="B17" s="2541" t="s">
        <v>8503</v>
      </c>
    </row>
    <row r="18" spans="1:4">
      <c r="A18" t="s">
        <v>6660</v>
      </c>
      <c r="B18" s="2541" t="s">
        <v>8504</v>
      </c>
    </row>
    <row r="19" spans="1:4">
      <c r="A19" t="s">
        <v>6661</v>
      </c>
      <c r="B19" s="2541" t="s">
        <v>8505</v>
      </c>
    </row>
    <row r="20" spans="1:4">
      <c r="A20" t="s">
        <v>6662</v>
      </c>
      <c r="B20" s="2541" t="s">
        <v>8506</v>
      </c>
    </row>
    <row r="21" spans="1:4">
      <c r="A21" s="2542" t="s">
        <v>6663</v>
      </c>
      <c r="B21" s="2541" t="s">
        <v>8621</v>
      </c>
      <c r="C21" s="2567" t="s">
        <v>8623</v>
      </c>
      <c r="D21" s="2567" t="s">
        <v>8625</v>
      </c>
    </row>
    <row r="22" spans="1:4">
      <c r="A22" t="s">
        <v>6664</v>
      </c>
      <c r="B22" s="2541" t="s">
        <v>8499</v>
      </c>
    </row>
    <row r="23" spans="1:4">
      <c r="A23" t="s">
        <v>6665</v>
      </c>
      <c r="B23" s="2541" t="s">
        <v>8500</v>
      </c>
    </row>
    <row r="24" spans="1:4">
      <c r="A24" t="s">
        <v>6666</v>
      </c>
      <c r="B24" s="2541" t="s">
        <v>8501</v>
      </c>
    </row>
    <row r="25" spans="1:4">
      <c r="A25" t="s">
        <v>6667</v>
      </c>
      <c r="B25" s="2541" t="s">
        <v>8502</v>
      </c>
    </row>
    <row r="26" spans="1:4">
      <c r="A26" t="s">
        <v>6668</v>
      </c>
      <c r="B26" s="2541" t="s">
        <v>8503</v>
      </c>
    </row>
    <row r="27" spans="1:4">
      <c r="A27" t="s">
        <v>6669</v>
      </c>
      <c r="B27" s="2541" t="s">
        <v>8504</v>
      </c>
    </row>
    <row r="28" spans="1:4">
      <c r="A28" t="s">
        <v>6670</v>
      </c>
      <c r="B28" s="2541" t="s">
        <v>8505</v>
      </c>
    </row>
    <row r="29" spans="1:4">
      <c r="A29" t="s">
        <v>6671</v>
      </c>
      <c r="B29" s="2541" t="s">
        <v>8506</v>
      </c>
    </row>
    <row r="30" spans="1:4">
      <c r="A30" s="2542" t="s">
        <v>6672</v>
      </c>
      <c r="B30" s="2541" t="s">
        <v>8621</v>
      </c>
      <c r="C30" s="2567" t="s">
        <v>8623</v>
      </c>
      <c r="D30" s="2567" t="s">
        <v>8625</v>
      </c>
    </row>
    <row r="31" spans="1:4">
      <c r="A31" t="s">
        <v>6673</v>
      </c>
      <c r="B31" s="2541" t="s">
        <v>8499</v>
      </c>
    </row>
    <row r="32" spans="1:4">
      <c r="A32" t="s">
        <v>6674</v>
      </c>
      <c r="B32" s="2541" t="s">
        <v>8500</v>
      </c>
    </row>
    <row r="33" spans="1:2">
      <c r="A33" t="s">
        <v>6675</v>
      </c>
      <c r="B33" s="2541" t="s">
        <v>8501</v>
      </c>
    </row>
    <row r="34" spans="1:2">
      <c r="A34" t="s">
        <v>6676</v>
      </c>
      <c r="B34" s="2541" t="s">
        <v>8502</v>
      </c>
    </row>
    <row r="35" spans="1:2">
      <c r="A35" t="s">
        <v>6677</v>
      </c>
      <c r="B35" s="2541" t="s">
        <v>8503</v>
      </c>
    </row>
    <row r="36" spans="1:2">
      <c r="A36" t="s">
        <v>6678</v>
      </c>
      <c r="B36" s="2541" t="s">
        <v>8504</v>
      </c>
    </row>
    <row r="37" spans="1:2">
      <c r="A37" t="s">
        <v>6679</v>
      </c>
      <c r="B37" s="2541" t="s">
        <v>8505</v>
      </c>
    </row>
    <row r="38" spans="1:2">
      <c r="A38" t="s">
        <v>6680</v>
      </c>
      <c r="B38" s="2541" t="s">
        <v>8506</v>
      </c>
    </row>
    <row r="39" spans="1:2">
      <c r="A39" s="2542" t="s">
        <v>6681</v>
      </c>
      <c r="B39" s="2541" t="s">
        <v>8497</v>
      </c>
    </row>
    <row r="40" spans="1:2">
      <c r="A40" t="s">
        <v>6682</v>
      </c>
      <c r="B40" s="2541" t="s">
        <v>8499</v>
      </c>
    </row>
    <row r="41" spans="1:2">
      <c r="A41" t="s">
        <v>6683</v>
      </c>
      <c r="B41" s="2541" t="s">
        <v>8500</v>
      </c>
    </row>
    <row r="42" spans="1:2">
      <c r="A42" t="s">
        <v>6684</v>
      </c>
      <c r="B42" s="2541" t="s">
        <v>8501</v>
      </c>
    </row>
    <row r="43" spans="1:2">
      <c r="A43" t="s">
        <v>6685</v>
      </c>
      <c r="B43" s="2541" t="s">
        <v>8502</v>
      </c>
    </row>
    <row r="44" spans="1:2">
      <c r="A44" t="s">
        <v>6686</v>
      </c>
      <c r="B44" s="2541" t="s">
        <v>8503</v>
      </c>
    </row>
    <row r="45" spans="1:2">
      <c r="A45" t="s">
        <v>6687</v>
      </c>
      <c r="B45" s="2541" t="s">
        <v>8504</v>
      </c>
    </row>
    <row r="46" spans="1:2">
      <c r="A46" t="s">
        <v>6688</v>
      </c>
      <c r="B46" s="2541" t="s">
        <v>8505</v>
      </c>
    </row>
    <row r="47" spans="1:2">
      <c r="A47" t="s">
        <v>6689</v>
      </c>
      <c r="B47" s="2541" t="s">
        <v>8506</v>
      </c>
    </row>
    <row r="48" spans="1:2">
      <c r="A48" t="s">
        <v>6636</v>
      </c>
      <c r="B48" s="2541" t="s">
        <v>8507</v>
      </c>
    </row>
    <row r="49" spans="1:2">
      <c r="A49" t="s">
        <v>6637</v>
      </c>
      <c r="B49" s="2541" t="s">
        <v>8508</v>
      </c>
    </row>
    <row r="50" spans="1:2">
      <c r="A50" t="s">
        <v>6638</v>
      </c>
      <c r="B50" s="2541" t="s">
        <v>8509</v>
      </c>
    </row>
    <row r="51" spans="1:2">
      <c r="A51" s="2542" t="s">
        <v>6690</v>
      </c>
      <c r="B51" s="2541" t="s">
        <v>8497</v>
      </c>
    </row>
    <row r="52" spans="1:2">
      <c r="A52" t="s">
        <v>6691</v>
      </c>
      <c r="B52" s="2541" t="s">
        <v>8499</v>
      </c>
    </row>
    <row r="53" spans="1:2">
      <c r="A53" t="s">
        <v>6692</v>
      </c>
      <c r="B53" s="2541" t="s">
        <v>8500</v>
      </c>
    </row>
    <row r="54" spans="1:2">
      <c r="A54" t="s">
        <v>6693</v>
      </c>
      <c r="B54" s="2541" t="s">
        <v>8501</v>
      </c>
    </row>
    <row r="55" spans="1:2">
      <c r="A55" t="s">
        <v>6694</v>
      </c>
      <c r="B55" s="2541" t="s">
        <v>8502</v>
      </c>
    </row>
    <row r="56" spans="1:2">
      <c r="A56" t="s">
        <v>6695</v>
      </c>
      <c r="B56" s="2541" t="s">
        <v>8503</v>
      </c>
    </row>
    <row r="57" spans="1:2">
      <c r="A57" t="s">
        <v>6696</v>
      </c>
      <c r="B57" s="2541" t="s">
        <v>8504</v>
      </c>
    </row>
    <row r="58" spans="1:2">
      <c r="A58" t="s">
        <v>6697</v>
      </c>
      <c r="B58" s="2541" t="s">
        <v>8505</v>
      </c>
    </row>
    <row r="59" spans="1:2">
      <c r="A59" t="s">
        <v>6698</v>
      </c>
      <c r="B59" s="2541" t="s">
        <v>8506</v>
      </c>
    </row>
    <row r="60" spans="1:2">
      <c r="A60" t="s">
        <v>6639</v>
      </c>
      <c r="B60" s="2541" t="s">
        <v>8507</v>
      </c>
    </row>
    <row r="61" spans="1:2">
      <c r="A61" t="s">
        <v>6640</v>
      </c>
      <c r="B61" s="2541" t="s">
        <v>8508</v>
      </c>
    </row>
    <row r="62" spans="1:2">
      <c r="A62" t="s">
        <v>6641</v>
      </c>
      <c r="B62" s="2541" t="s">
        <v>8509</v>
      </c>
    </row>
    <row r="63" spans="1:2">
      <c r="A63" s="2542" t="s">
        <v>6699</v>
      </c>
      <c r="B63" s="2541" t="s">
        <v>8497</v>
      </c>
    </row>
    <row r="64" spans="1:2">
      <c r="A64" t="s">
        <v>6700</v>
      </c>
      <c r="B64" s="2541" t="s">
        <v>8499</v>
      </c>
    </row>
    <row r="65" spans="1:2">
      <c r="A65" t="s">
        <v>6701</v>
      </c>
      <c r="B65" s="2541" t="s">
        <v>8500</v>
      </c>
    </row>
    <row r="66" spans="1:2">
      <c r="A66" t="s">
        <v>6702</v>
      </c>
      <c r="B66" s="2541" t="s">
        <v>8501</v>
      </c>
    </row>
    <row r="67" spans="1:2">
      <c r="A67" t="s">
        <v>6703</v>
      </c>
      <c r="B67" s="2541" t="s">
        <v>8502</v>
      </c>
    </row>
    <row r="68" spans="1:2">
      <c r="A68" t="s">
        <v>6704</v>
      </c>
      <c r="B68" s="2541" t="s">
        <v>8503</v>
      </c>
    </row>
    <row r="69" spans="1:2">
      <c r="A69" t="s">
        <v>6705</v>
      </c>
      <c r="B69" s="2541" t="s">
        <v>8504</v>
      </c>
    </row>
    <row r="70" spans="1:2">
      <c r="A70" t="s">
        <v>6706</v>
      </c>
      <c r="B70" s="2541" t="s">
        <v>8505</v>
      </c>
    </row>
    <row r="71" spans="1:2">
      <c r="A71" t="s">
        <v>6707</v>
      </c>
      <c r="B71" s="2541" t="s">
        <v>8506</v>
      </c>
    </row>
    <row r="72" spans="1:2">
      <c r="A72" t="s">
        <v>6642</v>
      </c>
      <c r="B72" s="2541" t="s">
        <v>8507</v>
      </c>
    </row>
    <row r="73" spans="1:2">
      <c r="A73" t="s">
        <v>6643</v>
      </c>
      <c r="B73" s="2541" t="s">
        <v>8508</v>
      </c>
    </row>
    <row r="74" spans="1:2">
      <c r="A74" t="s">
        <v>6644</v>
      </c>
      <c r="B74" s="2541" t="s">
        <v>8509</v>
      </c>
    </row>
    <row r="75" spans="1:2">
      <c r="A75" s="2542" t="s">
        <v>6708</v>
      </c>
      <c r="B75" s="2541" t="s">
        <v>8497</v>
      </c>
    </row>
    <row r="76" spans="1:2">
      <c r="A76" t="s">
        <v>6709</v>
      </c>
      <c r="B76" s="2541" t="s">
        <v>8499</v>
      </c>
    </row>
    <row r="77" spans="1:2">
      <c r="A77" t="s">
        <v>6710</v>
      </c>
      <c r="B77" s="2541" t="s">
        <v>8500</v>
      </c>
    </row>
    <row r="78" spans="1:2">
      <c r="A78" t="s">
        <v>6711</v>
      </c>
      <c r="B78" s="2541" t="s">
        <v>8501</v>
      </c>
    </row>
    <row r="79" spans="1:2">
      <c r="A79" t="s">
        <v>6712</v>
      </c>
      <c r="B79" s="2541" t="s">
        <v>8502</v>
      </c>
    </row>
    <row r="80" spans="1:2">
      <c r="A80" t="s">
        <v>6713</v>
      </c>
      <c r="B80" s="2541" t="s">
        <v>8503</v>
      </c>
    </row>
    <row r="81" spans="1:4">
      <c r="A81" t="s">
        <v>6714</v>
      </c>
      <c r="B81" s="2541" t="s">
        <v>8504</v>
      </c>
    </row>
    <row r="82" spans="1:4">
      <c r="A82" t="s">
        <v>6715</v>
      </c>
      <c r="B82" s="2541" t="s">
        <v>8505</v>
      </c>
    </row>
    <row r="83" spans="1:4">
      <c r="A83" t="s">
        <v>6716</v>
      </c>
      <c r="B83" s="2541" t="s">
        <v>8506</v>
      </c>
    </row>
    <row r="84" spans="1:4">
      <c r="A84" t="s">
        <v>6717</v>
      </c>
      <c r="B84" s="2541" t="s">
        <v>8507</v>
      </c>
    </row>
    <row r="85" spans="1:4">
      <c r="A85" t="s">
        <v>6718</v>
      </c>
      <c r="B85" s="2541" t="s">
        <v>8508</v>
      </c>
    </row>
    <row r="86" spans="1:4">
      <c r="A86" t="s">
        <v>6719</v>
      </c>
      <c r="B86" s="2541" t="s">
        <v>8509</v>
      </c>
    </row>
    <row r="87" spans="1:4">
      <c r="A87" s="2542" t="s">
        <v>6720</v>
      </c>
      <c r="B87" s="2541" t="s">
        <v>8621</v>
      </c>
      <c r="C87" s="2567" t="s">
        <v>8623</v>
      </c>
      <c r="D87" s="2567" t="s">
        <v>8625</v>
      </c>
    </row>
    <row r="88" spans="1:4">
      <c r="A88" t="s">
        <v>6721</v>
      </c>
      <c r="B88" s="2541" t="s">
        <v>8626</v>
      </c>
      <c r="C88" s="2541" t="s">
        <v>8635</v>
      </c>
      <c r="D88" s="2541" t="s">
        <v>8644</v>
      </c>
    </row>
    <row r="89" spans="1:4">
      <c r="A89" t="s">
        <v>6722</v>
      </c>
      <c r="B89" s="2541" t="s">
        <v>8627</v>
      </c>
      <c r="C89" s="2541" t="s">
        <v>8636</v>
      </c>
      <c r="D89" s="2541" t="s">
        <v>8645</v>
      </c>
    </row>
    <row r="90" spans="1:4">
      <c r="A90" s="2542" t="s">
        <v>6723</v>
      </c>
      <c r="B90" s="2541" t="s">
        <v>8621</v>
      </c>
      <c r="C90" s="2567" t="s">
        <v>8623</v>
      </c>
      <c r="D90" s="2567" t="s">
        <v>8625</v>
      </c>
    </row>
    <row r="91" spans="1:4">
      <c r="A91" t="s">
        <v>6724</v>
      </c>
      <c r="B91" s="2541" t="s">
        <v>8626</v>
      </c>
      <c r="C91" s="2541" t="s">
        <v>8635</v>
      </c>
      <c r="D91" s="2541" t="s">
        <v>8644</v>
      </c>
    </row>
    <row r="92" spans="1:4">
      <c r="A92" t="s">
        <v>6725</v>
      </c>
      <c r="B92" s="2541" t="s">
        <v>8627</v>
      </c>
      <c r="C92" s="2541" t="s">
        <v>8636</v>
      </c>
      <c r="D92" s="2541" t="s">
        <v>8645</v>
      </c>
    </row>
    <row r="93" spans="1:4">
      <c r="A93" s="2542" t="s">
        <v>8673</v>
      </c>
      <c r="B93" s="2541" t="s">
        <v>8621</v>
      </c>
      <c r="C93" s="2567" t="s">
        <v>8623</v>
      </c>
      <c r="D93" s="2567" t="s">
        <v>8625</v>
      </c>
    </row>
    <row r="94" spans="1:4">
      <c r="A94" t="s">
        <v>8674</v>
      </c>
      <c r="B94" s="2541" t="s">
        <v>8626</v>
      </c>
      <c r="C94" s="2541" t="s">
        <v>8635</v>
      </c>
      <c r="D94" s="2541" t="s">
        <v>8644</v>
      </c>
    </row>
    <row r="95" spans="1:4">
      <c r="A95" t="s">
        <v>8675</v>
      </c>
      <c r="B95" s="2541" t="s">
        <v>8627</v>
      </c>
      <c r="C95" s="2541" t="s">
        <v>8636</v>
      </c>
      <c r="D95" s="2541" t="s">
        <v>8645</v>
      </c>
    </row>
    <row r="96" spans="1:4">
      <c r="A96" t="s">
        <v>8676</v>
      </c>
      <c r="B96" s="2541" t="s">
        <v>8628</v>
      </c>
      <c r="C96" s="2541" t="s">
        <v>8637</v>
      </c>
      <c r="D96" s="2541" t="s">
        <v>8646</v>
      </c>
    </row>
    <row r="97" spans="1:4">
      <c r="A97" t="s">
        <v>8677</v>
      </c>
      <c r="B97" s="2541" t="s">
        <v>8629</v>
      </c>
      <c r="C97" s="2541" t="s">
        <v>8638</v>
      </c>
      <c r="D97" s="2541" t="s">
        <v>8647</v>
      </c>
    </row>
    <row r="98" spans="1:4">
      <c r="A98" t="s">
        <v>8678</v>
      </c>
      <c r="B98" s="2541" t="s">
        <v>8630</v>
      </c>
      <c r="C98" s="2541" t="s">
        <v>8639</v>
      </c>
      <c r="D98" s="2541" t="s">
        <v>8648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853" t="s">
        <v>5890</v>
      </c>
      <c r="K1" s="3854"/>
      <c r="L1" s="3854"/>
      <c r="M1" s="3854"/>
      <c r="N1" s="3854"/>
      <c r="O1" s="3855"/>
    </row>
    <row r="2" spans="1:30" ht="14.55" customHeight="1" thickTop="1">
      <c r="A2" s="3848" t="s">
        <v>5891</v>
      </c>
      <c r="B2" s="3831" t="s">
        <v>6595</v>
      </c>
      <c r="C2" s="3843" t="s">
        <v>5892</v>
      </c>
      <c r="D2" s="3835" t="s">
        <v>5893</v>
      </c>
      <c r="E2" s="3846" t="s">
        <v>5894</v>
      </c>
      <c r="F2" s="3836" t="s">
        <v>5895</v>
      </c>
      <c r="G2" s="3836" t="s">
        <v>5896</v>
      </c>
      <c r="H2" s="3836" t="s">
        <v>5897</v>
      </c>
      <c r="I2" s="3838" t="s">
        <v>5898</v>
      </c>
      <c r="J2" s="3840" t="s">
        <v>5899</v>
      </c>
      <c r="K2" s="3834"/>
      <c r="L2" s="3841"/>
      <c r="M2" s="3833" t="s">
        <v>5217</v>
      </c>
      <c r="N2" s="3834"/>
      <c r="O2" s="3834"/>
      <c r="P2" s="3834" t="s">
        <v>5900</v>
      </c>
      <c r="Q2" s="3834"/>
      <c r="R2" s="3834"/>
      <c r="S2" s="3834" t="s">
        <v>5901</v>
      </c>
      <c r="T2" s="3834"/>
      <c r="U2" s="3834"/>
      <c r="V2" s="3834" t="s">
        <v>5902</v>
      </c>
      <c r="W2" s="3834"/>
      <c r="X2" s="3834"/>
      <c r="Y2" s="3834" t="s">
        <v>5903</v>
      </c>
      <c r="Z2" s="3834"/>
      <c r="AA2" s="3834"/>
      <c r="AB2" s="3834" t="s">
        <v>4568</v>
      </c>
      <c r="AC2" s="3834"/>
      <c r="AD2" s="3835"/>
    </row>
    <row r="3" spans="1:30" ht="18" thickBot="1">
      <c r="A3" s="3849"/>
      <c r="B3" s="3832"/>
      <c r="C3" s="3844"/>
      <c r="D3" s="3845"/>
      <c r="E3" s="3847"/>
      <c r="F3" s="3837"/>
      <c r="G3" s="3837"/>
      <c r="H3" s="3837"/>
      <c r="I3" s="3839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3849"/>
      <c r="B4" s="250" t="s">
        <v>6622</v>
      </c>
      <c r="C4" s="2081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849"/>
      <c r="B5" s="250" t="s">
        <v>6623</v>
      </c>
      <c r="C5" s="1134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849"/>
      <c r="B6" s="250" t="s">
        <v>6624</v>
      </c>
      <c r="C6" s="2083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849"/>
      <c r="B7" s="250" t="s">
        <v>6625</v>
      </c>
      <c r="C7" s="2082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849"/>
      <c r="B8" s="250" t="s">
        <v>6626</v>
      </c>
      <c r="C8" s="2081" t="s">
        <v>4550</v>
      </c>
      <c r="D8" s="2085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849"/>
      <c r="B9" s="250" t="s">
        <v>6627</v>
      </c>
      <c r="C9" s="1134" t="s">
        <v>4552</v>
      </c>
      <c r="D9" s="2085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849"/>
      <c r="B10" s="250" t="s">
        <v>6628</v>
      </c>
      <c r="C10" s="2081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849"/>
      <c r="B11" s="250" t="s">
        <v>6629</v>
      </c>
      <c r="C11" s="1134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850"/>
      <c r="B12" s="2448"/>
      <c r="C12" s="2097" t="s">
        <v>5904</v>
      </c>
      <c r="D12" s="2098" t="s">
        <v>5904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55" customHeight="1" thickTop="1">
      <c r="A13" s="3848" t="s">
        <v>5909</v>
      </c>
      <c r="B13" s="3831" t="s">
        <v>6595</v>
      </c>
      <c r="C13" s="3843" t="s">
        <v>5892</v>
      </c>
      <c r="D13" s="3835" t="s">
        <v>5893</v>
      </c>
      <c r="E13" s="3846" t="s">
        <v>5894</v>
      </c>
      <c r="F13" s="3836" t="s">
        <v>5895</v>
      </c>
      <c r="G13" s="3836" t="s">
        <v>5896</v>
      </c>
      <c r="H13" s="3836" t="s">
        <v>5897</v>
      </c>
      <c r="I13" s="3838" t="s">
        <v>5898</v>
      </c>
      <c r="J13" s="3840" t="s">
        <v>5217</v>
      </c>
      <c r="K13" s="3834"/>
      <c r="L13" s="3841"/>
      <c r="M13" s="3852"/>
      <c r="N13" s="3815"/>
      <c r="O13" s="3815"/>
    </row>
    <row r="14" spans="1:30" ht="18" thickBot="1">
      <c r="A14" s="3849"/>
      <c r="B14" s="3832"/>
      <c r="C14" s="3844"/>
      <c r="D14" s="3845"/>
      <c r="E14" s="3847"/>
      <c r="F14" s="3837"/>
      <c r="G14" s="3837"/>
      <c r="H14" s="3837"/>
      <c r="I14" s="3839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849"/>
      <c r="B15" s="250" t="s">
        <v>6576</v>
      </c>
      <c r="C15" s="2083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849"/>
      <c r="B16" s="250" t="s">
        <v>6577</v>
      </c>
      <c r="C16" s="2082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849"/>
      <c r="B17" s="250" t="s">
        <v>6578</v>
      </c>
      <c r="C17" s="2083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849"/>
      <c r="B18" s="250" t="s">
        <v>6579</v>
      </c>
      <c r="C18" s="2082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849"/>
      <c r="B19" s="250" t="s">
        <v>6580</v>
      </c>
      <c r="C19" s="2083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849"/>
      <c r="B20" s="250" t="s">
        <v>6581</v>
      </c>
      <c r="C20" s="2082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849"/>
      <c r="B21" s="250" t="s">
        <v>6582</v>
      </c>
      <c r="C21" s="2083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849"/>
      <c r="B22" s="250" t="s">
        <v>6583</v>
      </c>
      <c r="C22" s="2082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849"/>
      <c r="B23" s="250" t="s">
        <v>6572</v>
      </c>
      <c r="C23" s="2083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849"/>
      <c r="B24" s="250" t="s">
        <v>6573</v>
      </c>
      <c r="C24" s="2082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849"/>
      <c r="B25" s="250" t="s">
        <v>6574</v>
      </c>
      <c r="C25" s="2083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849"/>
      <c r="B26" s="250" t="s">
        <v>6575</v>
      </c>
      <c r="C26" s="2082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849"/>
      <c r="B27" s="250" t="s">
        <v>6570</v>
      </c>
      <c r="C27" s="2083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849"/>
      <c r="B28" s="250" t="s">
        <v>6571</v>
      </c>
      <c r="C28" s="2082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850"/>
      <c r="B29" s="2448"/>
      <c r="C29" s="2097" t="s">
        <v>5904</v>
      </c>
      <c r="D29" s="2098" t="s">
        <v>5904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55" customHeight="1" thickTop="1">
      <c r="A30" s="3848" t="s">
        <v>5938</v>
      </c>
      <c r="B30" s="3831" t="s">
        <v>6595</v>
      </c>
      <c r="C30" s="3843" t="s">
        <v>5892</v>
      </c>
      <c r="D30" s="3835" t="s">
        <v>5893</v>
      </c>
      <c r="E30" s="3846" t="s">
        <v>5894</v>
      </c>
      <c r="F30" s="3836" t="s">
        <v>5895</v>
      </c>
      <c r="G30" s="3836" t="s">
        <v>5896</v>
      </c>
      <c r="H30" s="3836" t="s">
        <v>5897</v>
      </c>
      <c r="I30" s="3838" t="s">
        <v>5898</v>
      </c>
      <c r="J30" s="3840" t="s">
        <v>5217</v>
      </c>
      <c r="K30" s="3834"/>
      <c r="L30" s="3841"/>
      <c r="M30" s="3840" t="s">
        <v>5900</v>
      </c>
      <c r="N30" s="3834"/>
      <c r="O30" s="3841"/>
      <c r="P30" s="3833" t="s">
        <v>5939</v>
      </c>
      <c r="Q30" s="3834"/>
      <c r="R30" s="3851"/>
      <c r="S30" s="3842" t="s">
        <v>5363</v>
      </c>
      <c r="T30" s="3834"/>
      <c r="U30" s="3841"/>
      <c r="V30" s="3833" t="s">
        <v>5374</v>
      </c>
      <c r="W30" s="3834"/>
      <c r="X30" s="3851"/>
      <c r="Y30" s="3842" t="s">
        <v>5471</v>
      </c>
      <c r="Z30" s="3834"/>
      <c r="AA30" s="3835"/>
      <c r="AB30" s="3815"/>
      <c r="AC30" s="3815"/>
      <c r="AD30" s="3815"/>
      <c r="AE30" s="3815"/>
      <c r="AF30" s="3815"/>
      <c r="AG30" s="3815"/>
    </row>
    <row r="31" spans="1:33" ht="18" thickBot="1">
      <c r="A31" s="3849"/>
      <c r="B31" s="3832"/>
      <c r="C31" s="3844"/>
      <c r="D31" s="3845"/>
      <c r="E31" s="3847"/>
      <c r="F31" s="3837"/>
      <c r="G31" s="3837"/>
      <c r="H31" s="3837"/>
      <c r="I31" s="3839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>
      <c r="A32" s="3849"/>
      <c r="B32" s="250" t="s">
        <v>6518</v>
      </c>
      <c r="C32" s="2081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849"/>
      <c r="B33" s="250" t="s">
        <v>6519</v>
      </c>
      <c r="C33" s="1134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849"/>
      <c r="B34" s="250" t="s">
        <v>6520</v>
      </c>
      <c r="C34" s="2081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849"/>
      <c r="B35" s="250" t="s">
        <v>6521</v>
      </c>
      <c r="C35" s="1134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849"/>
      <c r="B36" s="250" t="s">
        <v>6522</v>
      </c>
      <c r="C36" s="2081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849"/>
      <c r="B37" s="250" t="s">
        <v>6523</v>
      </c>
      <c r="C37" s="1134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849"/>
      <c r="B38" s="250" t="s">
        <v>6524</v>
      </c>
      <c r="C38" s="2081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849"/>
      <c r="B39" s="250" t="s">
        <v>6526</v>
      </c>
      <c r="C39" s="1134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849"/>
      <c r="B40" s="250" t="s">
        <v>6525</v>
      </c>
      <c r="C40" s="2081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849"/>
      <c r="B41" s="250" t="s">
        <v>6527</v>
      </c>
      <c r="C41" s="1134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849"/>
      <c r="B42" s="250" t="s">
        <v>6528</v>
      </c>
      <c r="C42" s="2081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849"/>
      <c r="B43" s="250" t="s">
        <v>6531</v>
      </c>
      <c r="C43" s="1134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849"/>
      <c r="B44" s="250" t="s">
        <v>6529</v>
      </c>
      <c r="C44" s="2081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849"/>
      <c r="B45" s="250" t="s">
        <v>6532</v>
      </c>
      <c r="C45" s="1134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849"/>
      <c r="B46" s="250" t="s">
        <v>6530</v>
      </c>
      <c r="C46" s="2081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849"/>
      <c r="B47" s="250" t="s">
        <v>6533</v>
      </c>
      <c r="C47" s="1134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849"/>
      <c r="B48" s="250" t="s">
        <v>6534</v>
      </c>
      <c r="C48" s="2081" t="s">
        <v>5970</v>
      </c>
      <c r="D48" s="2085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849"/>
      <c r="B49" s="250" t="s">
        <v>6535</v>
      </c>
      <c r="C49" s="1134" t="s">
        <v>5972</v>
      </c>
      <c r="D49" s="2092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849"/>
      <c r="B50" s="250" t="s">
        <v>6536</v>
      </c>
      <c r="C50" s="2081" t="s">
        <v>5974</v>
      </c>
      <c r="D50" s="2085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849"/>
      <c r="B51" s="250" t="s">
        <v>6537</v>
      </c>
      <c r="C51" s="1134" t="s">
        <v>5976</v>
      </c>
      <c r="D51" s="2092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849"/>
      <c r="B52" s="250" t="s">
        <v>6538</v>
      </c>
      <c r="C52" s="2081" t="s">
        <v>5978</v>
      </c>
      <c r="D52" s="2085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849"/>
      <c r="B53" s="250" t="s">
        <v>6539</v>
      </c>
      <c r="C53" s="1134" t="s">
        <v>5980</v>
      </c>
      <c r="D53" s="2092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849"/>
      <c r="B54" s="2447"/>
      <c r="C54" s="2081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849"/>
      <c r="B55" s="2447"/>
      <c r="C55" s="2081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850"/>
      <c r="B56" s="2448"/>
      <c r="C56" s="2097" t="s">
        <v>5904</v>
      </c>
      <c r="D56" s="2098" t="s">
        <v>5904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55" customHeight="1" thickTop="1">
      <c r="A57" s="3848" t="s">
        <v>5879</v>
      </c>
      <c r="B57" s="3831" t="s">
        <v>6595</v>
      </c>
      <c r="C57" s="3843" t="s">
        <v>5892</v>
      </c>
      <c r="D57" s="3835" t="s">
        <v>5893</v>
      </c>
      <c r="E57" s="3846" t="s">
        <v>5894</v>
      </c>
      <c r="F57" s="3836" t="s">
        <v>5895</v>
      </c>
      <c r="G57" s="3836" t="s">
        <v>5984</v>
      </c>
      <c r="H57" s="3836" t="s">
        <v>5897</v>
      </c>
      <c r="I57" s="3838" t="s">
        <v>5898</v>
      </c>
      <c r="J57" s="3840" t="s">
        <v>5778</v>
      </c>
      <c r="K57" s="3834"/>
      <c r="L57" s="3841"/>
      <c r="M57" s="3842" t="s">
        <v>5985</v>
      </c>
      <c r="N57" s="3834"/>
      <c r="O57" s="3841"/>
      <c r="P57" s="3833" t="s">
        <v>5825</v>
      </c>
      <c r="Q57" s="3834"/>
      <c r="R57" s="3835"/>
    </row>
    <row r="58" spans="1:30" ht="18" thickBot="1">
      <c r="A58" s="3849"/>
      <c r="B58" s="3832"/>
      <c r="C58" s="3844"/>
      <c r="D58" s="3845"/>
      <c r="E58" s="3847"/>
      <c r="F58" s="3837"/>
      <c r="G58" s="3837"/>
      <c r="H58" s="3837"/>
      <c r="I58" s="3839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849"/>
      <c r="B59" s="250" t="s">
        <v>6511</v>
      </c>
      <c r="C59" s="2081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849"/>
      <c r="B60" s="250" t="s">
        <v>6506</v>
      </c>
      <c r="C60" s="1134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849"/>
      <c r="B61" s="250" t="s">
        <v>6512</v>
      </c>
      <c r="C61" s="2081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849"/>
      <c r="B62" s="250" t="s">
        <v>6507</v>
      </c>
      <c r="C62" s="1134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849"/>
      <c r="B63" s="250" t="s">
        <v>6513</v>
      </c>
      <c r="C63" s="2081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849"/>
      <c r="B64" s="250" t="s">
        <v>6508</v>
      </c>
      <c r="C64" s="1134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849"/>
      <c r="B65" s="250" t="s">
        <v>6514</v>
      </c>
      <c r="C65" s="2081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849"/>
      <c r="B66" s="250" t="s">
        <v>6509</v>
      </c>
      <c r="C66" s="1134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849"/>
      <c r="B67" s="250" t="s">
        <v>6515</v>
      </c>
      <c r="C67" s="2081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849"/>
      <c r="B68" s="250" t="s">
        <v>6510</v>
      </c>
      <c r="C68" s="1134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850"/>
      <c r="B69" s="2448"/>
      <c r="C69" s="2097" t="s">
        <v>5904</v>
      </c>
      <c r="D69" s="2098" t="s">
        <v>5904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7"/>
    </row>
    <row r="78" spans="1:18" ht="15" thickBot="1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>
      <c r="D80" s="242"/>
      <c r="E80" s="2219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20" t="s">
        <v>4558</v>
      </c>
      <c r="G84" s="2220" t="e">
        <f>#REF!</f>
        <v>#REF!</v>
      </c>
      <c r="H84" s="2221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3" type="noConversion"/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853" t="s">
        <v>5890</v>
      </c>
      <c r="K1" s="3854"/>
      <c r="L1" s="3854"/>
      <c r="M1" s="3854"/>
      <c r="N1" s="3854"/>
      <c r="O1" s="3855"/>
    </row>
    <row r="2" spans="1:30" ht="14.55" customHeight="1" thickTop="1">
      <c r="A2" s="3848" t="s">
        <v>5891</v>
      </c>
      <c r="B2" s="3831" t="s">
        <v>6595</v>
      </c>
      <c r="C2" s="3843" t="s">
        <v>5892</v>
      </c>
      <c r="D2" s="3835" t="s">
        <v>5893</v>
      </c>
      <c r="E2" s="3846" t="s">
        <v>5894</v>
      </c>
      <c r="F2" s="3836" t="s">
        <v>5895</v>
      </c>
      <c r="G2" s="3836" t="s">
        <v>5896</v>
      </c>
      <c r="H2" s="3836" t="s">
        <v>5897</v>
      </c>
      <c r="I2" s="3838" t="s">
        <v>5898</v>
      </c>
      <c r="J2" s="3840" t="s">
        <v>5899</v>
      </c>
      <c r="K2" s="3834"/>
      <c r="L2" s="3841"/>
      <c r="M2" s="3833" t="s">
        <v>5217</v>
      </c>
      <c r="N2" s="3834"/>
      <c r="O2" s="3834"/>
      <c r="P2" s="3834" t="s">
        <v>5900</v>
      </c>
      <c r="Q2" s="3834"/>
      <c r="R2" s="3834"/>
      <c r="S2" s="3834" t="s">
        <v>5901</v>
      </c>
      <c r="T2" s="3834"/>
      <c r="U2" s="3834"/>
      <c r="V2" s="3834" t="s">
        <v>5902</v>
      </c>
      <c r="W2" s="3834"/>
      <c r="X2" s="3834"/>
      <c r="Y2" s="3834" t="s">
        <v>5903</v>
      </c>
      <c r="Z2" s="3834"/>
      <c r="AA2" s="3834"/>
      <c r="AB2" s="3834" t="s">
        <v>4568</v>
      </c>
      <c r="AC2" s="3834"/>
      <c r="AD2" s="3835"/>
    </row>
    <row r="3" spans="1:30" ht="18" thickBot="1">
      <c r="A3" s="3849"/>
      <c r="B3" s="3832"/>
      <c r="C3" s="3858"/>
      <c r="D3" s="3845"/>
      <c r="E3" s="3847"/>
      <c r="F3" s="3837"/>
      <c r="G3" s="3837"/>
      <c r="H3" s="3837"/>
      <c r="I3" s="3839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3849"/>
      <c r="B4" s="250" t="s">
        <v>6591</v>
      </c>
      <c r="C4" s="2081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64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849"/>
      <c r="B5" s="250" t="s">
        <v>6593</v>
      </c>
      <c r="C5" s="2083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65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849"/>
      <c r="B6" s="250" t="s">
        <v>6590</v>
      </c>
      <c r="C6" s="2081" t="s">
        <v>4550</v>
      </c>
      <c r="D6" s="2085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65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849"/>
      <c r="B7" s="250" t="s">
        <v>6589</v>
      </c>
      <c r="C7" s="2081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65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849"/>
      <c r="B8" s="250" t="s">
        <v>6587</v>
      </c>
      <c r="C8" s="1134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65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849"/>
      <c r="B9" s="250" t="s">
        <v>6592</v>
      </c>
      <c r="C9" s="2082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65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849"/>
      <c r="B10" s="250" t="s">
        <v>6588</v>
      </c>
      <c r="C10" s="1134" t="s">
        <v>4552</v>
      </c>
      <c r="D10" s="2085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65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849"/>
      <c r="B11" s="250" t="s">
        <v>6586</v>
      </c>
      <c r="C11" s="1134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65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850"/>
      <c r="B12" s="2448"/>
      <c r="C12" s="2449" t="s">
        <v>5904</v>
      </c>
      <c r="D12" s="2098" t="s">
        <v>5904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55" customHeight="1" thickTop="1">
      <c r="A13" s="3848" t="s">
        <v>5909</v>
      </c>
      <c r="B13" s="3831" t="s">
        <v>6595</v>
      </c>
      <c r="C13" s="3843" t="s">
        <v>5892</v>
      </c>
      <c r="D13" s="3835" t="s">
        <v>5893</v>
      </c>
      <c r="E13" s="3846" t="s">
        <v>5894</v>
      </c>
      <c r="F13" s="3836" t="s">
        <v>5895</v>
      </c>
      <c r="G13" s="3836" t="s">
        <v>5896</v>
      </c>
      <c r="H13" s="3856" t="s">
        <v>5897</v>
      </c>
      <c r="I13" s="3838" t="s">
        <v>5898</v>
      </c>
      <c r="J13" s="3840" t="s">
        <v>5217</v>
      </c>
      <c r="K13" s="3834"/>
      <c r="L13" s="3841"/>
      <c r="M13" s="3852"/>
      <c r="N13" s="3815"/>
      <c r="O13" s="3815"/>
    </row>
    <row r="14" spans="1:30" ht="18" thickBot="1">
      <c r="A14" s="3849"/>
      <c r="B14" s="3832"/>
      <c r="C14" s="3844"/>
      <c r="D14" s="3845"/>
      <c r="E14" s="3847"/>
      <c r="F14" s="3837"/>
      <c r="G14" s="3837"/>
      <c r="H14" s="3857"/>
      <c r="I14" s="3839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849"/>
      <c r="B15" s="250" t="s">
        <v>6576</v>
      </c>
      <c r="C15" s="2083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65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849"/>
      <c r="B16" s="250" t="s">
        <v>6578</v>
      </c>
      <c r="C16" s="2083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65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849"/>
      <c r="B17" s="250" t="s">
        <v>6580</v>
      </c>
      <c r="C17" s="2083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65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849"/>
      <c r="B18" s="250" t="s">
        <v>6582</v>
      </c>
      <c r="C18" s="2083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65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849"/>
      <c r="B19" s="250" t="s">
        <v>6572</v>
      </c>
      <c r="C19" s="2083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65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849"/>
      <c r="B20" s="250" t="s">
        <v>6574</v>
      </c>
      <c r="C20" s="2083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65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849"/>
      <c r="B21" s="250" t="s">
        <v>6570</v>
      </c>
      <c r="C21" s="2083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64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849"/>
      <c r="B22" s="250" t="s">
        <v>6577</v>
      </c>
      <c r="C22" s="2082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65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849"/>
      <c r="B23" s="250" t="s">
        <v>6579</v>
      </c>
      <c r="C23" s="2082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65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849"/>
      <c r="B24" s="250" t="s">
        <v>6581</v>
      </c>
      <c r="C24" s="2082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65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849"/>
      <c r="B25" s="250" t="s">
        <v>6583</v>
      </c>
      <c r="C25" s="2082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65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849"/>
      <c r="B26" s="250" t="s">
        <v>6573</v>
      </c>
      <c r="C26" s="2082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65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849"/>
      <c r="B27" s="250" t="s">
        <v>6575</v>
      </c>
      <c r="C27" s="2082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65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849"/>
      <c r="B28" s="250" t="s">
        <v>6571</v>
      </c>
      <c r="C28" s="2082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65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850"/>
      <c r="B29" s="2448"/>
      <c r="C29" s="2097" t="s">
        <v>5904</v>
      </c>
      <c r="D29" s="2098" t="s">
        <v>5904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55" customHeight="1" thickTop="1">
      <c r="A30" s="3848" t="s">
        <v>5938</v>
      </c>
      <c r="B30" s="3831" t="s">
        <v>6595</v>
      </c>
      <c r="C30" s="3843" t="s">
        <v>5892</v>
      </c>
      <c r="D30" s="3835" t="s">
        <v>5893</v>
      </c>
      <c r="E30" s="3846" t="s">
        <v>5894</v>
      </c>
      <c r="F30" s="3836" t="s">
        <v>5895</v>
      </c>
      <c r="G30" s="3836" t="s">
        <v>5896</v>
      </c>
      <c r="H30" s="3856" t="s">
        <v>5897</v>
      </c>
      <c r="I30" s="3838" t="s">
        <v>5898</v>
      </c>
      <c r="J30" s="3840" t="s">
        <v>5217</v>
      </c>
      <c r="K30" s="3834"/>
      <c r="L30" s="3841"/>
      <c r="M30" s="3840" t="s">
        <v>5900</v>
      </c>
      <c r="N30" s="3834"/>
      <c r="O30" s="3841"/>
      <c r="P30" s="3833" t="s">
        <v>5939</v>
      </c>
      <c r="Q30" s="3834"/>
      <c r="R30" s="3851"/>
      <c r="S30" s="3842" t="s">
        <v>5363</v>
      </c>
      <c r="T30" s="3834"/>
      <c r="U30" s="3841"/>
      <c r="V30" s="3833" t="s">
        <v>5374</v>
      </c>
      <c r="W30" s="3834"/>
      <c r="X30" s="3851"/>
      <c r="Y30" s="3842" t="s">
        <v>5471</v>
      </c>
      <c r="Z30" s="3834"/>
      <c r="AA30" s="3835"/>
      <c r="AB30" s="3815"/>
      <c r="AC30" s="3815"/>
      <c r="AD30" s="3815"/>
    </row>
    <row r="31" spans="1:30" ht="18" thickBot="1">
      <c r="A31" s="3849"/>
      <c r="B31" s="3832"/>
      <c r="C31" s="3844"/>
      <c r="D31" s="3845"/>
      <c r="E31" s="3847"/>
      <c r="F31" s="3837"/>
      <c r="G31" s="3837"/>
      <c r="H31" s="3857"/>
      <c r="I31" s="3839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>
      <c r="A32" s="3849"/>
      <c r="B32" s="250" t="s">
        <v>6518</v>
      </c>
      <c r="C32" s="2081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64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849"/>
      <c r="B33" s="250" t="s">
        <v>6520</v>
      </c>
      <c r="C33" s="2081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65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849"/>
      <c r="B34" s="250" t="s">
        <v>6596</v>
      </c>
      <c r="C34" s="2081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65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849"/>
      <c r="B35" s="250" t="s">
        <v>6597</v>
      </c>
      <c r="C35" s="2081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65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849"/>
      <c r="B36" s="250" t="s">
        <v>6598</v>
      </c>
      <c r="C36" s="2081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65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849"/>
      <c r="B37" s="250" t="s">
        <v>6599</v>
      </c>
      <c r="C37" s="2081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65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849"/>
      <c r="B38" s="250" t="s">
        <v>6600</v>
      </c>
      <c r="C38" s="2081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65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849"/>
      <c r="B39" s="250" t="s">
        <v>6601</v>
      </c>
      <c r="C39" s="2081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65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849"/>
      <c r="B40" s="250" t="s">
        <v>6602</v>
      </c>
      <c r="C40" s="2081" t="s">
        <v>5970</v>
      </c>
      <c r="D40" s="2085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65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>
      <c r="A41" s="3849"/>
      <c r="B41" s="250" t="s">
        <v>6603</v>
      </c>
      <c r="C41" s="2081" t="s">
        <v>5974</v>
      </c>
      <c r="D41" s="2085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65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>
      <c r="A42" s="3849"/>
      <c r="B42" s="250" t="s">
        <v>6604</v>
      </c>
      <c r="C42" s="2081" t="s">
        <v>5978</v>
      </c>
      <c r="D42" s="2085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65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>
      <c r="A43" s="3849"/>
      <c r="B43" s="250" t="s">
        <v>6519</v>
      </c>
      <c r="C43" s="1134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65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849"/>
      <c r="B44" s="250" t="s">
        <v>6605</v>
      </c>
      <c r="C44" s="1134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65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849"/>
      <c r="B45" s="250" t="s">
        <v>6606</v>
      </c>
      <c r="C45" s="1134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65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849"/>
      <c r="B46" s="250" t="s">
        <v>6607</v>
      </c>
      <c r="C46" s="1134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65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849"/>
      <c r="B47" s="250" t="s">
        <v>6608</v>
      </c>
      <c r="C47" s="1134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65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849"/>
      <c r="B48" s="250" t="s">
        <v>6609</v>
      </c>
      <c r="C48" s="1134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65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849"/>
      <c r="B49" s="250" t="s">
        <v>6610</v>
      </c>
      <c r="C49" s="1134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65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849"/>
      <c r="B50" s="250" t="s">
        <v>6611</v>
      </c>
      <c r="C50" s="1134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65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849"/>
      <c r="B51" s="250" t="s">
        <v>6612</v>
      </c>
      <c r="C51" s="1134" t="s">
        <v>5972</v>
      </c>
      <c r="D51" s="2092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65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>
      <c r="A52" s="3849"/>
      <c r="B52" s="250" t="s">
        <v>6613</v>
      </c>
      <c r="C52" s="1134" t="s">
        <v>5976</v>
      </c>
      <c r="D52" s="2092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65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>
      <c r="A53" s="3849"/>
      <c r="B53" s="250" t="s">
        <v>6540</v>
      </c>
      <c r="C53" s="1134" t="s">
        <v>5980</v>
      </c>
      <c r="D53" s="2092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65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>
      <c r="A54" s="3849"/>
      <c r="B54" s="2447"/>
      <c r="C54" s="2081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849"/>
      <c r="B55" s="2447"/>
      <c r="C55" s="2081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850"/>
      <c r="B56" s="2448"/>
      <c r="C56" s="2097" t="s">
        <v>5904</v>
      </c>
      <c r="D56" s="2098" t="s">
        <v>5904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55" customHeight="1" thickTop="1">
      <c r="A57" s="3848" t="s">
        <v>5879</v>
      </c>
      <c r="B57" s="3831" t="s">
        <v>6595</v>
      </c>
      <c r="C57" s="3843" t="s">
        <v>5892</v>
      </c>
      <c r="D57" s="3835" t="s">
        <v>5893</v>
      </c>
      <c r="E57" s="3846" t="s">
        <v>5894</v>
      </c>
      <c r="F57" s="3836" t="s">
        <v>5895</v>
      </c>
      <c r="G57" s="3836" t="s">
        <v>5896</v>
      </c>
      <c r="H57" s="3856" t="s">
        <v>5897</v>
      </c>
      <c r="I57" s="3838" t="s">
        <v>5898</v>
      </c>
      <c r="J57" s="3840" t="s">
        <v>5778</v>
      </c>
      <c r="K57" s="3834"/>
      <c r="L57" s="3841"/>
      <c r="M57" s="3842" t="s">
        <v>5985</v>
      </c>
      <c r="N57" s="3834"/>
      <c r="O57" s="3841"/>
      <c r="P57" s="3833" t="s">
        <v>5825</v>
      </c>
      <c r="Q57" s="3834"/>
      <c r="R57" s="3835"/>
    </row>
    <row r="58" spans="1:30" ht="18" thickBot="1">
      <c r="A58" s="3849"/>
      <c r="B58" s="3832"/>
      <c r="C58" s="3844"/>
      <c r="D58" s="3845"/>
      <c r="E58" s="3847"/>
      <c r="F58" s="3837"/>
      <c r="G58" s="3837"/>
      <c r="H58" s="3857"/>
      <c r="I58" s="3839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849"/>
      <c r="B59" s="250" t="s">
        <v>6511</v>
      </c>
      <c r="C59" s="2081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65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849"/>
      <c r="B60" s="250" t="s">
        <v>6614</v>
      </c>
      <c r="C60" s="2081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65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849"/>
      <c r="B61" s="250" t="s">
        <v>6615</v>
      </c>
      <c r="C61" s="2081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65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849"/>
      <c r="B62" s="250" t="s">
        <v>6616</v>
      </c>
      <c r="C62" s="2081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65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849"/>
      <c r="B63" s="250" t="s">
        <v>6617</v>
      </c>
      <c r="C63" s="2081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65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849"/>
      <c r="B64" s="250" t="s">
        <v>6506</v>
      </c>
      <c r="C64" s="1134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64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849"/>
      <c r="B65" s="250" t="s">
        <v>6618</v>
      </c>
      <c r="C65" s="1134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65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849"/>
      <c r="B66" s="250" t="s">
        <v>6619</v>
      </c>
      <c r="C66" s="1134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65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849"/>
      <c r="B67" s="250" t="s">
        <v>6620</v>
      </c>
      <c r="C67" s="1134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65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849"/>
      <c r="B68" s="250" t="s">
        <v>6621</v>
      </c>
      <c r="C68" s="1134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65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850"/>
      <c r="B69" s="2448"/>
      <c r="C69" s="2097" t="s">
        <v>5904</v>
      </c>
      <c r="D69" s="2098" t="s">
        <v>5904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7"/>
      <c r="I70" s="978"/>
      <c r="J70" s="979"/>
    </row>
    <row r="71" spans="1:32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>
      <c r="D72" s="334" t="s">
        <v>5879</v>
      </c>
      <c r="E72" s="980" t="s">
        <v>4222</v>
      </c>
      <c r="F72" s="981" t="s">
        <v>6002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5938</v>
      </c>
      <c r="E77" s="982" t="s">
        <v>6004</v>
      </c>
      <c r="F77" s="983" t="s">
        <v>6005</v>
      </c>
      <c r="G77" s="247" t="e">
        <f>#REF!</f>
        <v>#REF!</v>
      </c>
      <c r="H77" s="987"/>
    </row>
    <row r="78" spans="1:32" ht="15" thickBot="1">
      <c r="D78" s="333" t="s">
        <v>5909</v>
      </c>
      <c r="E78" s="982" t="s">
        <v>6004</v>
      </c>
      <c r="F78" s="983" t="s">
        <v>6005</v>
      </c>
      <c r="G78" s="236" t="e">
        <f>#REF!</f>
        <v>#REF!</v>
      </c>
      <c r="H78" s="984"/>
    </row>
    <row r="79" spans="1:32">
      <c r="D79" s="333" t="s">
        <v>5891</v>
      </c>
      <c r="E79" s="982" t="s">
        <v>4222</v>
      </c>
      <c r="F79" s="983" t="s">
        <v>6005</v>
      </c>
      <c r="G79" s="279" t="e">
        <f>#REF!</f>
        <v>#REF!</v>
      </c>
      <c r="H79" s="280" t="e">
        <f>#REF!</f>
        <v>#REF!</v>
      </c>
    </row>
    <row r="80" spans="1:32">
      <c r="D80" s="242"/>
      <c r="E80" s="2219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3861" t="s">
        <v>6480</v>
      </c>
      <c r="O80" s="3861"/>
      <c r="P80" s="3861"/>
      <c r="Q80" s="3861"/>
      <c r="R80" s="3861" t="s">
        <v>6489</v>
      </c>
      <c r="S80" s="3861"/>
      <c r="T80" s="3861"/>
      <c r="U80" s="3861" t="s">
        <v>6490</v>
      </c>
      <c r="V80" s="3861"/>
      <c r="W80" s="3861"/>
      <c r="X80" s="3862" t="s">
        <v>6481</v>
      </c>
      <c r="Y80" s="3863"/>
      <c r="Z80" s="3863"/>
      <c r="AA80" s="3863"/>
      <c r="AB80" s="3864"/>
      <c r="AC80" s="3867" t="s">
        <v>6482</v>
      </c>
      <c r="AD80" s="3867"/>
      <c r="AE80" s="3861" t="s">
        <v>6483</v>
      </c>
      <c r="AF80" s="3861"/>
    </row>
    <row r="81" spans="4:32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327" t="s">
        <v>6484</v>
      </c>
      <c r="O81" s="3327"/>
      <c r="P81" s="3327"/>
      <c r="Q81" s="3327"/>
      <c r="R81" s="3865">
        <f>85.07*20</f>
        <v>1701.3999999999999</v>
      </c>
      <c r="S81" s="3865"/>
      <c r="T81" s="3865"/>
      <c r="U81" s="3865">
        <f>159.7*20</f>
        <v>3194</v>
      </c>
      <c r="V81" s="3865"/>
      <c r="W81" s="3865"/>
      <c r="X81" s="3865">
        <f>U81-R81</f>
        <v>1492.6000000000001</v>
      </c>
      <c r="Y81" s="3865"/>
      <c r="Z81" s="3865"/>
      <c r="AA81" s="3866"/>
      <c r="AB81" s="3866"/>
      <c r="AC81" s="3865">
        <f>X81*1000/(220*24*31)</f>
        <v>9.119012707722387</v>
      </c>
      <c r="AD81" s="3865"/>
      <c r="AE81" s="3868"/>
      <c r="AF81" s="3868"/>
    </row>
    <row r="82" spans="4:32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327" t="s">
        <v>6485</v>
      </c>
      <c r="O82" s="3327"/>
      <c r="P82" s="3327"/>
      <c r="Q82" s="3327"/>
      <c r="R82" s="3865"/>
      <c r="S82" s="3865"/>
      <c r="T82" s="3865"/>
      <c r="U82" s="3865"/>
      <c r="V82" s="3865"/>
      <c r="W82" s="3865"/>
      <c r="X82" s="3865">
        <f>X81-AA83</f>
        <v>1163.9000000000001</v>
      </c>
      <c r="Y82" s="3865"/>
      <c r="Z82" s="3865"/>
      <c r="AA82" s="3866"/>
      <c r="AB82" s="3866"/>
      <c r="AC82" s="3865">
        <f>X82*1000/(220*24*31)</f>
        <v>7.1108260019550338</v>
      </c>
      <c r="AD82" s="3865"/>
      <c r="AE82" s="3868">
        <f>AC82/AC81</f>
        <v>0.77978024922953215</v>
      </c>
      <c r="AF82" s="3868"/>
    </row>
    <row r="83" spans="4:32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327" t="s">
        <v>6486</v>
      </c>
      <c r="O83" s="3327"/>
      <c r="P83" s="3327"/>
      <c r="Q83" s="3327"/>
      <c r="R83" s="3865">
        <v>0.1</v>
      </c>
      <c r="S83" s="3865"/>
      <c r="T83" s="3865"/>
      <c r="U83" s="3865">
        <v>0.1</v>
      </c>
      <c r="V83" s="3865"/>
      <c r="W83" s="3865"/>
      <c r="X83" s="3865">
        <f t="shared" ref="X83:X85" si="19">U83-R83</f>
        <v>0</v>
      </c>
      <c r="Y83" s="3865"/>
      <c r="Z83" s="3865"/>
      <c r="AA83" s="3869">
        <f>SUM(X83:Z85)</f>
        <v>328.7</v>
      </c>
      <c r="AB83" s="3869"/>
      <c r="AC83" s="3865">
        <f>AA83*1000/(220*24*31)</f>
        <v>2.008186705767351</v>
      </c>
      <c r="AD83" s="3865"/>
      <c r="AE83" s="3868">
        <f>AC83/AC81</f>
        <v>0.2202197507704676</v>
      </c>
      <c r="AF83" s="3868"/>
    </row>
    <row r="84" spans="4:32">
      <c r="D84" s="242"/>
      <c r="E84" s="3859" t="s">
        <v>4560</v>
      </c>
      <c r="F84" s="2361" t="s">
        <v>24</v>
      </c>
      <c r="G84" s="2362" t="e">
        <f>#REF!*세분화!AE83</f>
        <v>#REF!</v>
      </c>
      <c r="H84" s="2363" t="e">
        <f>G84/G86</f>
        <v>#REF!</v>
      </c>
      <c r="N84" s="3327" t="s">
        <v>6487</v>
      </c>
      <c r="O84" s="3327"/>
      <c r="P84" s="3327"/>
      <c r="Q84" s="3327"/>
      <c r="R84" s="3865">
        <v>193.2</v>
      </c>
      <c r="S84" s="3865"/>
      <c r="T84" s="3865"/>
      <c r="U84" s="3865">
        <v>320.39999999999998</v>
      </c>
      <c r="V84" s="3865"/>
      <c r="W84" s="3865"/>
      <c r="X84" s="3865">
        <f t="shared" si="19"/>
        <v>127.19999999999999</v>
      </c>
      <c r="Y84" s="3865"/>
      <c r="Z84" s="3865"/>
      <c r="AA84" s="3869"/>
      <c r="AB84" s="3869"/>
      <c r="AC84" s="3865"/>
      <c r="AD84" s="3865"/>
      <c r="AE84" s="3868"/>
      <c r="AF84" s="3868"/>
    </row>
    <row r="85" spans="4:32">
      <c r="D85" s="242"/>
      <c r="E85" s="3860"/>
      <c r="F85" s="2361" t="s">
        <v>6002</v>
      </c>
      <c r="G85" s="2362" t="e">
        <f>#REF!*AE82</f>
        <v>#REF!</v>
      </c>
      <c r="H85" s="2363" t="e">
        <f>G85/G86</f>
        <v>#REF!</v>
      </c>
      <c r="N85" s="3327" t="s">
        <v>6488</v>
      </c>
      <c r="O85" s="3327"/>
      <c r="P85" s="3327"/>
      <c r="Q85" s="3327"/>
      <c r="R85" s="3865">
        <v>364.1</v>
      </c>
      <c r="S85" s="3865"/>
      <c r="T85" s="3865"/>
      <c r="U85" s="3865">
        <v>565.6</v>
      </c>
      <c r="V85" s="3865"/>
      <c r="W85" s="3865"/>
      <c r="X85" s="3865">
        <f t="shared" si="19"/>
        <v>201.5</v>
      </c>
      <c r="Y85" s="3865"/>
      <c r="Z85" s="3865"/>
      <c r="AA85" s="3869"/>
      <c r="AB85" s="3869"/>
      <c r="AC85" s="3865"/>
      <c r="AD85" s="3865"/>
      <c r="AE85" s="3868"/>
      <c r="AF85" s="3868"/>
    </row>
    <row r="86" spans="4:32" ht="15" thickBot="1">
      <c r="D86" s="248"/>
      <c r="E86" s="227"/>
      <c r="F86" s="201" t="s">
        <v>4558</v>
      </c>
      <c r="G86" s="2222" t="e">
        <f>#REF!</f>
        <v>#REF!</v>
      </c>
      <c r="H86" s="2223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3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870" t="s">
        <v>6008</v>
      </c>
      <c r="C1" s="3870"/>
      <c r="D1" s="3870"/>
      <c r="E1" s="3870"/>
      <c r="F1" s="3870"/>
      <c r="G1" s="3870"/>
      <c r="H1" s="3870"/>
      <c r="I1" s="3870"/>
      <c r="J1" s="3870"/>
      <c r="K1" s="3870"/>
      <c r="L1" s="3870"/>
      <c r="M1" s="3870"/>
      <c r="N1" s="3870"/>
    </row>
    <row r="2" spans="2:15" ht="19.05" customHeight="1">
      <c r="F2" s="709"/>
      <c r="K2" s="488"/>
      <c r="L2" s="488"/>
    </row>
    <row r="3" spans="2:15" ht="19.05" customHeight="1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9.05" customHeight="1" thickBot="1">
      <c r="C4" s="710" t="s">
        <v>6012</v>
      </c>
    </row>
    <row r="5" spans="2:15" ht="25.5" customHeight="1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3">
        <v>23</v>
      </c>
      <c r="C28" s="964" t="s">
        <v>6054</v>
      </c>
      <c r="D28" s="964" t="s">
        <v>4208</v>
      </c>
      <c r="E28" s="964" t="s">
        <v>4208</v>
      </c>
      <c r="F28" s="964" t="s">
        <v>6055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6">
        <v>24</v>
      </c>
      <c r="C29" s="964" t="s">
        <v>6056</v>
      </c>
      <c r="D29" s="964" t="s">
        <v>4208</v>
      </c>
      <c r="E29" s="964" t="s">
        <v>4208</v>
      </c>
      <c r="F29" s="967" t="s">
        <v>6055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6057</v>
      </c>
      <c r="J46" s="728">
        <f>SUM(G6:G45,I6:I45)</f>
        <v>0</v>
      </c>
    </row>
    <row r="47" spans="2:14" ht="19.05" customHeight="1"/>
    <row r="48" spans="2:14" ht="19.05" customHeight="1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9.05" customHeight="1" thickBot="1">
      <c r="C49" s="710" t="s">
        <v>6059</v>
      </c>
    </row>
    <row r="50" spans="1:15" ht="22.5" customHeight="1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6">
        <v>23</v>
      </c>
      <c r="C73" s="964" t="s">
        <v>6094</v>
      </c>
      <c r="D73" s="967" t="s">
        <v>4208</v>
      </c>
      <c r="E73" s="967" t="s">
        <v>4208</v>
      </c>
      <c r="F73" s="967" t="s">
        <v>6055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6">
        <v>24</v>
      </c>
      <c r="C74" s="964" t="s">
        <v>6095</v>
      </c>
      <c r="D74" s="964" t="s">
        <v>4208</v>
      </c>
      <c r="E74" s="964" t="s">
        <v>4208</v>
      </c>
      <c r="F74" s="967" t="s">
        <v>6055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6057</v>
      </c>
      <c r="J91" s="728">
        <f>SUM(G51:G90,I51:I90)</f>
        <v>0</v>
      </c>
    </row>
    <row r="92" spans="1:14" ht="19.05" customHeight="1"/>
    <row r="93" spans="1:14" ht="19.05" customHeight="1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9.05" customHeight="1" thickBot="1">
      <c r="C94" s="710" t="s">
        <v>6097</v>
      </c>
    </row>
    <row r="95" spans="1:14" ht="25.5" customHeight="1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6057</v>
      </c>
      <c r="J136" s="728">
        <f>SUM(G96:G135,I96:I135)</f>
        <v>0</v>
      </c>
    </row>
    <row r="137" spans="1:15" ht="19.05" customHeight="1"/>
    <row r="138" spans="1:15" ht="19.05" customHeight="1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9.05" customHeight="1" thickBot="1">
      <c r="C139" s="710" t="s">
        <v>6135</v>
      </c>
    </row>
    <row r="140" spans="1:15" ht="26.25" customHeight="1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6057</v>
      </c>
      <c r="J181" s="728">
        <f>SUM(G141:G180,I141:I180)</f>
        <v>0</v>
      </c>
    </row>
    <row r="182" spans="1:14" ht="19.05" customHeight="1"/>
    <row r="183" spans="1:14" ht="19.05" customHeight="1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9.05" customHeight="1" thickBot="1">
      <c r="C184" s="710" t="s">
        <v>6164</v>
      </c>
    </row>
    <row r="185" spans="1:14" ht="20.25" customHeight="1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50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9.05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3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31</vt:i4>
      </vt:variant>
      <vt:variant>
        <vt:lpstr>이름 지정된 범위</vt:lpstr>
      </vt:variant>
      <vt:variant>
        <vt:i4>13</vt:i4>
      </vt:variant>
    </vt:vector>
  </HeadingPairs>
  <TitlesOfParts>
    <vt:vector size="44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2024-01-23T09:41:00Z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